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BA668DCE-D904-704D-9777-ABEB2D89C349}"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T504" i="1"/>
  <c r="BF505" i="1"/>
  <c r="BT505" i="1"/>
  <c r="BF506" i="1"/>
  <c r="BT506" i="1"/>
  <c r="BT507" i="1"/>
  <c r="BT508" i="1"/>
  <c r="BT509" i="1"/>
  <c r="BT510" i="1"/>
  <c r="BT511" i="1"/>
  <c r="BT512" i="1"/>
  <c r="BT513" i="1"/>
  <c r="BT514" i="1"/>
  <c r="BT515"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T733" i="1"/>
  <c r="BF734" i="1"/>
  <c r="BT734" i="1"/>
  <c r="BF735" i="1"/>
  <c r="BT735" i="1"/>
  <c r="BF736" i="1"/>
  <c r="BT736"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T799" i="1"/>
  <c r="BT800"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T895" i="1"/>
  <c r="BF896" i="1"/>
  <c r="BT896" i="1"/>
  <c r="BF897" i="1"/>
  <c r="BT897" i="1"/>
  <c r="BF898" i="1"/>
  <c r="BT898" i="1"/>
  <c r="BF899" i="1"/>
  <c r="BT899" i="1"/>
  <c r="BT900" i="1"/>
  <c r="BF901" i="1"/>
  <c r="BT901" i="1"/>
  <c r="BF902" i="1"/>
  <c r="BT902" i="1"/>
  <c r="BF903" i="1"/>
  <c r="BT903" i="1"/>
  <c r="BF904" i="1"/>
  <c r="BT904" i="1"/>
  <c r="BT905" i="1"/>
  <c r="BF906" i="1"/>
  <c r="BT906" i="1"/>
  <c r="BF907" i="1"/>
  <c r="BT907" i="1"/>
  <c r="BF908" i="1"/>
  <c r="BT908" i="1"/>
  <c r="BF909" i="1"/>
  <c r="BT909" i="1"/>
  <c r="BF910" i="1"/>
  <c r="BT910"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<sst xmlns="http://schemas.openxmlformats.org/spreadsheetml/2006/main" count="59372" uniqueCount="18840">
  <si>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</si>
  <si>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</si>
  <si>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</si>
  <si>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</si>
  <si>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</si>
  <si>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</si>
  <si>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</si>
  <si>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</si>
  <si>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</si>
  <si>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</si>
  <si>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</si>
  <si>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</si>
  <si>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</si>
  <si>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</si>
  <si>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</si>
  <si>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</si>
  <si>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</si>
  <si>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</si>
  <si>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</si>
  <si>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</si>
  <si>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</si>
  <si>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</si>
  <si>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</si>
  <si>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</si>
  <si>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</si>
  <si>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</si>
  <si>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</si>
  <si>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</si>
  <si>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</si>
  <si>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</si>
  <si>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</si>
  <si>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</si>
  <si>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</si>
  <si>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</si>
  <si>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</si>
  <si>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</si>
  <si>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</si>
  <si>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</si>
  <si>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</si>
  <si>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</si>
  <si>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</si>
  <si>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</si>
  <si>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</si>
  <si>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</si>
  <si>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</si>
  <si>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</si>
  <si>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</si>
  <si>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</si>
  <si>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</si>
  <si>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</si>
  <si>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</si>
  <si>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</si>
  <si>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</si>
  <si>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</si>
  <si>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</si>
  <si>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</si>
  <si>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</si>
  <si>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</si>
  <si>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</si>
  <si>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</si>
  <si>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</si>
  <si>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</si>
  <si>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</si>
  <si>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</si>
  <si>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</si>
  <si>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</si>
  <si>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</si>
  <si>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</si>
  <si>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</si>
  <si>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</si>
  <si>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</si>
  <si>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</si>
  <si>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</si>
  <si>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Flood, MJ; Stobutzki, I; Andrews, J; Ashby, C; Begg, GA; Fletcher, R; Gardner, C; Georgeson, L; Hansen, S; Hartmann, K; Hone, P; Larcombe, J; Maloney, L; Moore, A; Roach, J; Roelofs, A; Sainsbury, K; Saunders, T; Sloan, S; Smith, ADM; Stewart, J; Stewardson, C; Wise, BS</t>
  </si>
  <si>
    <t/>
  </si>
  <si>
    <t>Flood, Matthew J.; Stobutzki, Ilona; Andrews, James; Ashby, Crispian; Begg, Gavin A.; Fletcher, Rick; Gardner, Caleb; Georgeson, Lee; Hansen, Scott; Hartmann, Klaas; Hone, Patrick; Larcombe, James; Maloney, Luke; Moore, Anthony; Roach, Justin; Roelofs, Anthony; Sainsbury, Keith; Saunders, Thor; Sloan, Sean; Smith, Anthony D. M.; Stewart, John; Stewardson, Carolyn; Wise, Brent S.</t>
  </si>
  <si>
    <t>Multijurisdictional fisheries performance reporting: How Australia's nationally standardised approach to assessing stock status compares</t>
  </si>
  <si>
    <t>FISHERIES RESEARCH</t>
  </si>
  <si>
    <t>English</t>
  </si>
  <si>
    <t>Article</t>
  </si>
  <si>
    <t>Stock status reporting; Fisheries; Biomass; Fishing pressure; Multijurisdictional reporting; Australian fisheries</t>
  </si>
  <si>
    <t>IMPLEMENTING HARVEST STRATEGIES; MANAGEMENT; SEAFOOD; SUSTAINABILITY; TARGETS</t>
  </si>
  <si>
    <t>Australian marine wild-capture fisheries are managed by eight separate jurisdictions. Traditionally, fishery status reports have been produced separately by most of these jurisdictions, assessing the fish stocks they manage, and reporting on the effectiveness of their fisheries management. However, the format, the type of stock status assessments, the thresholds and terminology used to describe stock status and the classification frameworks have varied over time and among jurisdictions. These differences complicate efforts to understand stock status on a national scale. They also create potential misunderstanding among the wider community about how to interpret information on the status of fish stocks, and the fisheries management and science processes more generally. This is especially true when considering stocks that are shared across two or more jurisdictional boundaries. A standardised approach was developed in 2011 leading to production of the first national Status of key Australian fish stocks reports in 2012, followed by a second edition in 2014 (www.fish.gov.au). Production of these reports was the first step towards a broader national approach to reporting on the performance of Australian fisheries for target species and for wider ecosystem and socioeconomic consequences. This paper outlines the challenges associated with moving towards national performance reporting for target fish stocks and Australia's successes so far. It also outlines the challenges ahead, in particular those relating to reporting more broadly on the status of entire fisheries. Comparisons are drawn between Australia and New Zealand and more broadly between Australia and other countries. (C) 2016 Elsevier B.V. All rights reserved.</t>
  </si>
  <si>
    <t>[Flood, Matthew J.; Stobutzki, Ilona; Georgeson, Lee; Hansen, Scott; Larcombe, James; Maloney, Luke; Moore, Anthony; Roach, Justin] Australian Bur Agr &amp; Resource Econ &amp; Sci, Dept Agr, 18 Marcus Clarke St, Canberra, ACT 2601, Australia; [Andrews, James] Dept Econ Dev Jobs Transport &amp; Resources, 2A Bellarine Highway Queenscliff, Queenscliff, Vic 3225, Australia; [Ashby, Crispian; Hone, Patrick; Stewardson, Carolyn] Fisheries Res &amp; Dev Corp, 25 Geils Court Deakin, Canberra, ACT 2600, Australia; [Begg, Gavin A.] South Australian Res &amp; Dev Inst, 2 Hamra Ave, West Beach, SA 5024, Australia; [Fletcher, Rick; Wise, Brent S.] Dept Fisheries Western Australia, 39 Northside Dr Hillarys, North Beach, WA 6920, Australia; [Gardner, Caleb; Hartmann, Klaas; Sainsbury, Keith] Univ Tasmania, Inst Marine &amp; Antarctic Studies, Taroona, Tas 7053, Australia; [Saunders, Thor] Berrimah Res Farm, Dept Primary Ind &amp; Fisheries, Makagon Rd, Berrimah, NT 0828, Australia; [Moore, Anthony] Dept Agr &amp; Fisheries, 80 Ann St, Brisbane, Qld 4001, Australia; [Sloan, Sean] South Australia, Dept Primary Ind &amp; Reg, 25 Grenfell St, Adelaide, SA 5001, Australia; [Smith, Anthony D. M.] CSIRO, Castray Esplanade, Hobart, Tas 7000, Australia; [Stewart, John] New South Wales Dept Primary Ind, Sydney Inst Marine Sci, Chowder Bay Rd, Mosman, NSW 2088, Australia; [Roach, Justin] Australian Meat Processor Corp Ltd, 110 Walker St, Sydney, NSW 2060, Australia</t>
  </si>
  <si>
    <t>South Australian Research &amp; Development Institute (SARDI); University of Tasmania; Commonwealth Scientific &amp; Industrial Research Organisation (CSIRO); Sydney Institute of Marine Science; NSW Department of Primary Industries</t>
  </si>
  <si>
    <t>Stobutzki, I (corresponding author), Australian Bur Agr &amp; Resource Econ &amp; Sci, Dept Agr, 18 Marcus Clarke St, Canberra, ACT 2601, Australia.</t>
  </si>
  <si>
    <t>ilona.stobutzki@agriculture.gov.au</t>
  </si>
  <si>
    <t>Stewart, John/N-7330-2016; Hartmann, Klaas/B-3991-2008; Gardner, Caleb/I-7086-2013</t>
  </si>
  <si>
    <t>Gardner, Caleb/0000-0003-0324-4337</t>
  </si>
  <si>
    <t>FRDC [2011/513, 2012/513, 2014/030]; ABARES; Institute for Marine and Antarctic Studies, University of Tasmania; Department of Primary Industries, New South Wales; Department of Fisheries, Western Australia; Department of Primary Industry and Fisheries, Northern Territory; Department of Environment and Primary Industries, Victoria; Department of Primary Industries and Regions, South Australia; Department of Agriculture, Fisheries and Forestry, Queensland; Commonwealth Scientific and Industrial Research Organisation (CSIRO)</t>
  </si>
  <si>
    <t>FRDC; ABARES; Institute for Marine and Antarctic Studies, University of Tasmania; Department of Primary Industries, New South Wales; Department of Fisheries, Western Australia; Department of Primary Industry and Fisheries, Northern Territory; Department of Environment and Primary Industries, Victoria; Department of Primary Industries and Regions, South Australia; Department of Agriculture, Fisheries and Forestry, Queensland(Australian GovernmentDepartment of Agriculture and Water Resources); Commonwealth Scientific and Industrial Research Organisation (CSIRO)(Commonwealth Scientific &amp; Industrial Research Organisation (CSIRO))</t>
  </si>
  <si>
    <t>The Status of key Australian fish stocks reports were initiated by the FRDC and ABARES, with endorsement by the Australian Fisheries Management Forum, which comprises the heads of the fisheries management organisations in all Australian states and the Northern Territory. The Status of key Australian fish stocks reports were co-funded by the FRDC (Projects 2011/513, 2012/513, 2014/030); ABARES; the Institute for Marine and Antarctic Studies, University of Tasmania; the Department of Primary Industries, New South Wales; the Department of Fisheries, Western Australia; the Department of Primary Industry and Fisheries, Northern Territory; the Department of Environment and Primary Industries, Victoria; the Department of Primary Industries and Regions, South Australia; the Department of Agriculture, Fisheries and Forestry, Queensland; and the Commonwealth Scientific and Industrial Research Organisation (CSIRO).</t>
  </si>
  <si>
    <t>ELSEVIER SCIENCE BV</t>
  </si>
  <si>
    <t>AMSTERDAM</t>
  </si>
  <si>
    <t>PO BOX 211, 1000 AE AMSTERDAM, NETHERLANDS</t>
  </si>
  <si>
    <t>0165-7836</t>
  </si>
  <si>
    <t>1872-6763</t>
  </si>
  <si>
    <t>FISH RES</t>
  </si>
  <si>
    <t>Fish Res.</t>
  </si>
  <si>
    <t>NOV</t>
  </si>
  <si>
    <t>10.1016/j.fishres.2016.02.002</t>
  </si>
  <si>
    <t>Fisheries</t>
  </si>
  <si>
    <t>Science Citation Index Expanded (SCI-EXPANDED); Social Science Citation Index (SSCI)</t>
  </si>
  <si>
    <t>DV0HW</t>
  </si>
  <si>
    <t>hybrid</t>
  </si>
  <si>
    <t>2024-04-21</t>
  </si>
  <si>
    <t>WOS:000382599600059</t>
  </si>
  <si>
    <t>Buongiorno, J; Bird, JT; Krivushin, K; Oshurkova, V; Shcherbakova, V; Rivkina, EM; Lloyd, KG; Vishnivetskaya, TA</t>
  </si>
  <si>
    <t>Buongiorno, Joy; Bird, Jordan T.; Krivushin, Kirill; Oshurkova, Victoria; Shcherbakova, Victoria; Rivkina, Elizaveta M.; Lloyd, Karen G.; Vishnivetskaya, Tatiana A.</t>
  </si>
  <si>
    <t>Draft Genome Sequence of Antarctic Methanogen Enriched from Dry Valley Permafrost</t>
  </si>
  <si>
    <t>GENOME ANNOUNCEMENTS</t>
  </si>
  <si>
    <t>SP NOV.; ARCHAEON</t>
  </si>
  <si>
    <t>A genomic reconstruction belonging to the genus Methanosarcina was assembled from metagenomic data from a methane-producing enrichment of Antarctic permafrost. This is the first methanogen genome reported from permafrost of the Dry Valleys and can help shed light on future climate-affected methane dynamics.</t>
  </si>
  <si>
    <t>[Buongiorno, Joy; Bird, Jordan T.; Lloyd, Karen G.; Vishnivetskaya, Tatiana A.] Univ Tennessee, Dept Microbiol, Knoxville, TN 37996 USA; [Krivushin, Kirill; Rivkina, Elizaveta M.] Russian Acad Sci, Inst Physicochem &amp; Biol Problems Soil Sci, Pushchino, Russia; [Oshurkova, Victoria; Shcherbakova, Victoria] Russian Acad Sci, Skryabin Inst Biochem &amp; Physiol Microorganisms, Pushchino, Russia; [Krivushin, Kirill] Univ Alberta, Livestock Gentec, Dept Agr Food &amp; Nutr Sci AFNS, Edmonton, AB, Canada</t>
  </si>
  <si>
    <t>University of Tennessee System; University of Tennessee Knoxville; Russian Academy of Sciences; Pushchino Scientific Center for Biological Research (PSCBI) of the Russian Academy of Sciences; Institute of Physicohemical &amp; Biological Problems of Soil Science; Russian Academy of Sciences; Pushchino Scientific Center for Biological Research (PSCBI) of the Russian Academy of Sciences; University of Alberta</t>
  </si>
  <si>
    <t>Lloyd, KG; Vishnivetskaya, TA (corresponding author), Univ Tennessee, Dept Microbiol, Knoxville, TN 37996 USA.</t>
  </si>
  <si>
    <t>klloyd@utk.edu; tvishniv@utk.edu</t>
  </si>
  <si>
    <t>Vishnivetskaya, Tatiana/A-4488-2008; Oshurkova, Viktoriia/AAO-7198-2021; Rivkina, Elizaveta/O-5344-2014</t>
  </si>
  <si>
    <t>Vishnivetskaya, Tatiana/0000-0002-0660-023X; Oshurkova, Viktoriia/0000-0003-1975-1616; Shcherbakova, Viktoria/0000-0003-0160-7464; Rivkina, Elizaveta/0000-0001-7949-8056; Bird, Jordan/0000-0001-5753-6058</t>
  </si>
  <si>
    <t>National Science Foundation (NSF) [DEB-1442262]; Center for Dark Energy Biosphere Investigations [OCE-0939564, 339]; Russian Foundation for Basic Research (RFBR) [14-14-01115, 12-04-31416]; [OCE-1431598]; Division Of Environmental Biology; Direct For Biological Sciences [1442262] Funding Source: National Science Foundation</t>
  </si>
  <si>
    <t>National Science Foundation (NSF)(National Science Foundation (NSF)National Research Foundation of Korea); Center for Dark Energy Biosphere Investigations; Russian Foundation for Basic Research (RFBR)(Russian Foundation for Basic Research (RFBR)); ; Division Of Environmental Biology; Direct For Biological Sciences(National Science Foundation (NSF)NSF - Directorate for Biological Sciences (BIO))</t>
  </si>
  <si>
    <t>This work was funded by National Science Foundation (NSF) (DEB-1442262) for K.G.L., and T.A.V., OCE-1431598 for J.T.B., Center for Dark Energy Biosphere Investigations OCE-0939564 contribution #339 for J.B.), and Russian Foundation for Basic Research (RFBR), 14-14-01115 and 12-04-31416 for K.K. and E.M.R.</t>
  </si>
  <si>
    <t>AMER SOC MICROBIOLOGY</t>
  </si>
  <si>
    <t>WASHINGTON</t>
  </si>
  <si>
    <t>1752 N ST NW, WASHINGTON, DC 20036-2904 USA</t>
  </si>
  <si>
    <t>2169-8287</t>
  </si>
  <si>
    <t>Genom. Ann.</t>
  </si>
  <si>
    <t>NOV-DEC</t>
  </si>
  <si>
    <t>e01362-16</t>
  </si>
  <si>
    <t>10.1128/genomeA.01362-16</t>
  </si>
  <si>
    <t>Microbiology</t>
  </si>
  <si>
    <t>Emerging Sources Citation Index (ESCI)</t>
  </si>
  <si>
    <t>VI1DT</t>
  </si>
  <si>
    <t>Green Published, gold</t>
  </si>
  <si>
    <t>WOS:000460673800156</t>
  </si>
  <si>
    <t>Reilly, BT; Natter, CJ; Brachfeld, SA</t>
  </si>
  <si>
    <t>Reilly, Brendan T.; Natter, Carl J., Jr.; Brachfeld, Stefanie A.</t>
  </si>
  <si>
    <t>Holocene glacial activity in Barilari Bay, west Antarctic Peninsula, tracked by magnetic mineral assemblages: Linking ice, ocean, and atmosphere</t>
  </si>
  <si>
    <t>GEOCHEMISTRY GEOPHYSICS GEOSYSTEMS</t>
  </si>
  <si>
    <t>HIGH-TEMPERATURE STABILITY; VICTORIA LAND BASIN; PALMER-DEEP; ROSS SEA; PALEOENVIRONMENTAL CHANGE; ENVIRONMENTAL MAGNETISM; MARINE SEDIMENTS; NORTH-ATLANTIC; CLIMATE-CHANGE; GRAIN-SIZE</t>
  </si>
  <si>
    <t>We investigate the origin and fate of lithogenic sediments using magnetic mineral assemblages in Barilari Bay, west Antarctic Peninsula (AP) from sediment cores recovered during the Larsen Ice Shelf System, Antarctica (LARISSA) NBP10-01 cruise. To quantify and reconstruct Holocene changes in covarying magnetic mineral assemblages, we adopt an unsupervised mathematical unmixing strategy and apply it to measurements of magnetic susceptibility as a function of increasing temperature. Comparisons of the unmixed end-members with magnetic observations of northwestern AP bedrock and the spatial distribution of magnetic mineral assemblages within the fjord, allow us to identify source regions, including signatures for inner bay, outer bay, and northwestern AP sources. We find strong evidence that supports the establishment of a late Holocene ice shelf in the fjord coeval with the Little Ice Age. Additionally, we present new evidence for late Holocene sensitivity to conditions akin to positive mean Southern Annual Mode states for western AP glaciers at their advanced Neoglacial positions.</t>
  </si>
  <si>
    <t>[Reilly, Brendan T.; Natter, Carl J., Jr.; Brachfeld, Stefanie A.] Montclair State Univ, Dept Earth &amp; Environm Studies, Montclair, NJ 07043 USA; [Reilly, Brendan T.] Oregon State Univ, Coll Earth Ocean &amp; Atmospher Sci, Corvallis, OR 97331 USA; [Natter, Carl J., Jr.] Kleinfelder Inc, Hamilton, NJ USA</t>
  </si>
  <si>
    <t>Montclair State University; Oregon State University</t>
  </si>
  <si>
    <t>Reilly, BT (corresponding author), Montclair State Univ, Dept Earth &amp; Environm Studies, Montclair, NJ 07043 USA.;Reilly, BT (corresponding author), Oregon State Univ, Coll Earth Ocean &amp; Atmospher Sci, Corvallis, OR 97331 USA.</t>
  </si>
  <si>
    <t>breilly@coas.oregonstate.edu</t>
  </si>
  <si>
    <t>Reilly, Brendan/0000-0003-3666-4338; Brachfeld, Stefanie/0000-0003-4612-2866</t>
  </si>
  <si>
    <t>National Science Foundation Office of Polar Programs (NSF-OPP); U.S. National Science Foundation; NSF-OPP grant [0732605]; NSF-MRI grants [0521069, 0619402]; ARCS Foundation Oregon Chapter; Directorate For Geosciences; Office of Polar Programs (OPP) [1141906] Funding Source: National Science Foundation; Division Of Earth Sciences; Directorate For Geosciences [0521069] Funding Source: National Science Foundation; Division Of Earth Sciences; Directorate For Geosciences [0619402] Funding Source: National Science Foundation</t>
  </si>
  <si>
    <t>National Science Foundation Office of Polar Programs (NSF-OPP)(National Science Foundation (NSF)); U.S. National Science Foundation(National Science Foundation (NSF)); NSF-OPP grant; NSF-MRI grants; ARCS Foundation Oregon Chapter; Directorate For Geosciences; Office of Polar Programs (OPP)(National Science Foundation (NSF)NSF - Directorate for Geosciences (GEO)); Division Of Earth Sciences; Directorate For Geosciences(National Science Foundation (NSF)NSF - Directorate for Geosciences (GEO)); Division Of Earth Sciences; Directorate For Geosciences(National Science Foundation (NSF)NSF - Directorate for Geosciences (GEO))</t>
  </si>
  <si>
    <t>We thank the former Raytheon Polar services (now Lockheed Martin) shipboard team, the LARISSA science team, and the captain and crew of the RV Nathaniel B. Palmer for their efforts during NBP10-01. E. Domack, A. Leventer, S. Ishman, J. Wellner, B. Huber, K.C. Yoo, A. Christ, N. Elking, M. Talia Murray, S. M. Jeong, and A. Bianchi were instrumental in the recovery and characterization of the cores used in this study. This paper greatly benefited from discussions with R. Hatfield and C. Buizert. We thank A. Grunow, curator of the U.S. Polar Rock Repository (PRR), for her assistance and support in identifying and supplying bedrock samples. This research used samples and data provided by PRR at the Byrd Polar Research Institute, Ohio State University. The PRR is sponsored by the National Science Foundation Office of Polar Programs (NSF-OPP). This research also used samples provided by the Antarctic Marine Geology Research Facility (AMGRF) at Florida State University. The AMGRF is sponsored by the U.S. National Science Foundation. We thank Fabio Florindo and an anonymous reviewer for their helpful comments. This research was funded by NSF-OPP grant 0732605 and by NSF-MRI grants 0521069 and 0619402. B. Reilly is thankful to the ARCS Foundation Oregon Chapter for their generous support. Data are available in supporting information Tables S1-S13.</t>
  </si>
  <si>
    <t>AMER GEOPHYSICAL UNION</t>
  </si>
  <si>
    <t>2000 FLORIDA AVE NW, WASHINGTON, DC 20009 USA</t>
  </si>
  <si>
    <t>1525-2027</t>
  </si>
  <si>
    <t>GEOCHEM GEOPHY GEOSY</t>
  </si>
  <si>
    <t>Geochem. Geophys. Geosyst.</t>
  </si>
  <si>
    <t>10.1002/2016GC006627</t>
  </si>
  <si>
    <t>Geochemistry &amp; Geophysics</t>
  </si>
  <si>
    <t>Science Citation Index Expanded (SCI-EXPANDED)</t>
  </si>
  <si>
    <t>EI7XI</t>
  </si>
  <si>
    <t>WOS:000392717400016</t>
  </si>
  <si>
    <t>Carter, SC; Griffith, EM; Penman, DE</t>
  </si>
  <si>
    <t>Carter, Samantha C.; Griffith, Elizabeth M.; Penman, Donald E.</t>
  </si>
  <si>
    <t>Peak intervals of equatorial Pacific export production during the middle Miocene climate transition</t>
  </si>
  <si>
    <t>GEOLOGY</t>
  </si>
  <si>
    <t>ICE VOLUME; OCEAN; EVOLUTION; FLUCTUATIONS; BARITE; CYCLE; OPAL</t>
  </si>
  <si>
    <t>The middle Miocene climate transition (MMCT) is characterized by an abrupt 1 parts per thousand increase in benthic foraminiferal oxygen isotopes at ca. 13.8 Ma, marking expansion of the Antarctic Ice Sheet and transition of Earth's climate to a cooler, relatively stable glacial state. Also occurring during this period is a globally recognized positive carbon isotope excursion (16.9-13.5 Ma) in benthic and planktonic foraminifera with shorter carbon isotope maxima (CM) events, linking hypotheses for climate change at the time with the carbon cycle. In order to test whether export production in the eastern equatorial Pacific is related to the largest such event (CM6), coincident with Antarctic Ice Sheet expansion, a high-resolution (&lt;5 k.y.) record of export production at Integrated Ocean Drilling Program Site U1337 spanning the MMCT (14.02-13.43 Ma) was produced using marine pelagic barite mass accumulation rates. Export production is elevated with an extended period of more than double present-day values. These variations are not orbitally paced and provide evidence for a reorganization of nutrients supplied to the eastern equatorial Pacific in the Miocene and intensification of upwelling. If such changes are representative of the entire region, then this mechanism could sequester enough carbon to have a significant effect on atmospheric pCO(2). However, continual delivery of nutrients to the surface waters of the eastern equatorial Pacific is required in order to sustain export production without depleting the surface ocean of limiting nutrients. This might be accomplished by a change in ocean circulation or a combination of other processes requiring further study.</t>
  </si>
  <si>
    <t>[Carter, Samantha C.; Griffith, Elizabeth M.] Univ Texas Arlington, Dept Earth &amp; Environm Sci, 500 Yates St, Arlington, TX 76019 USA; [Penman, Donald E.] Yale Univ, Dept Geol &amp; Geophys, POB 208109, New Haven, CT 06520 USA</t>
  </si>
  <si>
    <t>University of Texas System; University of Texas Arlington; Yale University</t>
  </si>
  <si>
    <t>Carter, SC (corresponding author), Univ Texas Arlington, Dept Earth &amp; Environm Sci, 500 Yates St, Arlington, TX 76019 USA.</t>
  </si>
  <si>
    <t>Griffith, Elizabeth/KBB-3072-2024</t>
  </si>
  <si>
    <t>Penman, Donald/0000-0003-4191-0505; Griffith, Elizabeth/0000-0002-7919-4551; Carter, Samantha/0000-0001-9673-273X</t>
  </si>
  <si>
    <t>University of Texas at Arlington</t>
  </si>
  <si>
    <t>This research used samples provided by the Integrated Ocean Drilling Program and was supported by funds to Griffith from the University of Texas at Arlington. We thank Harry Rowe and Angela Lewis for access and assistance acquiring CaCO3 mass accumulation rate data; Majie Fan and Arne Winguth for helpful discussions about the data; and Mitch Lyle, Kristina Faul, and two anonymous reviewers.</t>
  </si>
  <si>
    <t>GEOLOGICAL SOC AMER, INC</t>
  </si>
  <si>
    <t>BOULDER</t>
  </si>
  <si>
    <t>PO BOX 9140, BOULDER, CO 80301-9140 USA</t>
  </si>
  <si>
    <t>0091-7613</t>
  </si>
  <si>
    <t>1943-2682</t>
  </si>
  <si>
    <t>Geology</t>
  </si>
  <si>
    <t>10.1130/G38290.1</t>
  </si>
  <si>
    <t>DZ8LF</t>
  </si>
  <si>
    <t>WOS:000386121200011</t>
  </si>
  <si>
    <t>Jackson, LP; Jevrejeva, S</t>
  </si>
  <si>
    <t>Jackson, Luke P.; Jevrejeva, Svetlana</t>
  </si>
  <si>
    <t>A probabilistic approach to 21st century regional sea-level projections using RCP and High-end scenarios</t>
  </si>
  <si>
    <t>GLOBAL AND PLANETARY CHANGE</t>
  </si>
  <si>
    <t>Sea-level projection; Probability; Uncertainty; RCP scenarios; Climate change</t>
  </si>
  <si>
    <t>RISE; FINGERPRINT; SURFACE; CMIP5; EARTH; UNCERTAINTY; VARIABILITY; PREDICTIONS; MODEL; SHELF</t>
  </si>
  <si>
    <t>Sea-level change is an integrated climate system response due to changes in radiative forcing, anthropogenic land-water use and land-motion. Projecting sea-level at a global and regional scale requires a subset of projections - one for each sea-level component given a particular climate-change scenario. We construct relative sea level projections through the 21st century for RCP 4.5, RCP 8.5 and High-end (RCP 85 with increased ice-sheet contribution) scenarios by aggregating spatial projections of individual sea-level components in a probabilistic manner. Most of the global oceans adhere to the projected global average sea level change within 5 cm throughout the century for all scenarios; however coastal regions experience localised effects due to the non-uniform spatial patterns of individual components. This can result in local projections that are 10's of centimetres different from the global average by 2100. Early in the century, RSL projections are consistent across all scenarios, however from the middle of the century the patterns of RSL for RCP scenarios deviate from the High-end where the contribution from Antarctica dominates. Similarly, the uncertainty in projected sea-level is dominated by an uncertain Antarctic fate. We also explore the effect upon projections of, treating CMIP5 model ensembles as normally distributed when they might not be, correcting CMIP5 model output for internal variability using different polynomials and using different unloading patterns of ice for the Greenland and Antarctic ice sheets. (C) 2016 The Authors. Published by Elsevier B.V.</t>
  </si>
  <si>
    <t>[Jackson, Luke P.; Jevrejeva, Svetlana] Natl Oceanog Ctr, 6 Brownlow St, Liverpool L3 5DA, Merseyside, England; [Jackson, Luke P.] Univ Oxford Nuffield Coll, Programme Econ Modelling, 1 New Rd, Oxford OX1 1NF, England</t>
  </si>
  <si>
    <t>NERC National Oceanography Centre; University of Oxford</t>
  </si>
  <si>
    <t>Jackson, LP (corresponding author), Natl Oceanog Ctr, 6 Brownlow St, Liverpool L3 5DA, Merseyside, England.;Jackson, LP (corresponding author), Univ Oxford Nuffield Coll, Programme Econ Modelling, 1 New Rd, Oxford OX1 1NF, England.</t>
  </si>
  <si>
    <t>lukejackson@economics.ox.ac.uk</t>
  </si>
  <si>
    <t>Jackson, Luke/0000-0001-6834-8255</t>
  </si>
  <si>
    <t>European Union [FP7-ENV-2013-Two-Stage-603396-RISES-AM]; Robertson Foundation [9907422]; Natural Environment Research Council [noc010012] Funding Source: researchfish</t>
  </si>
  <si>
    <t>European Union(European Union (EU)); Robertson Foundation; Natural Environment Research Council(UK Research &amp; Innovation (UKRI)Natural Environment Research Council (NERC))</t>
  </si>
  <si>
    <t>This work was funded by the European Union's Seventh Programme for Research, Technological Development and Demonstration under Grant Agreement No: FP7-ENV-2013-Two-Stage-603396-RISES-AM. Satellite altimetry data was accessed from Colorado Sea Level Research Group, http://sealevel.colorado.edu/. NCEP Reanalysis data was provided by the NOAA/OAR/ESRL PSD, Boulder, Colorado, USA, from their Web site at http://www.esrl.noaa.gov/psd/. We acknowledge the World Climate Research Programme's Working Group on Coupled modelling for providing the CMIP5 archive and the climate modelling groups for providing their outputs. Projections from Kopp et al. (2014) were accessed from github.com/bobkopp/LocalizeSL/. We thank Riccardo Riva (TU Delft) for providing fingerprints of sea-level components, GLA, GRE, ANT, LAN and SAL. This paper has been greatly improved by comments from two anonymous reviewers. LPJ is currently working on the Climate Econometrics project, funded by the Robertson Foundation (Grant No: 9907422).</t>
  </si>
  <si>
    <t>ELSEVIER</t>
  </si>
  <si>
    <t>RADARWEG 29, 1043 NX AMSTERDAM, NETHERLANDS</t>
  </si>
  <si>
    <t>0921-8181</t>
  </si>
  <si>
    <t>1872-6364</t>
  </si>
  <si>
    <t>GLOBAL PLANET CHANGE</t>
  </si>
  <si>
    <t>Glob. Planet. Change</t>
  </si>
  <si>
    <t>10.1016/j.gloplacha.2016.10.006</t>
  </si>
  <si>
    <t>Geography, Physical; Geosciences, Multidisciplinary</t>
  </si>
  <si>
    <t>Physical Geography; Geology</t>
  </si>
  <si>
    <t>EC3TR</t>
  </si>
  <si>
    <t>hybrid, Green Published, Green Accepted</t>
  </si>
  <si>
    <t>WOS:000388049700015</t>
  </si>
  <si>
    <t>Groeskamp, S; Lenton, A; Matear, R; Sloyan, BM; Langlais, C</t>
  </si>
  <si>
    <t>Groeskamp, Sjoerd; Lenton, Andrew; Matear, Richard; Sloyan, Bernadette M.; Langlais, Clothilde</t>
  </si>
  <si>
    <t>Anthropogenic carbon in the oceanSurface to interior connections</t>
  </si>
  <si>
    <t>GLOBAL BIOGEOCHEMICAL CYCLES</t>
  </si>
  <si>
    <t>anthropogenic carbon; circulation; stream function; climate</t>
  </si>
  <si>
    <t>MERIDIONAL OVERTURNING CIRCULATION; AIR CO2 FLUXES; SOUTHERN-OCEAN; CLIMATE-CHANGE; INDIAN-OCEAN; WATER MASSES; ATLANTIC; STORAGE; VARIABILITY; SUBDUCTION</t>
  </si>
  <si>
    <t>Quantifying the surface to interior transport of anthropogenic carbon (C-A) is critical for projecting future carbon uptake and for improved understanding of the role of the oceans in the global carbon cycle. Here we develop and apply a diagnostic tool that provides a volumetric stream function in (C-A,sigma(0)) coordinates to calculate the total diapycnal C-A transport in the ocean, where sigma(0) is the surface referenced potential density anomaly. We combine this with air-sea fluxes of C-A to infer the internal ocean mixing of C-A to obtain a closed globally integrated budget analyses of the ocean's C-A transport. This diagnostic separates the contribution from the mean flow, seasonal cycles, trend, surface fluxes, and mixing in the distribution and the accumulation of C-A in the ocean. We find that the redistribution of C-A from the surface to the interior of the ocean is due to an interplay between circulation and mixing. The circulation component is dominated by the mean flow; however, effects due to seasonal cycles are significant for the C-A redistribution. The two most important pathways for C-A subduction are through the transformation of thermocline water (TW) into subantarctic mode water and by transformation of Circumpolar Deep Water (CDW) into lighter Antarctic Intermediate Water. The results suggest that an accurate representation of intermediate and mode water formation, deep water formation, and spatial and temporal distribution of ocean mixing in ocean models is essential to simulate and project the oceanic uptake of C-A.</t>
  </si>
  <si>
    <t>[Groeskamp, Sjoerd] Columbia Univ, Lamont Doherty Earth Observ, New York, NY USA; [Lenton, Andrew; Matear, Richard; Sloyan, Bernadette M.; Langlais, Clothilde] CSIRO Oceans &amp; Atmospheres, Hobart, Tas, Australia; [Lenton, Andrew] Univ Tasmania, Antarct Climate &amp; Ecosyst Cooperat Res Ctr, Hobart, Tas, Australia</t>
  </si>
  <si>
    <t>Columbia University; Commonwealth Scientific &amp; Industrial Research Organisation (CSIRO); University of Tasmania</t>
  </si>
  <si>
    <t>Groeskamp, S (corresponding author), Columbia Univ, Lamont Doherty Earth Observ, New York, NY USA.</t>
  </si>
  <si>
    <t>sjoerdgroeskamp@gmail.com</t>
  </si>
  <si>
    <t>Sloyan, Bernadette/N-8989-2014; Langlais, Clothilde/AAI-9859-2021; Lenton, Andrew/D-2077-2012; matear, richard/C-5133-2011</t>
  </si>
  <si>
    <t>Sloyan, Bernadette/0000-0003-0250-0167; Langlais, Clothilde/0000-0002-6423-7678; Lenton, Andrew/0000-0001-9437-8896; matear, richard/0000-0002-3225-0800</t>
  </si>
  <si>
    <t>NASA [NNX14AI46G]; Lamont-Doherty Earth Observatory; joint CSIRO Division-University of Tasmania Program in Quantitative Marine Science (QMS); CSIRO Division Wealth from Ocean flagship and through the OCE (Office of the Chief Executive) Science Team Postgraduate Scholarship Program; Centre of Excellence for Climate System Science; Australian Climate Change Science Program; department of Climate Change; CSIRO Division; NASA [681756, NNX14AI46G] Funding Source: Federal RePORTER</t>
  </si>
  <si>
    <t>NASA(National Aeronautics &amp; Space Administration (NASA)); Lamont-Doherty Earth Observatory; joint CSIRO Division-University of Tasmania Program in Quantitative Marine Science (QMS); CSIRO Division Wealth from Ocean flagship and through the OCE (Office of the Chief Executive) Science Team Postgraduate Scholarship Program; Centre of Excellence for Climate System Science; Australian Climate Change Science Program; department of Climate Change; CSIRO Division; NASA(National Aeronautics &amp; Space Administration (NASA))</t>
  </si>
  <si>
    <t>S.G. gratefully acknowledges support by the NASA grant NNX14AI46G and Lamont-Doherty Earth Observatory. S.G. was supported by the joint CSIRO Division-University of Tasmania Program in Quantitative Marine Science (QMS) and the CSIRO Division Wealth from Ocean flagship and through the OCE (Office of the Chief Executive) Science Team Postgraduate Scholarship Program and by the Centre of Excellence for Climate System Science. B.M.S., A.L., and R.M. was supported by the Australian Climate Change Science Program, jointly funded by the department of Climate Change and CSIRO Division. The model output that was used for this study can be obtained by sending a request (Andrew.Lenton@csiro.au). We thank Trevor McDougall for his involvement in initiating this project. We thank Daniele Iudicone for his comments that have significantly improved this manuscript.</t>
  </si>
  <si>
    <t>0886-6236</t>
  </si>
  <si>
    <t>1944-9224</t>
  </si>
  <si>
    <t>GLOBAL BIOGEOCHEM CY</t>
  </si>
  <si>
    <t>Glob. Biogeochem. Cycle</t>
  </si>
  <si>
    <t>10.1002/2016GB005476</t>
  </si>
  <si>
    <t>Environmental Sciences; Geosciences, Multidisciplinary; Meteorology &amp; Atmospheric Sciences</t>
  </si>
  <si>
    <t>Environmental Sciences &amp; Ecology; Geology; Meteorology &amp; Atmospheric Sciences</t>
  </si>
  <si>
    <t>EG1SK</t>
  </si>
  <si>
    <t>Green Published, Green Accepted, Bronze</t>
  </si>
  <si>
    <t>WOS:000390812300007</t>
  </si>
  <si>
    <t>Kyrová, K; Sedlácek, I; Pantucek, R; Králová, S; Holochová, P; Maslanová, I; Stanková, E; Kleinhagauer, T; Gelbicová, T; Sobotka, R; Svec, P; Busse, HJ</t>
  </si>
  <si>
    <t>Kyrova, Kamila; Sedlacek, Ivo; Pantucek, Roman; Kralova, Stanislava; Holochova, Pavla; Maslanova, Ivana; Stankova, Eva; Kleinhagauer, Tanita; Gelbicova, Tereza; Sobotka, Roman; Svec, Pavel; Busse, Hans-Jurgen</t>
  </si>
  <si>
    <t>Rufibacter ruber sp nov., isolated from fragmentary rock</t>
  </si>
  <si>
    <t>INTERNATIONAL JOURNAL OF SYSTEMATIC AND EVOLUTIONARY MICROBIOLOGY</t>
  </si>
  <si>
    <t>LIPID-COMPOSITION; BACTERIUM</t>
  </si>
  <si>
    <t>A red-pigmented, Gram-stain-negative, rod-shaped, aerobic bacterium, designated strain CCM 8646(T), was isolated from stone fragments in James Ross Island, Antarctica. Strain CCM 8646(T) was able to grow from 10 to 40 degrees C, in the presence of up to 1% (w/v) NaCl and at pH 7.0-11.0. Analysis of the 16S rRNA gene sequence placed strain CCM 8646(T) in the genus Rufibacter with the closest relative being Rufibacter roseus H359(T) (97.07% 16S rRNA gene sequence similarity). The digital DNA-DNA hybridization values between strain CCM 8646(T) and R. roseus H359(T) were low (21.30 +/- 2.34 %). The major quinone was menaquinone MK-7. The polar lipids comprised phosphatidylethanolamine, an unknown aminoglycolipid and six unknown polar lipids. The G+C content of strain CCM 8646(T) was 51.54 mol%. On the basis of phenotypic, chemotaxonomic and genotyping results, strain CCM 8646(T) is considered to represent a novel species within the genus Rufibacter, for which the name Rufibacter ruber sp. nov. is proposed. The type strain is CCM 8646(T) (= LMG 29438(T)).</t>
  </si>
  <si>
    <t>[Kyrova, Kamila; Sedlacek, Ivo; Kralova, Stanislava; Holochova, Pavla; Stankova, Eva; Gelbicova, Tereza; Svec, Pavel] Masaryk Univ, Fac Sci, Dept Expt Biol, Czech Collect Microorganisms, Kamenice 5, Brno 62500, Czech Republic; [Pantucek, Roman; Maslanova, Ivana] Masaryk Univ, Fac Sci, Dept Expt Biol, Sect Mol Biol, Kamenice 5, Brno 62500, Czech Republic; [Kleinhagauer, Tanita; Busse, Hans-Jurgen] Vet Med Univ Wien, Inst Mikrobiol, Vet Pl 1, A-1210 Vienna, Austria; [Sobotka, Roman] Acad Sci, Inst Microbiol, Ctr Algatech, Novohradska 237, Trebon 37981, Czech Republic</t>
  </si>
  <si>
    <t>Masaryk University Brno; Masaryk University Brno; University of Veterinary Medicine Vienna; Czech Academy of Sciences; Institute of Microbiology of the Czech Academy of Sciences</t>
  </si>
  <si>
    <t>Kyrová, K (corresponding author), Masaryk Univ, Fac Sci, Dept Expt Biol, Czech Collect Microorganisms, Kamenice 5, Brno 62500, Czech Republic.</t>
  </si>
  <si>
    <t>kyrova@sci.muni.cz</t>
  </si>
  <si>
    <t>Pantůček, Roman/P-6758-2014; Sedlacek, Ivo/IWU-8828-2023; Kralova, Stanislava/AAW-4815-2021; Svec, Pavel/B-1209-2008; Maslanova, Ivana/A-3081-2014; Gelbicova, Tereza/AAR-2682-2021; Sobotka, Roman/J-3077-2014; Bendickova, Kamila/D-1544-2017</t>
  </si>
  <si>
    <t>Pantůček, Roman/0000-0002-3950-675X; Kralova, Stanislava/0000-0003-3384-5328; Svec, Pavel/0000-0002-1051-5177; Maslanova, Ivana/0000-0002-2597-2848; Sobotka, Roman/0000-0001-5909-3879; Bendickova, Kamila/0000-0001-7767-1003</t>
  </si>
  <si>
    <t>Ministry of Education, Youth and Sports of the Czech Republic [LM2015078]; National Programme of Sustainability I [LO1416]</t>
  </si>
  <si>
    <t>Ministry of Education, Youth and Sports of the Czech Republic(Ministry of Education, Youth &amp; Sports - Czech Republic); National Programme of Sustainability I</t>
  </si>
  <si>
    <t>The authors thank the scientific infrastructure of the J. G. Mendel Czech Antarctic Station as a part of the Czech Polar Research Infrastructure (CzechPolar2) and its crew for their assistance, supported by the Ministry of Education, Youth and Sports of the Czech Republic (LM2015078). S.K. is a holder of Brno PhD Talent Financial Aid. R.S. was supported by the National Programme of Sustainability I (LO1416). Daniel Krsek (NRL for Diagnostic Electron Microscopy of Infectious Agens, National Institute of Public Health, Prague, Czech Republic) is acknowledged for transmission electron microscopy. The authors would also like to thank Jana Bajerova for excellent technical assistance and Bernhard Schink for help with the species name correction.</t>
  </si>
  <si>
    <t>MICROBIOLOGY SOC</t>
  </si>
  <si>
    <t>LONDON</t>
  </si>
  <si>
    <t>14-16 MEREDITH ST, LONDON, ENGLAND</t>
  </si>
  <si>
    <t>1466-5026</t>
  </si>
  <si>
    <t>1466-5034</t>
  </si>
  <si>
    <t>INT J SYST EVOL MICR</t>
  </si>
  <si>
    <t>Int. J. Syst. Evol. Microbiol.</t>
  </si>
  <si>
    <t>10.1099/ijsem.0.001364</t>
  </si>
  <si>
    <t>EF9YE</t>
  </si>
  <si>
    <t>Bronze</t>
  </si>
  <si>
    <t>WOS:000390686600015</t>
  </si>
  <si>
    <t>Tolar, BB; Ross, MJ; Wallsgrove, NJ; Liu, Q; Aluwihare, LI; Popp, BN; Hollibaugh, JT</t>
  </si>
  <si>
    <t>Tolar, Bradley B.; Ross, Meredith J.; Wallsgrove, Natalie J.; Liu, Qian; Aluwihare, Lihini I.; Popp, Brian N.; Hollibaugh, James T.</t>
  </si>
  <si>
    <t>Contribution of ammonia oxidation to chemoautotrophy in Antarctic coastal waters</t>
  </si>
  <si>
    <t>ISME JOURNAL</t>
  </si>
  <si>
    <t>PRIMARY NITRITE MAXIMUM; NORTH PACIFIC-OCEAN; GULF-OF-CALIFORNIA; OXIDIZING ARCHAEA; SURFACE WATERS; PLANKTONIC ARCHAEA; SOUTHERN-OCEAN; ARCTIC-OCEAN; SUMMER BACTERIOPLANKTON; NITRIFICATION RATES</t>
  </si>
  <si>
    <t>There are few measurements of nitrification in polar regions, yet geochemical evidence suggests that it is significant, and chemoautotrophy supported by nitrification has been suggested as an important contribution to prokaryotic production during the polar winter. This study reports seasonal ammonia oxidation (AO) rates, gene and transcript abundance in continental shelf waters west of the Antarctic Peninsula, where Thaumarchaeota strongly dominate populations of ammonia-oxidizing organisms. Higher AO rates were observed in the late winter surface mixed layer compared with the same water mass sampled during summer (mwean +/- s.e.:62 +/- 16 versus 13 +/- 2.8 nM per day, t-test P&lt;0.0005). AO rates in the circumpolar deep water did not differ between seasons (21 +/- 5.7 versus 24 +/- 6.6 nM per day; P=0.83), despite 5- to 20-fold greater Thaumarchaeota abundance during summer. AO rates correlated with concentrations of Archaea ammonia monooxygenase (amoA) genes during summer, but not with concentrations of Archaea amoA transcripts, or with ratios of Archaea amoA transcripts per gene, or with concentrations of Betaproteobacterial amoA genes or transcripts. The AO rates we report (&lt;0.1-220 nM per day) are similar to 10-fold greater than reported previously for Antarctic waters and suggest that inclusion of Antarctic coastal waters in global estimates of oceanic nitrification could increase global rate estimates by similar to 9%. Chemoautotrophic carbon fixation supported by AO was 3-6% of annualized phytoplankton primary production and production of Thaumarchaeota biomass supported by AO could account for similar to 9% of the bacterioplankton production measured in winter. Growth rates of thaumarchaeote populations inferred from AO rates averaged 0.3 per day and ranged from 0.01 to 2.1 per day.</t>
  </si>
  <si>
    <t>[Tolar, Bradley B.; Ross, Meredith J.; Liu, Qian; Hollibaugh, James T.] Univ Georgia, Dept Marine Sci, 248 Marine Sci Bldg, Athens, GA 30602 USA; [Tolar, Bradley B.] Univ Georgia, Dept Microbiol, Athens, GA 30602 USA; [Wallsgrove, Natalie J.; Popp, Brian N.] Univ Hawaii, Dept Geol &amp; Geophys, Honolulu, HI 96822 USA; [Aluwihare, Lihini I.] Univ Calif San Diego, Scripps Inst Oceanog, La Jolla, CA USA; [Tolar, Bradley B.] Stanford Univ, Dept Earth Syst Sci, Stanford, CA 94305 USA</t>
  </si>
  <si>
    <t>University System of Georgia; University of Georgia; University System of Georgia; University of Georgia; University of Hawaii System; University of California System; University of California San Diego; Scripps Institution of Oceanography; Stanford University</t>
  </si>
  <si>
    <t>Hollibaugh, JT (corresponding author), Univ Georgia, Dept Marine Sci, 248 Marine Sci Bldg, Athens, GA 30602 USA.</t>
  </si>
  <si>
    <t>aquadoc@uga.edu</t>
  </si>
  <si>
    <t>Liu, Qian/AAN-4312-2021</t>
  </si>
  <si>
    <t>Popp, Brian/0000-0001-7021-5478; Tolar, Bradley/0000-0003-0493-1470; Ross, Meredith/0000-0001-8502-2839</t>
  </si>
  <si>
    <t>Palmer LTER [ANT 08-23101]; US National Science Foundation [ANT 08-38996, OCE 09-43278, OCE 11-29260]; University of Georgia Graduate School (Innovative and Interdisciplinary Research Grant); Directorate For Geosciences; Office of Polar Programs (OPP) [1440435] Funding Source: National Science Foundation; Division Of Ocean Sciences; Directorate For Geosciences [1237140] Funding Source: National Science Foundation</t>
  </si>
  <si>
    <t>Palmer LTER; US National Science Foundation(National Science Foundation (NSF)); University of Georgia Graduate School (Innovative and Interdisciplinary Research Grant); Directorate For Geosciences; Office of Polar Programs (OPP)(National Science Foundation (NSF)NSF - Directorate for Geosciences (GEO)); Division Of Ocean Sciences; Directorate For Geosciences(National Science Foundation (NSF)NSF - Directorate for Geosciences (GEO))</t>
  </si>
  <si>
    <t>We thank the officers and crew of the ARSV Laurence M Gould and staff of Raytheon Polar Services Company for support during LMG 10-06 and LMG 11-01, especially E Pohlman, D Morehouse, S Alesandrini, T Baldwin and J Miller. We appreciate the assistance of R Jellison and the Palmer Station 2010-2011 Summer Crew with sample collection, and also thank L Ekern, S Moret and C Guest for technical and scientific expertise on the LMG, and H Ducklow and the Palmer LTER (funded through Grant ANT 08-23101) for additional support for LMG 11-01. Additionally, we thank J Wagner, C Givens, C Edwardson, C Ka'apu-Lyons, A Bratcher, L Lim, D Di Iorio and S Holland for assistance with analyses. GIS analyses that provided metrics of Antarctic coastal waters were provided by G Roth at the Polar Geospatial Center, University of Minnesota. This manuscript benefited from thoughtful comments by anonymous reviewers of a previous draft. This work was supported by the US National Science Foundation through Grants ANT 08-38996, OCE 09-43278 (both to JTH); and OCE 11-29260 (to BNP), and by the University of Georgia Graduate School (2011 Innovative and Interdisciplinary Research Grant to BBT). This is SOEST contribution number 9571.</t>
  </si>
  <si>
    <t>NATURE PUBLISHING GROUP</t>
  </si>
  <si>
    <t>MACMILLAN BUILDING, 4 CRINAN ST, LONDON N1 9XW, ENGLAND</t>
  </si>
  <si>
    <t>1751-7362</t>
  </si>
  <si>
    <t>1751-7370</t>
  </si>
  <si>
    <t>ISME J</t>
  </si>
  <si>
    <t>ISME J.</t>
  </si>
  <si>
    <t>10.1038/ismej.2016.61</t>
  </si>
  <si>
    <t>Ecology; Microbiology</t>
  </si>
  <si>
    <t>Environmental Sciences &amp; Ecology; Microbiology</t>
  </si>
  <si>
    <t>EB0LQ</t>
  </si>
  <si>
    <t>hybrid, Green Published</t>
  </si>
  <si>
    <t>WOS:000387035700005</t>
  </si>
  <si>
    <t>Arsenovic, P; Rozanov, E; Stenke, A; Funke, B; Wissing, JM; Mursula, K; Tummon, F; Peter, T</t>
  </si>
  <si>
    <t>Arsenovic, P.; Rozanov, E.; Stenke, A.; Funke, B.; Wissing, J. M.; Mursula, K.; Tummon, F.; Peter, T.</t>
  </si>
  <si>
    <t>The influence of Middle Range Energy Electrons on atmospheric chemistry and regional climate</t>
  </si>
  <si>
    <t>JOURNAL OF ATMOSPHERIC AND SOLAR-TERRESTRIAL PHYSICS</t>
  </si>
  <si>
    <t>Middle Energy Electrons; Mesosphere; Ozone; Atmospheric Chemistry; Climate</t>
  </si>
  <si>
    <t>SOLAR PROTON EVENT; PARTICLE-PRECIPITATION EVENTS; ION CHEMISTRY; NITRIC-OXIDE; COSMIC-RAYS; MODEL; MESOSPHERE; TEMPERATURE; VARIABILITY; OZONE</t>
  </si>
  <si>
    <t>We investigate the influence of Middle Range Energy Electrons (MEE; typically 30-300 keV) precipitation on the atmosphere using the SOCOL3-MPIOM chemistry-climate model with coupled ocean. Model simulations cover the 2002-2010 period for which ionization rates from the AIMOS dataset and atmospheric composition observations from MIPAS are available. Results show that during geomagnetically active periods MEE significantly increase the amount of NOy and HOx in the polar winter mesosphere, in addition to other particles and sources, resulting in local ozone decreases of up to 35%. These changes are followed by an intensification of the polar night jet, as well as mesospheric warming and stratospheric cooling. The contribution of MEE also substantially enhances the difference in the ozone anomalies between geomagnetically active and quiet periods. Comparison with MIPAS NOy observations indicates that the additional source of NOy from MEE improves the model results, however substantial underestimation above 50 km remains and requires better treatment of the NOy source from the thermosphere. A surface air temperature response is detected in several regions, with the most pronounced warming occurring in the Antarctic during austral winter. Surface warming of up to 2 K is also seen over continental Asia during boreal winter. (C) 2016 The Authors. Published by Elsevier Ltd.</t>
  </si>
  <si>
    <t>[Arsenovic, P.; Rozanov, E.; Stenke, A.; Tummon, F.; Peter, T.] ETH, Inst Atmospher &amp; Climate Sci, Univ Str 16, CH-8092 Zurich, Switzerland; [Rozanov, E.] Phys Meteorol Observatorium Davos, World Radiat Ctr, Davos, Switzerland; [Funke, B.] CSIC, Inst Astrofis Andalucia, Granada, Spain; [Wissing, J. M.] Univ Osnabruck, Lower Saxony, Germany; [Mursula, K.] ReSoLVE Ctr Excellence, Oulu, Finland</t>
  </si>
  <si>
    <t>Swiss Federal Institutes of Technology Domain; ETH Zurich; Consejo Superior de Investigaciones Cientificas (CSIC); CSIC - Instituto de Astrofisica de Andalucia (IAA); University Osnabruck</t>
  </si>
  <si>
    <t>Arsenovic, P (corresponding author), ETH, Inst Atmospher &amp; Climate Sci, Univ Str 16, CH-8092 Zurich, Switzerland.</t>
  </si>
  <si>
    <t>pavle.arsenovic@env.ethz.ch</t>
  </si>
  <si>
    <t>Peter, Thomas/B-2529-2018; Funke, Bernd/C-2162-2008; Stenke, Andrea/GYJ-6299-2022; Rozanov, Eugene/A-9857-2012; Mursula, Kalevi/L-8952-2014; Rozanov, Eugene/V-1881-2018; Arsenovic, Pavle/M-8919-2018</t>
  </si>
  <si>
    <t>Peter, Thomas/0000-0002-7218-7156; Rozanov, Eugene/0000-0003-0479-4488; Mursula, Kalevi/0000-0003-4892-5056; Rozanov, Eugene/0000-0003-0479-4488; Arsenovic, Pavle/0000-0001-8844-7007; Stenke, Andrea/0000-0002-5916-4013; Tummon, Fiona/0000-0002-6459-339X</t>
  </si>
  <si>
    <t>Swiss National Science Foundation [CRSII2-147659, 20FI21_138017]; Academy of Finland [272157]; Swiss National Science Foundation (SNF) [20FI21_138017] Funding Source: Swiss National Science Foundation (SNF)</t>
  </si>
  <si>
    <t>Swiss National Science Foundation(Swiss National Science Foundation (SNSF)); Academy of Finland(Research Council of Finland); Swiss National Science Foundation (SNF)(Swiss National Science Foundation (SNSF))</t>
  </si>
  <si>
    <t>This work has been supported by the Swiss National Science Foundation under Grant CRSII2-147659 (FUPSOL II). F. Tummon has been supported by the Swiss National Science Foundation under Project 20FI21_138017. This work is a part of ROSMIC WG1 activity within the SCOSTEP VarSITI program. We would also like to acknowledge the financial support by the Academy of Finland to the ReSoLVE Centre of Excellence (project no. 272157). We thank Ales Kuchar from Charles University, Prague, Czech Republic for assistance with improving the graphics.</t>
  </si>
  <si>
    <t>PERGAMON-ELSEVIER SCIENCE LTD</t>
  </si>
  <si>
    <t>OXFORD</t>
  </si>
  <si>
    <t>THE BOULEVARD, LANGFORD LANE, KIDLINGTON, OXFORD OX5 1GB, ENGLAND</t>
  </si>
  <si>
    <t>1364-6826</t>
  </si>
  <si>
    <t>1879-1824</t>
  </si>
  <si>
    <t>J ATMOS SOL-TERR PHY</t>
  </si>
  <si>
    <t>J. Atmos. Sol.-Terr. Phys.</t>
  </si>
  <si>
    <t>10.1016/j.jastp.2016.04.008</t>
  </si>
  <si>
    <t>Geochemistry &amp; Geophysics; Meteorology &amp; Atmospheric Sciences</t>
  </si>
  <si>
    <t>ED8AO</t>
  </si>
  <si>
    <t>WOS:000389094300021</t>
  </si>
  <si>
    <t>Lam, MM; Tinsley, BA</t>
  </si>
  <si>
    <t>Lam, Mai Mai; Tinsley, Brian A.</t>
  </si>
  <si>
    <t>Solar wind-atmospheric electricity-cloud microphysics connections to weather and climate</t>
  </si>
  <si>
    <t>Review</t>
  </si>
  <si>
    <t>Solar wind; Atmospheric electricity; Cloud microphysics; Weather and climate</t>
  </si>
  <si>
    <t>GALACTIC COSMIC-RAYS; MAGNETIC-SECTOR STRUCTURE; HELIOSPHERIC CURRENT SHEET; CHARGED AEROSOL-PARTICLES; TROPOSPHERIC VORTICITY; STRATOSPHERIC AEROSOLS; WEAK ELECTRIFICATION; VOLCANIC AEROSOLS; FORBUSH DECREASES; STORM VORTICITY</t>
  </si>
  <si>
    <t>We review recent research articles that present observations of the large-scale day-to-day dynamic tropospheric response to changes in the downward current density J(z) of the global atmospheric electric circuit (GEC). The evidence for the global circuit downward current density, j(z), causing changes in atmospheric dynamics is now even stronger than as reviewed by Tinsley (2008) (Rep. Prog. Phys. 71, 066801). We consider proposed mechanisms for these responses, and suggest future directions for research. (C) 2015 Elsevier Ltd. All rights reserved.</t>
  </si>
  <si>
    <t>[Lam, Mai Mai] British Antarctic Survey, Cambridge, England; [Tinsley, Brian A.] Univ Texas Dallas, Richardson, TX 75083 USA</t>
  </si>
  <si>
    <t>UK Research &amp; Innovation (UKRI); Natural Environment Research Council (NERC); NERC British Antarctic Survey; University of Texas System; University of Texas Dallas</t>
  </si>
  <si>
    <t>Lam, MM (corresponding author), Univ Reading, Dept Meteorol, POB 243, Reading RG6 6BB, Berks, England.</t>
  </si>
  <si>
    <t>maimailam7@gmail.com</t>
  </si>
  <si>
    <t>NSF [AGS 0836171]; NSFC [41271054]; NERC [NE/I024852/1]; Philip Leverhulme Prize from the Leverhulme Trust; International Space Science Institute (ISSI) [278]; EU COST action TOSCA [ES1005]; NERC [bas0100031, NE/I024852/1] Funding Source: UKRI; Natural Environment Research Council [bas0100031, NE/I024852/1] Funding Source: researchfish</t>
  </si>
  <si>
    <t>NSF(National Science Foundation (NSF)); NSFC(National Natural Science Foundation of China (NSFC)); NERC(UK Research &amp; Innovation (UKRI)Natural Environment Research Council (NERC)); Philip Leverhulme Prize from the Leverhulme Trust(Leverhulme Trust); International Space Science Institute (ISSI); EU COST action TOSCA; NERC(UK Research &amp; Innovation (UKRI)Natural Environment Research Council (NERC)); Natural Environment Research Council(UK Research &amp; Innovation (UKRI)Natural Environment Research Council (NERC))</t>
  </si>
  <si>
    <t>BAT was supported by NSF Grant AGS 0836171 and by NSFC grant 41271054. MML was supported by NERC Grant NE/I024852/1 and by funds from a Philip Leverhulme Prize from the Leverhulme Trust. We gratefully acknowledge the support of the International Space Science Institute (ISSI) grant 278 (Effects of Interplanetary Disturbances on the Earth's Atmosphere and Climate), and of the EU COST action TOSCA (ES1005) which funded our attendance at meetings which contributed to useful discussions of this work. We thank two reviewers for constructive comments.</t>
  </si>
  <si>
    <t>10.1016/j.jastp.2015.10.019</t>
  </si>
  <si>
    <t>Green Accepted, hybrid</t>
  </si>
  <si>
    <t>WOS:000389094300028</t>
  </si>
  <si>
    <t>Christianson, K; Jacobel, RW; Horgan, HJ; Alley, RB; Anandakrishnan, S; Holland, DM; DallaSanta, KJ</t>
  </si>
  <si>
    <t>Christianson, Knut; Jacobel, Robert W.; Horgan, Huw J.; Alley, Richard B.; Anandakrishnan, Sridhar; Holland, David M.; DallaSanta, Kevin J.</t>
  </si>
  <si>
    <t>Basal conditions at the grounding zone of Whillans Ice Stream, West Antarctica, from ice-penetrating radar</t>
  </si>
  <si>
    <t>JOURNAL OF GEOPHYSICAL RESEARCH-EARTH SURFACE</t>
  </si>
  <si>
    <t>ice stream; ice shelf; grounding zone; ice; ocean interactions; ice-penetrating radar</t>
  </si>
  <si>
    <t>PINE ISLAND GLACIER; ACTIVE RESERVOIR BENEATH; SUBGLACIAL LAKE WHILLANS; RADIATION-PATTERNS; BOTTOM CREVASSES; THWAITES GLACIER; SHELF; LINE; SHEET; WATER</t>
  </si>
  <si>
    <t>We present a comprehensive ice-penetrating radar survey of a subglacial embayment and adjacent peninsula along the grounding zone of Whillans Ice Stream, West Antarctica. Through basal waveform and reflectivity analysis, we identify four distinct basal interfaces: (1) an ice-water-saturated till interface inland of grounding; (2) a complex interface in the grounding zone with variations in reflectivity and waveforms caused by reflections from fluting, sediment deposits, and crevasses; (3) an interface of anomalously low-reflectivity downstream of grounding in unambiguously floating areas of the embayment due to basal roughness and entrained debris; and (4) a high-reflectivity ice-seawater interface that occurs immediately seaward of grounding at the subglacial peninsula and several kilometers seaward of grounding in the embayment, occurring after basal debris and grounding zone flutes have melted off the ice bottom. Sediment deposition via basal debris melt-out occurs in both locations. The higher basal melt rate at the peninsula contributes to greater grounding line stability by enabling faster construction of a stabilizing sediment wedge. In the embayment, the low slopes of the ice bottom and bed prevent development of a strong thermohaline circulation leading to a lower basal melt rate and less rapid sediment deposition. Thus, grounding lines in subglacial embayments are more likely to lack stabilizing sediment deposits and are more prone to external forcing, whether from the ocean, the subglacial water system, or large-scale ice dynamics. Our conclusions indicate that subglacial peninsulas and embayments should be treated differently in ice sheet-ocean models if these models are to accurately simulate grounding line response to external forcing.</t>
  </si>
  <si>
    <t>[Christianson, Knut] Univ Washington, Dept Earth &amp; Space Sci, Seattle, WA 98195 USA; [Jacobel, Robert W.] St Olaf Coll, Dept Phys, Northfield, MN 55057 USA; [Horgan, Huw J.] Victoria Univ Wellington, Antarctic Res Ctr, Wellington, New Zealand; [Alley, Richard B.; Anandakrishnan, Sridhar] Penn State Univ, Dept Geosci, University Pk, PA 16802 USA; [Alley, Richard B.; Anandakrishnan, Sridhar] Penn State Univ, Earth &amp; Environm Syst Inst, University Pk, PA 16802 USA; [Holland, David M.; DallaSanta, Kevin J.] NYU, Courant Inst Math Sci, New York, NY USA</t>
  </si>
  <si>
    <t>University of Washington; University of Washington Seattle; Saint Olaf College; Victoria University Wellington; Pennsylvania Commonwealth System of Higher Education (PCSHE); Pennsylvania State University; Pennsylvania State University - University Park; Pennsylvania Commonwealth System of Higher Education (PCSHE); Pennsylvania State University; Pennsylvania State University - University Park; New York University</t>
  </si>
  <si>
    <t>Christianson, K (corresponding author), Univ Washington, Dept Earth &amp; Space Sci, Seattle, WA 98195 USA.</t>
  </si>
  <si>
    <t>knut@uw.edu</t>
  </si>
  <si>
    <t>Horgan, Huw/I-5847-2019; DallaSanta, Kevin/GPC-8701-2022; Anandakrishnan, Sridhar/JCN-5026-2023</t>
  </si>
  <si>
    <t>Horgan, Huw/0000-0002-4836-0078; DallaSanta, Kevin/0000-0002-5411-7728</t>
  </si>
  <si>
    <t>U.S. National Science Foundation (NSF OPP grants) [0838854, 0838855, 0838763, 0838764]; National Aeronautics and Space Administration (NASA) [NNX12AB69G]; Directorate For Geosciences; Office of Polar Programs (OPP) [0838763] Funding Source: National Science Foundation; Office of Polar Programs (OPP); Directorate For Geosciences [0838764] Funding Source: National Science Foundation</t>
  </si>
  <si>
    <t>U.S. National Science Foundation (NSF OPP grants)(National Science Foundation (NSF)NSF - Directorate for Geosciences (GEO)); National Aeronautics and Space Administration (NASA)(National Aeronautics &amp; Space Administration (NASA)); Directorate For Geosciences; Office of Polar Programs (OPP)(National Science Foundation (NSF)NSF - Directorate for Geosciences (GEO)); Office of Polar Programs (OPP); Directorate For Geosciences(National Science Foundation (NSF)NSF - Directorate for Geosciences (GEO))</t>
  </si>
  <si>
    <t>This project was funded by the U.S. National Science Foundation (NSF OPP grants 0838854, 0838855, 0838763, and 0838764) and the National Aeronautics and Space Administration (NASA grant NNX12AB69G). We thank Benjamin Petersen and the WISSARD geophysics 2011-2012 team for assistance with the fieldwork. Rebecca Gobel, Benjamin Keisling, and Lauren Snyder assisted with portions of the data processing. NSIDC provided MODIS MOA, DInSAR, and ICESat GLAS data. GPS base station data were obtained from UNAVCO and SOPAC. We thank Eric Rignot, Helen Fricker, and Geir Moholdt for digitization of the grounding zone in DInSAR and ICESat GLAS data. Joseph MacGregor provided dielectric amplitude modeling code. Logistical support was provided by Raytheon Polar Services, Kenn Borek Air, and the New York Air National Guard. Radar and GPS data are archived at the National Snow and Ice Data Center (http://nsidc.org/data/docs/agdc/nsidc0594/index.html).</t>
  </si>
  <si>
    <t>2169-9003</t>
  </si>
  <si>
    <t>2169-9011</t>
  </si>
  <si>
    <t>J GEOPHYS RES-EARTH</t>
  </si>
  <si>
    <t>J. Geophys. Res.-Earth Surf.</t>
  </si>
  <si>
    <t>10.1002/2015JF003806</t>
  </si>
  <si>
    <t>Geosciences, Multidisciplinary</t>
  </si>
  <si>
    <t>EI9KD</t>
  </si>
  <si>
    <t>WOS:000392825900001</t>
  </si>
  <si>
    <t>Cammen, KM; Andrews, KR; Carroll, EL; Foote, AD; Humble, E; Khudyakov, JI; Louis, M; McGowen, MR; Olsen, MT; Van Cise, AM</t>
  </si>
  <si>
    <t>Cammen, Kristina M.; Andrews, Kimberly R.; Carroll, Emma L.; Foote, Andrew D.; Humble, Emily; Khudyakov, Jane I.; Louis, Marie; McGowen, Michael R.; Olsen, Morten Tange; Van Cise, Amy M.</t>
  </si>
  <si>
    <t>Genomic Methods Take the Plunge: Recent Advances in High-Throughput Sequencing of Marine Mammals</t>
  </si>
  <si>
    <t>JOURNAL OF HEREDITY</t>
  </si>
  <si>
    <t>non-model organisms; RADseq; RNAseq; SNP array; target sequence capture; whole genome sequencing</t>
  </si>
  <si>
    <t>COMPLETE MITOCHONDRIAL GENOME; BOTTLE-NOSED DOLPHINS; NON-MODEL ORGANISMS; RNA-SEQ DATA; POPULATION GENOMICS; DE-NOVO; GENE-EXPRESSION; ULTRACONSERVED ELEMENTS; DIFFERENTIAL EXPRESSION; TRANSCRIPTOMIC ANALYSIS</t>
  </si>
  <si>
    <t>The dramatic increase in the application of genomic techniques to non-model organisms (NMOs) over the past decade has yielded numerous valuable contributions to evolutionary biology and ecology, many of which would not have been possible with traditional genetic markers. We review this recent progression with a particular focus on genomic studies of marine mammals, a group of taxa that represent key macroevolutionary transitions from terrestrial to marine environments and for which available genomic resources have recently undergone notable rapid growth. Genomic studies of NMOs utilize an expanding range of approaches, including whole genome sequencing, restriction site-associated DNA sequencing, array-based sequencing of single nucleotide polymorphisms and target sequence probes (e.g., exomes), and transcriptome sequencing. These approaches generate different types and quantities of data, and many can be applied with limited or no prior genomic resources, thus overcoming one traditional limitation of research on NMOs. Within marine mammals, such studies have thus far yielded significant contributions to the fields of phylogenomics and comparative genomics, as well as enabled investigations of fitness, demography, and population structure. Here we review the primary options for generating genomic data, introduce several emerging techniques, and discuss the suitability of each approach for different applications in the study of NMOs.</t>
  </si>
  <si>
    <t>[Cammen, Kristina M.] Univ Maine, Sch Marine Sci, Orono, ME 04469 USA; [Andrews, Kimberly R.] Univ Idaho, Dept Fish &amp; Wildlife Sci, 875 Perimeter Dr MS 1136, Moscow, ID 83844 USA; [Carroll, Emma L.; Louis, Marie] Univ St Andrews, Scottish Oceans Inst, St Andrews KY16 8LB, Fife, Scotland; [Foote, Andrew D.] Univ Bern, Inst Ecol &amp; Evolut, Computat &amp; Mol Populat Genet Lab, CH-3012 Bern, Switzerland; [Humble, Emily] Univ Bielefeld, Dept Anim Behav, Postfach 100131, D-33501 Bielefeld, Germany; [Humble, Emily] British Antarctic Survey, Cambridge CB3 0ET, England; [Khudyakov, Jane I.] Sonoma State Univ, Dept Biol, Rohnert Pk, CA 94928 USA; [McGowen, Michael R.] Queen Mary Univ London, Sch Biol &amp; Chem Sci, Mile End Rd, London E1 4NS, England; [Olsen, Morten Tange] Univ Copenhagen, Nat Hist Museum Denmark, Evolutionary Genom Sect, DK-1353 Copenhagen K, Denmark; [Van Cise, Amy M.] Univ Calif San Diego, Scripps Inst Oceanog, 8622 Kennel Way, La Jolla, CA 92037 USA</t>
  </si>
  <si>
    <t>University of Maine System; University of Maine Orono; Idaho; University of Idaho; University of St Andrews; University of Bern; University of Bielefeld; UK Research &amp; Innovation (UKRI); Natural Environment Research Council (NERC); NERC British Antarctic Survey; California State University System; Sonoma State University; University of London; Queen Mary University London; University of Copenhagen; University of California System; University of California San Diego; Scripps Institution of Oceanography</t>
  </si>
  <si>
    <t>Cammen, KM (corresponding author), Univ Maine, Sch Marine Sci, Orono, ME 04469 USA.</t>
  </si>
  <si>
    <t>kristina.cammen@maine.edu</t>
  </si>
  <si>
    <t>Carroll, Emma/U-9133-2019; Khudyakov, Jane/C-1213-2014; Olsen, Morten Tange/J-4783-2013</t>
  </si>
  <si>
    <t>Carroll, Emma/0000-0003-3193-7288; Foote, Andrew/0000-0001-7384-1634; Olsen, Morten Tange/0000-0001-6716-6345; Louis, Marie/0000-0002-4611-5503; Cammen, Kristina/0000-0002-3923-6438</t>
  </si>
  <si>
    <t>National Science Foundation Postdoctoral Research Fellowship in Biology [1523568]; Office of Naval Research Award [N00014-15-1-2773]; Marie Slodowska Curie Fellowship - EU Horizon2020 program; Royal Society Newton International Fellowships; Deutsche Forschungsgemeinschaft Studentship; Fyssen Foundation Postdoctoral Fellowship; University of Idaho College of Natural Resources; European Science Foundation-Research Networking Programme ConGenOmics; Swiss National Science Foundation Award [31003A-143393]; Special Event Award from the American Genetic Association; Direct For Biological Sciences; Div Of Biological Infrastructure [1523568] Funding Source: National Science Foundation; Swiss National Science Foundation (SNF) [31003A_143393] Funding Source: Swiss National Science Foundation (SNF); NERC [bas0100035] Funding Source: UKRI; Natural Environment Research Council [bas0100035] Funding Source: researchfish</t>
  </si>
  <si>
    <t>National Science Foundation Postdoctoral Research Fellowship in Biology; Office of Naval Research Award(Office of Naval Research); Marie Slodowska Curie Fellowship - EU Horizon2020 program(European Union (EU)); Royal Society Newton International Fellowships(Royal Society); Deutsche Forschungsgemeinschaft Studentship(German Research Foundation (DFG)); Fyssen Foundation Postdoctoral Fellowship; University of Idaho College of Natural Resources; European Science Foundation-Research Networking Programme ConGenOmics; Swiss National Science Foundation Award(Swiss National Science Foundation (SNSF)); Special Event Award from the American Genetic Association; Direct For Biological Sciences; Div Of Biological Infrastructure(National Science Foundation (NSF)NSF - Directorate for Biological Sciences (BIO)); Swiss National Science Foundation (SNF)(Swiss National Science Foundation (SNSF)); NERC(UK Research &amp; Innovation (UKRI)Natural Environment Research Council (NERC)); Natural Environment Research Council(UK Research &amp; Innovation (UKRI)Natural Environment Research Council (NERC))</t>
  </si>
  <si>
    <t>The authors involved in this work were supported by a National Science Foundation Postdoctoral Research Fellowship in Biology (1523568) to K.M.C.; an Office of Naval Research Award (N00014-15-1-2773) to J.I.K.; a Marie Slodowska Curie Fellowship to E.L.C. (Behaviour-Connect) funded by the EU Horizon2020 program; Royal Society Newton International Fellowships to E.L.C. and M.R.M.; a Deutsche Forschungsgemeinschaft Studentship to E.H.; a Fyssen Foundation Postdoctoral Fellowship to M.L.; postdoctoral funding from the University of Idaho College of Natural Resources to K.R.A.; a short visit grant from the European Science Foundation-Research Networking Programme ConGenOmics to A.D.F.; and a Swiss National Science Foundation Award (31003A-143393) to L. Excoffier that further supported A.D.F. The first marine mammal genomics workshop we held to begin discussions towards this review was supported by a Special Event Award from the American Genetic Association.</t>
  </si>
  <si>
    <t>OXFORD UNIV PRESS INC</t>
  </si>
  <si>
    <t>CARY</t>
  </si>
  <si>
    <t>JOURNALS DEPT, 2001 EVANS RD, CARY, NC 27513 USA</t>
  </si>
  <si>
    <t>0022-1503</t>
  </si>
  <si>
    <t>1465-7333</t>
  </si>
  <si>
    <t>J HERED</t>
  </si>
  <si>
    <t>J. Hered.</t>
  </si>
  <si>
    <t>10.1093/jhered/esw044</t>
  </si>
  <si>
    <t>Evolutionary Biology; Genetics &amp; Heredity</t>
  </si>
  <si>
    <t>DX3CC</t>
  </si>
  <si>
    <t>WOS:000384249400001</t>
  </si>
  <si>
    <t>Wang, JB; Mazloff, MR; Gille, ST</t>
  </si>
  <si>
    <t>Wang, Jinbo; Mazloff, Matthew R.; Gille, Sarah T.</t>
  </si>
  <si>
    <t>The Effect of the Kerguelen Plateau on the Ocean Circulation</t>
  </si>
  <si>
    <t>JOURNAL OF PHYSICAL OCEANOGRAPHY</t>
  </si>
  <si>
    <t>ANTARCTIC CIRCUMPOLAR CURRENT; SOUTHERN-OCEAN; MOMENTUM BALANCE; AGULHAS LEAKAGE; DRAKE PASSAGE; INDIAN-OCEAN; FORM STRESS; TRANSPORT; MODEL; CHANNEL</t>
  </si>
  <si>
    <t>The Kerguelen Plateau is a major topographic feature in the Southern Ocean. Located in the Indian sector and spanning nearly 2000 km in the meridional direction from the polar to the subantarctic region, it deflects the eastward-flowing Antarctic Circumpolar Current and influences the physical circulation and biogeochemistry of the Southern Ocean. The Kerguelen Plateau is known to govern the local dynamics, but its impact on the large-scale ocean circulation has not been explored. By comparing global ocean numerical simulations with and without the Kerguelen Plateau, this study identifies two major Kerguelen Plateau effects: 1) The plateau supports a local pressure field that pushes the Antarctic Circumpolar Current northward. This process reduces the warm-water transport from the Indian to the Atlantic Ocean. 2) The plateau-generated pressure field shields the Weddell Gyre from the influence of the warmer subantarctic and subtropical waters. The first effect influences the strength of the Antarctic Circumpolar Current and the Agulhas leakage, both of which are important elements in the global thermohaline circulation. The second effect results in a zonally asymmetric response of the subpolar gyres to Southern Hemisphere wind forcing.</t>
  </si>
  <si>
    <t>[Wang, Jinbo; Mazloff, Matthew R.; Gille, Sarah T.] Univ Calif San Diego, Scripps Inst Oceanog, La Jolla, CA 92093 USA; [Wang, Jinbo] CALTECH, Jet Prop Lab, Pasadena, CA USA</t>
  </si>
  <si>
    <t>University of California System; University of California San Diego; Scripps Institution of Oceanography; California Institute of Technology; National Aeronautics &amp; Space Administration (NASA); NASA Jet Propulsion Laboratory (JPL)</t>
  </si>
  <si>
    <t>Wang, JB (corresponding author), 4800 Oak Grove Dr, Pasadena, CA 91109 USA.</t>
  </si>
  <si>
    <t>jinbow@alum.mit.edu</t>
  </si>
  <si>
    <t>Mazloff, Matthew/AAG-6463-2019; Wang, Jinbo/H-1174-2015; Gille, Sarah T./B-3171-2012</t>
  </si>
  <si>
    <t>Mazloff, Matthew/0000-0002-1650-5850; Wang, Jinbo/0000-0001-5034-5566; Gille, Sarah/0000-0001-9144-4368</t>
  </si>
  <si>
    <t>NSF [OCE-1234473, PLR-1425989]; Directorate For Geosciences; Division Of Ocean Sciences [1234473] Funding Source: National Science Foundation; Directorate For Geosciences; Office of Polar Programs (OPP) [1425989] Funding Source: National Science Foundation</t>
  </si>
  <si>
    <t>NSF(National Science Foundation (NSF)); Directorate For Geosciences; Division Of Ocean Sciences(National Science Foundation (NSF)NSF - Directorate for Geosciences (GEO)); Directorate For Geosciences; Office of Polar Programs (OPP)(National Science Foundation (NSF)NSF - Directorate for Geosciences (GEO))</t>
  </si>
  <si>
    <t>Wang, Mazloff, and Gille are supported by NSF OCE-1234473 and PLR-1425989. We thank Jessica Masich, Lynne Talley, Andy Hogg, Paola Cessi, Wei Liu, and two anonymous reviewers for their comments.</t>
  </si>
  <si>
    <t>AMER METEOROLOGICAL SOC</t>
  </si>
  <si>
    <t>BOSTON</t>
  </si>
  <si>
    <t>45 BEACON ST, BOSTON, MA 02108-3693 USA</t>
  </si>
  <si>
    <t>0022-3670</t>
  </si>
  <si>
    <t>1520-0485</t>
  </si>
  <si>
    <t>J PHYS OCEANOGR</t>
  </si>
  <si>
    <t>J. Phys. Oceanogr.</t>
  </si>
  <si>
    <t>10.1175/JPO-D-15-0216.1</t>
  </si>
  <si>
    <t>Oceanography</t>
  </si>
  <si>
    <t>ED7IJ</t>
  </si>
  <si>
    <t>Green Submitted, hybrid</t>
  </si>
  <si>
    <t>WOS:000389036600008</t>
  </si>
  <si>
    <t>Coggon, RM; Teagle, DAH; Harris, M; Davidson, GJ; Alt, JC; Brewer, TS</t>
  </si>
  <si>
    <t>Coggon, Rosalind M.; Teagle, Damon A. H.; Harris, Michelle; Davidson, Garry J.; Alt, Jeffrey C.; Brewer, Timothy S.</t>
  </si>
  <si>
    <t>Hydrothermal contributions to global biogeochemical cycles: Insights from the Macquarie Island ophiolite</t>
  </si>
  <si>
    <t>LITHOS</t>
  </si>
  <si>
    <t>Ocean crust; Hydrothermal alteration; Biogeochemical cycles; Macquarie Island; Ophiolite</t>
  </si>
  <si>
    <t>SULFUR ISOTOPIC PROFILE; OCEANIC-CRUST; TROODOS OPHIOLITE; PLATE BOUNDARY; FLUID FLUXES; SW PACIFIC; HOLE 504B; RIDGE; SEAWATER; EVOLUTION</t>
  </si>
  <si>
    <t>Hydrothermal circulation is a fundamental process in the formation and aging of the ocean crust, with the resultant chemical exchange between the crust and oceans comprising a key component of global biogeochemical cycles. Sections of hydrothermally altered ocean crust provide time-integrated records of this chemical exchange. Unfortunately, our knowledge of the nature and extent of hydrothermal exchange is limited by the absence of complete oceanic crustal sections from either submarine exposures or drill core. Sub-Antarctic Macquarie Island comprises similar to 10 Ma ocean crust formed at a slow spreading ridge, and is the only sub-aerial exposure of a complete section of ocean crust in the ocean basin in which it formed. Hydrothermally altered rocks from Macquarie Island therefore provide a unique opportunity to evaluate the chemical changes due to fluid-rock exchange through a complete section of ocean crust Here we exploit the immobile behavior of some elements during hydrothermal alteration to determine the precursor compositions to altered Macquarie whole rock samples, and evaluate the changes in bulk rack chemistry due to fluid-rock interaction throughout the Macquarie crust. The extent to which elements are enriched or depleted in each sample depends upon the secondary Mineral assemblage developed, and hence the modal abundances of the primary minerals in the rocks and the alteration conditions, such as temperature, fluid composition, and water:rock ratios. Consequently the chemical changes vary with depth, most notably within the lava-dike transition zone where enrichments in K, S, Rb, Ba, and Zn are observed. Our results indicate that hydrothermal alteration of the Macquarie crust resulted in a net flux of Si, Ti, Al, and Ca to the oceans, whereas the crust was a net sink for H(2)0, Mg, Na, K, and S. Our results also demonstrate the importance of including the contribution of elemental uptake by veins for some elements (e.g., Si, Fe, Mg, S). Extrapolation of our results, assuming a crustal production rate of 3 km(2)/yr, yields estimates of the hydrothermal contribution to global geochemical cycles. For example, the Mg flux to the crust is estimated to be 3.3 +/- 1.1 x 10(12) mol/year, sufficient to balance the riverine Mg input to the oceans given the uncertainties involved. However, the relationship between spreading rate and hydrothermal chemical exchange fluxes remains poorly understood, and the approach described here should be applied to crust produced at a range of spreading rates to refine the global hydrothermal flux estimates. (C) 2016 The Authors. Published by Elsevier B.V.</t>
  </si>
  <si>
    <t>[Coggon, Rosalind M.; Teagle, Damon A. H.; Harris, Michelle] Univ Southampton, Natl Oceanog Ctr Southampton, Ocean &amp; Earth Sci, European Way, Southampton SO14 3ZH, Hants, England; [Harris, Michelle] Univ Plymouth, Sch Geog Earth &amp; Environm Sci, Plymouth PL4 8AA, Devon, England; [Davidson, Garry J.] Univ Tasmania, ARC Ctr Excellence Ore Deposit Res CODES, Sch Phys Sci, Private Bag 79, Hobart, Tas 7001, Australia; [Alt, Jeffrey C.] Univ Michigan, Earth &amp; Environm Sci, 2534 CC Little Bldg,7100 North Univ Ave, Ann Arbor, MI 48109 USA; [Brewer, Timothy S.] Univ Leicester, Dept Geol, Univ Rd, Leicester LE1 7RH, Leics, England</t>
  </si>
  <si>
    <t>NERC National Oceanography Centre; University of Southampton; University of Plymouth; University of Tasmania; University of Michigan System; University of Michigan; University of Leicester</t>
  </si>
  <si>
    <t>Coggon, RM (corresponding author), Univ Southampton, Natl Oceanog Ctr Southampton, Ocean &amp; Earth Sci, European Way, Southampton SO14 3ZH, Hants, England.</t>
  </si>
  <si>
    <t>R.M.Coggon@southampton.ac.uk; Damon.Teagle@southampton.ac.uk; michelle.harris@plymouth.ac.uk; Garry.Davidson@utas.edu.au; jalt@umich.edu</t>
  </si>
  <si>
    <t>Coggon, Rosalind/JJC-7409-2023; Coggon, Rosalind/M-8816-2017</t>
  </si>
  <si>
    <t>Coggon, Rosalind/0000-0002-9228-9707; Teagle, Damon/0000-0002-4416-8409; Harris, Michelle/0000-0001-9618-2862</t>
  </si>
  <si>
    <t>Australian Antarctic Division Project [2327-55th ANARE]; Royal Society [24177]; Nuffield Foundation [NAL/00392/G]; Natural Environmental Research (NERC) - Natural History Museum CASE studentship [NER/S/A/2001/063]; Royal Society Dorothy Hodgkin Fellowship [DH100131]; NERC studentship [NER/S/A/2005/1347A]; US National Science Foundation [OCE-9911901]; Australian Research Council postdoctoral fellowship [D0008755, D0009364]; ANARE, Mineral Resources Tasmania [2122]; Royal Society Wolfson Foundation Merit Award [WM130051]; NERC [NE/I006311/1, NE/E001971/1, NE/J006068/1] Funding Source: UKRI; Royal Society [DH100131] Funding Source: Royal Society; Natural Environment Research Council [NE/E001971/1, NE/J006068/1, NER/T/S/2003/00048, NE/I006311/1] Funding Source: researchfish</t>
  </si>
  <si>
    <t>Australian Antarctic Division Project; Royal Society(Royal Society); Nuffield Foundation; Natural Environmental Research (NERC) - Natural History Museum CASE studentship; Royal Society Dorothy Hodgkin Fellowship(Royal Society); NERC studentship(UK Research &amp; Innovation (UKRI)Natural Environment Research Council (NERC)); US National Science Foundation(National Science Foundation (NSF)); Australian Research Council postdoctoral fellowship(Australian Research Council); ANARE, Mineral Resources Tasmania; Royal Society Wolfson Foundation Merit Award(Royal Society); NERC(UK Research &amp; Innovation (UKRI)Natural Environment Research Council (NERC)); Royal Society(Royal Society); Natural Environment Research Council(UK Research &amp; Innovation (UKRI)Natural Environment Research Council (NERC))</t>
  </si>
  <si>
    <t>This research was funded by: Australian Antarctic Division Project 2327-55th ANARE, Royal Society grant 24177, and Nuffield Foundation grant NAL/00392/G to DART; Natural Environmental Research (NERC) - Natural History Museum CASE studentship NER/S/A/2001/063 and a Royal Society Dorothy Hodgkin Fellowship (DH100131) to RMC; NERC studentship NER/S/A/2005/1347A to MH; and US National Science Foundation grant OCE-9911901 to JCA. GJD acknowledges support of an Australian Research Council postdoctoral fellowship (D0008755) and large grant (D0009364), and logistical and financial support from ANARE grant 2122, Mineral Resources Tasmania. We thank the crew of the Aurora Australis and especially the Macquarie Island base staff, for their hospitable logistical support in the field. Sincere thanks are due to Robert Connell, who volunteered to companion GJD to collect Mount Waite and Double Point transect samples, and gave unflagging support under often miserable conditions. Matt Cooper and Andy Milton are thanked for their support with geochemical analyses. DART acknowledges a Royal Society Wolfson Foundation Merit Award (WM130051) that also supported this research.</t>
  </si>
  <si>
    <t>0024-4937</t>
  </si>
  <si>
    <t>1872-6143</t>
  </si>
  <si>
    <t>Lithos</t>
  </si>
  <si>
    <t>NOV 1</t>
  </si>
  <si>
    <t>10.1016/j.lithos.2016.08.024</t>
  </si>
  <si>
    <t>Geochemistry &amp; Geophysics; Mineralogy</t>
  </si>
  <si>
    <t>EB2KS</t>
  </si>
  <si>
    <t>Green Accepted, hybrid, Green Published</t>
  </si>
  <si>
    <t>WOS:000387191600023</t>
  </si>
  <si>
    <t>Villacorta-Rath, C; Ilyushkina, I; Strugnell, JM; Green, BS; Murphy, NP; Doyle, SR; Hall, NE; Robinson, AJ; Bell, JJ</t>
  </si>
  <si>
    <t>Villacorta-Rath, Cecilia; Ilyushkina, Irina; Strugnell, Jan M.; Green, Bridget S.; Murphy, Nicholas P.; Doyle, Stephen R.; Hall, Nathan E.; Robinson, Andrew J.; Bell, James J.</t>
  </si>
  <si>
    <t>Outlier SNPs enable food traceability of the southern rock lobster, Jasus edwardsii</t>
  </si>
  <si>
    <t>MARINE BIOLOGY</t>
  </si>
  <si>
    <t>ISOTHERMAL AMPLIFICATION LAMP; POPULATION GENOMICS; DISPERSAL DISTANCE; NEW-GENERATION; SPINY LOBSTER; NEW-ZEALAND; GROWTH-RATE; N-E; MARKERS; SIZE</t>
  </si>
  <si>
    <t>Recent advances in next-generation sequencing have enhanced the resolution of population genetic studies of non-model organisms through increased marker generation and sample throughput. Using double digest restriction site-associated DNA sequencing (ddRADseq), we investigated the population structure of the commercially important southern rock lobster, Jasus edwardsii, in Australia and New Zealand with the aim of identifying a panel of SNP markers that could be used to trace country of origin. Four ddRADseq libraries comprising a total of 88 individuals were sequenced on the Illumina MiSeq platform, and demultiplexed reads were used to create a reference catalog of loci. Individual reads were then mapped to the reference catalog, and variant calling was performed. We have characterized two single-nucleotide polymorphism (SNP) panels comprised in total of 656 SNPs. The first panel contained 535 neutral SNPs and the second, 121 outlier SNPs that were characteristic of being putatively under selection. Both neutral and outlier SNP panels showed significant differentiation between the two countries, with the outlier loci demonstrating much larger F-ST values (F-ST outlier SNP panel = 0.134, P &lt; 0.0001; F-ST neutral SNP panel = 0.022, P &lt; 0.0001). Assignment tests performed with the outlier SNP panel allocated 100 % of the individuals to country of origin, demonstrating the usefulness of these markers for food traceability of J. edwardsii.</t>
  </si>
  <si>
    <t>[Villacorta-Rath, Cecilia; Green, Bridget S.] Univ Tasmania, Inst Marine &amp; Antarctic Studies, Hobart, Tas 7001, Australia; [Ilyushkina, Irina; Bell, James J.] Victoria Univ Wellington, Sch Biol Sci, Wellington 6140, New Zealand; [Strugnell, Jan M.; Murphy, Nicholas P.] La Trobe Univ, Sch Life Sci, Dept Ecol Environm &amp; Evolut, Melbourne, Vic 3086, Australia; [Doyle, Stephen R.] La Trobe Univ, Sch Life Sci, Dept Anim Plant &amp; Soil Sci, Melbourne, Vic 3086, Australia; [Hall, Nathan E.; Robinson, Andrew J.] La Trobe Univ, Genom Res Platform, Melbourne, Vic 3086, Australia; [Hall, Nathan E.; Robinson, Andrew J.] Life Sci Computat Ctr, Victorian Life Sci Computat Initiat, Melbourne, Vic 3053, Australia</t>
  </si>
  <si>
    <t>University of Tasmania; Victoria University Wellington; Melbourne Genomics Health Alliance; La Trobe University; Melbourne Genomics Health Alliance; La Trobe University; La Trobe University; Melbourne Genomics Health Alliance; Melbourne Genomics Health Alliance; University of Melbourne; Melbourne Bioinformatics</t>
  </si>
  <si>
    <t>Villacorta-Rath, C (corresponding author), Univ Tasmania, Inst Marine &amp; Antarctic Studies, Hobart, Tas 7001, Australia.</t>
  </si>
  <si>
    <t>Cecilia.Villacorta@utas.edu.au</t>
  </si>
  <si>
    <t>Villacorta-Rath, Cecilia/G-8819-2013; Doyle, Stephen/AAS-8224-2021; Green, Bridget S/G-3368-2014; Strugnell, Jan M/P-9921-2016; Robinson, Andrew/O-4745-2017; Murphy, Nick/J-9883-2019; Doyle, Stephen/GRJ-3949-2022</t>
  </si>
  <si>
    <t>Villacorta-Rath, Cecilia/0000-0002-1060-5447; Doyle, Stephen/0000-0001-9167-7532; Robinson, Andrew/0000-0003-1127-6646; Murphy, Nick/0000-0002-0907-4642; Doyle, Stephen/0000-0001-9167-7532; Strugnell, Jan/0000-0003-2994-637X; Bell, James/0000-0001-9996-945X; Hall, Nathan/0000-0001-8942-0498</t>
  </si>
  <si>
    <t>Australian Research Council Linkage Project grant from BSG [LP120200164]; Australian Research Council Discovery Project grant [DP150101491]; Fisheries Research and Development Corporation grant [2015-025]; Tasmanian Rock Lobster Fisherman's Association; Department of Primary Industries, Park Water and Environment (Tasmania, Australia); Seafood Innovations Limited (Wellington, New Zealand); New Zealand Rock Lobster Industry Council; Australian Research Council [LP120200164] Funding Source: Australian Research Council</t>
  </si>
  <si>
    <t>Australian Research Council Linkage Project grant from BSG(Australian Research Council); Australian Research Council Discovery Project grant(Australian Research Council); Fisheries Research and Development Corporation grant(Fisheries R&amp;D Corp); Tasmanian Rock Lobster Fisherman's Association; Department of Primary Industries, Park Water and Environment (Tasmania, Australia); Seafood Innovations Limited (Wellington, New Zealand); New Zealand Rock Lobster Industry Council; Australian Research Council(Australian Research Council)</t>
  </si>
  <si>
    <t>Funding for this research was provided by an Australian Research Council Linkage Project grant (Project No. LP120200164) from BSG, an Australian Research Council Discovery Project grant (Project No. DP150101491) awarded to JMS NPM, BSG and JJB, a Fisheries Research and Development Corporation grant 2015-025 as well as the Tasmanian Rock Lobster Fisherman's Association, the Department of Primary Industries, Park Water and Environment (Tasmania, Australia), Seafood Innovations Limited (Wellington, New Zealand) and the New Zealand Rock Lobster Industry Council.</t>
  </si>
  <si>
    <t>SPRINGER HEIDELBERG</t>
  </si>
  <si>
    <t>HEIDELBERG</t>
  </si>
  <si>
    <t>TIERGARTENSTRASSE 17, D-69121 HEIDELBERG, GERMANY</t>
  </si>
  <si>
    <t>0025-3162</t>
  </si>
  <si>
    <t>1432-1793</t>
  </si>
  <si>
    <t>MAR BIOL</t>
  </si>
  <si>
    <t>Mar. Biol.</t>
  </si>
  <si>
    <t>10.1007/s00227-016-3000-1</t>
  </si>
  <si>
    <t>Marine &amp; Freshwater Biology</t>
  </si>
  <si>
    <t>EA6WA</t>
  </si>
  <si>
    <t>Green Accepted</t>
  </si>
  <si>
    <t>WOS:000386768500002</t>
  </si>
  <si>
    <t>Nilsson, JA; Fulton, EA; Haward, M; Johnson, C</t>
  </si>
  <si>
    <t>Nilsson, Jessica A.; Fulton, Elizabeth A.; Haward, Marcus; Johnson, Craig</t>
  </si>
  <si>
    <t>Consensus management in Antarctica's high seas - Past success and current challenges</t>
  </si>
  <si>
    <t>MARINE POLICY</t>
  </si>
  <si>
    <t>Antarctica; CCAMLR; Ocean governance; Consensus management; Ecosystem-based management; Marine protected areas; Climate change; IUU</t>
  </si>
  <si>
    <t>KRILL EUPHAUSIA-SUPERBA; MARINE LIVING RESOURCES; SOUTHERN-OCEAN; CLIMATE-CHANGE; WEDDELL SEA; ROSS SEA; ECOSYSTEM; FISHERIES; CCAMLR; TOOTHFISH</t>
  </si>
  <si>
    <t>The high seas surrounding Antarctica have a vast and diverse marine environment. Following its establishment in 1982, the Commission for the Conservation of Antarctic Marine Living Resources (CCAMLR) has managed the ecosystems of the high seas of the Southern Ocean. CCAMLR pioneered the ecosystem approach to resource management, took action on the problem of sea bird by-catch, and has established measures to combat illegal unreported and unregulated (IUU) fishing. CCAMLR is seen as an example of best practice in managing marine resources in international waters. At the same time, CCAMLR's challenges arise in the balance between 'fishing' and 'conservation' interests; for example in the current debates over climate change and marine protected areas in the Southern Ocean. In each of these examples, CCAMLR's consensus-based decision-making process has been a central element in shaping outcomes. This paper considers CCAMLR's achievements in sustainable marine ecosystems and identifies emerging challenges. (C) 2016 Elsevier Ltd. All rights reserved.</t>
  </si>
  <si>
    <t>[Nilsson, Jessica A.; Haward, Marcus; Johnson, Craig] Univ Tasmania, Inst Marine &amp; Antarctic Studies, Private Bag 129, Hobart, Tas 7001, Australia; [Nilsson, Jessica A.; Fulton, Elizabeth A.] CSIRO Oceans &amp; Atmospher Res, GPO Box 1538, Hobart, Tas 7001, Australia; [Fulton, Elizabeth A.] Univ Tasmania, Inst Marine &amp; Antarctic Studies, Ctr Marine Socioecol, Hobart, Tas 7001, Australia</t>
  </si>
  <si>
    <t>University of Tasmania; Commonwealth Scientific &amp; Industrial Research Organisation (CSIRO); University of Tasmania</t>
  </si>
  <si>
    <t>Nilsson, JA (corresponding author), Univ Tasmania, Inst Marine &amp; Antarctic Studies, Private Bag 129, Hobart, Tas 7001, Australia.</t>
  </si>
  <si>
    <t>jas.nilsson@gmail.com; beth.fulton@csiro.au; marcus.haward@utas.edu.au; craig.johnson@utas.edu.au</t>
  </si>
  <si>
    <t>Fulton, Beth/A-2871-2008; Johnson, Craig R/E-1788-2013; Haward, Marcus/G-3369-2014</t>
  </si>
  <si>
    <t>Haward, Marcus/0000-0003-4775-0864</t>
  </si>
  <si>
    <t>ELSEVIER SCI LTD</t>
  </si>
  <si>
    <t>THE BOULEVARD, LANGFORD LANE, KIDLINGTON, OXFORD OX5 1GB, OXON, ENGLAND</t>
  </si>
  <si>
    <t>0308-597X</t>
  </si>
  <si>
    <t>1872-9460</t>
  </si>
  <si>
    <t>MAR POLICY</t>
  </si>
  <si>
    <t>Mar. Pol.</t>
  </si>
  <si>
    <t>10.1016/j.marpol.2016.08.005</t>
  </si>
  <si>
    <t>Environmental Studies; International Relations</t>
  </si>
  <si>
    <t>Social Science Citation Index (SSCI)</t>
  </si>
  <si>
    <t>Environmental Sciences &amp; Ecology; International Relations</t>
  </si>
  <si>
    <t>DY7QV</t>
  </si>
  <si>
    <t>WOS:000385325300021</t>
  </si>
  <si>
    <t>McCubbin, FM; Boyce, JW; Srinivasan, P; Santos, AR; Elardo, SM; Filiberto, J; Steele, A; Shearer, CK</t>
  </si>
  <si>
    <t>McCubbin, Francis M.; Boyce, Jeremy W.; Srinivasan, Poorna; Santos, Alison R.; Elardo, Stephen M.; Filiberto, Justin; Steele, Andrew; Shearer, Charles K.</t>
  </si>
  <si>
    <t>Heterogeneous distribution of H2O in the Martian interior: Implications for the abundance of H2O in depleted and enriched mantle sources</t>
  </si>
  <si>
    <t>METEORITICS &amp; PLANETARY SCIENCE</t>
  </si>
  <si>
    <t>NORTHWEST AFRICA 7034; ELECTRON-MICROPROBE ANALYSIS; CHLORINE ISOTOPE COMPOSITION; ERUPTIVE WATER CONTENTS; HOSTED MELT INCLUSIONS; LARKMAN NUNATAK 06319; TERRESTRIAL PLANETS; LUNAR APATITE; SNC METEORITES; PARTITIONING BEHAVIOR</t>
  </si>
  <si>
    <t>We conducted a petrologic study of apatite within 12 Martian meteorites, including 11 shergottites and one basaltic regolith breccia. These data were combined with previously published data to gain a better understanding of the abundance and distribution of volatiles in the Martian interior. Apatites in individual Martian meteorites span a wide range of compositions, indicating they did not form by equilibrium crystallization. In fact, the intrasample variation in apatite is best described by either fractional crystallization or crustal contamination with a Cl-rich crustal component. We determined that most Martian meteorites investigated here have been affected by crustal contamination and hence cannot be used to estimate volatile abundances of the Martian mantle. Using the subset of samples that did not exhibit crustal contamination, we determined that the enriched shergottite source has 36-73 ppm H2O and the depleted source has 14-23 ppm H2O. This result is consistent with other observed geochemical differences between enriched and depleted shergottites and supports the idea that there are at least two geochemically distinct reservoirs in the Martian mantle. We also estimated the H2O, Cl, and F content of the Martian crust using known crust-mantle distributions for incompatible lithophile elements. We determined that the bulk Martian crust has similar to 1410 ppm H2O, 450 ppm Cl, and 106 ppm F, and Cl and H2O are preferentially distributed toward the Martian surface. The estimate of crustal H2O results in a global equivalent surface layer (GEL) of similar to 229 m, which can account for at least some of the surface features on Mars attributed to flowing water and may be sufficient to support the past presence of a shallow sea on Mars' surface.</t>
  </si>
  <si>
    <t>[McCubbin, Francis M.] NASA Johnson Space Ctr, Mailcode XI2,2101 NASA Pkwy, Houston, TX 77058 USA; [McCubbin, Francis M.; Srinivasan, Poorna; Santos, Alison R.; Shearer, Charles K.] Univ New Mexico, Dept Earth &amp; Planetary Sci, Inst Meteorit, Albuquerque, NM 87131 USA; [Boyce, Jeremy W.] Univ Calif Los Angeles, Dept Earth &amp; Space Sci, Los Angeles, CA 90095 USA; [Elardo, Stephen M.; Steele, Andrew] Carnegie Inst Sci, Geophys Lab, 5251 Broad Branch Rd NW, Washington, DC 20015 USA; [Filiberto, Justin] Southern Illinois Univ, Dept Geol, 1259 Lincoln Dr,MC 4324, Carbondale, IL 62901 USA</t>
  </si>
  <si>
    <t>National Aeronautics &amp; Space Administration (NASA); NASA Johnson Space Center; University of New Mexico; University of California System; University of California Los Angeles; Carnegie Institution for Science; Southern Illinois University System; Southern Illinois University</t>
  </si>
  <si>
    <t>McCubbin, FM (corresponding author), NASA Johnson Space Ctr, Mailcode XI2,2101 NASA Pkwy, Houston, TX 77058 USA.;McCubbin, FM (corresponding author), Univ New Mexico, Dept Earth &amp; Planetary Sci, Inst Meteorit, Albuquerque, NM 87131 USA.</t>
  </si>
  <si>
    <t>francis.m.mccubbin@nasa.gov</t>
  </si>
  <si>
    <t>McCubbin, Francis/AAG-1095-2020; Filiberto, Justin/AAE-1523-2022; McCubbin, Francis M/D-1698-2009; Elardo, Stephen M/E-5865-2010; Boyce, Jeremy W/A-7514-2008; Steele, Andrew/A-3573-2013</t>
  </si>
  <si>
    <t>Filiberto, Justin/0000-0001-5058-1905; Steele, Andrew/0000-0001-9643-2841; Elardo, Stephen/0000-0001-5730-8485</t>
  </si>
  <si>
    <t>NASA's Mars Fundamental Research Program [NNX13AG44G, NNX13AG35G]; NASA's Cosmochemistry Program [NNX14AI23G, NNX13AH85G]; NASA [NNX14AI23G, 681128, NNX13AG35G, 473518, NNX13AH85G, 473902, NNX13AG44G, 474425] Funding Source: Federal RePORTER</t>
  </si>
  <si>
    <t>NASA's Mars Fundamental Research Program(National Aeronautics &amp; Space Administration (NASA)); NASA's Cosmochemistry Program(National Aeronautics &amp; Space Administration (NASA)); NASA(National Aeronautics &amp; Space Administration (NASA))</t>
  </si>
  <si>
    <t>We acknowledge the curation staff at NASA Johnson Space Center for allocations of Martian meteorites from the Antarctic Meteorite Collection. We also thank the curation staff at the University of New Mexico for loaning Martian meteorites from the collections within the Institute of Meteoritics. We are grateful for constructive reviews by Lydia Hallis and G. Jeffrey Taylor, which improved the quality of our article. We also thank Walter Kiefer for the editorial handling of our article. FMM, PS, and JF acknowledge support from NASA's Mars Fundamental Research Program through grant NNX13AG44G awarded to FMM and grant NNX13AG35G awarded to JF. AS and CKS acknowledge support from NASA's Cosmochemistry Program through grant NNX14AI23G awarded to Carl Agee and grant NNX13AH85G awarded to CKS.</t>
  </si>
  <si>
    <t>WILEY</t>
  </si>
  <si>
    <t>HOBOKEN</t>
  </si>
  <si>
    <t>111 RIVER ST, HOBOKEN 07030-5774, NJ USA</t>
  </si>
  <si>
    <t>1086-9379</t>
  </si>
  <si>
    <t>1945-5100</t>
  </si>
  <si>
    <t>METEORIT PLANET SCI</t>
  </si>
  <si>
    <t>Meteorit. Planet. Sci.</t>
  </si>
  <si>
    <t>10.1111/maps.12639</t>
  </si>
  <si>
    <t>EC6XL</t>
  </si>
  <si>
    <t>WOS:000388279900006</t>
  </si>
  <si>
    <t>Stoffel, MA; Esser, M; Kardos, M; Humble, E; Nichols, H; David, P; Hoffman, JI</t>
  </si>
  <si>
    <t>Stoffel, Martin A.; Esser, Mareike; Kardos, Marty; Humble, Emily; Nichols, Hazel; David, Patrice; Hoffman, Joseph I.</t>
  </si>
  <si>
    <t>inbreedR: an R package for the analysis of inbreeding based on genetic markers</t>
  </si>
  <si>
    <t>METHODS IN ECOLOGY AND EVOLUTION</t>
  </si>
  <si>
    <t>genetic marker; heterozygosity; heterozygosity-fitness correlation (HFC); identity disequilibrium; inbreeding</t>
  </si>
  <si>
    <t>HETEROZYGOSITY-FITNESS CORRELATIONS; DEPRESSION; GENOME; WILD; HETEROSIS</t>
  </si>
  <si>
    <t>Heterozygosity-fitness correlations (HFCs) have been widely used to explore the impact of inbreeding on individual fitness. Initially, most studies used small panels of microsatellites, but more recently with the advent of next-generation sequencing, large SNP datasets are becoming increasingly available and these provide greater power and precision to quantify the impact of inbreeding on fitness. Despite the popularity of HFC studies, effect sizes tend to be rather small. One reason for this may be low variation in inbreeding levels among individuals. Using genetic markers, it is possible to measure variance in inbreeding through the strength of correlation in heterozygosity across marker loci, termed identity disequilibrium (ID). ID can be quantified using the measure g2, which is also a central parameter in HFC theory that can be used within a wider framework to estimate the direct impact of inbreeding on both marker heterozygosity and fitness. However, no software exists to calculate g2 for large SNP datasets nor to implement this framework. inbreedR is an R package that provides functions to calculate g2 based on microsatellite and SNP markers with associated P-values and confidence intervals. Within the framework of HFC theory, inbreedR also estimates the impact of inbreeding on marker heterozygosity and fitness. Finally, inbreedR implements user-friendly simulations to explore the precision and magnitude of estimates based on different numbers of genetic markers. We hope this package will facilitate good practice in the analysis of HFCs and help to deepen our understanding of inbreeding effects in natural populations.</t>
  </si>
  <si>
    <t>[Stoffel, Martin A.; Humble, Emily; Hoffman, Joseph I.] Univ Bielefeld, Dept Anim Behav, Box 100131, Bielefeld, Germany; [Stoffel, Martin A.; Nichols, Hazel] Liverpool John Moores Univ, Fac Sci, Sch Nat Sci &amp; Psychol, Liverpool L3 3AF, Merseyside, England; [Esser, Mareike] Univ Bielefeld, Fac Technol, Box 100131, Bielefeld, Germany; [Kardos, Marty] Uppsala Univ, Dept Evolutionary Biol, EBC, Norbyvagen 18D, S-75236 Uppsala, Sweden; [Humble, Emily] British Antarctic Survey, Madingley Rd, Cambridge CB3 OET, England; [David, Patrice] CNRS, Ctr Ecol Fonct &amp; Evolut, F-34293 Montpellier, France</t>
  </si>
  <si>
    <t>University of Bielefeld; Liverpool John Moores University; University of Bielefeld; Uppsala University; UK Research &amp; Innovation (UKRI); Natural Environment Research Council (NERC); NERC British Antarctic Survey; Universite PSL; Ecole Pratique des Hautes Etudes (EPHE); Institut Agro; Montpellier SupAgro; CIRAD; Centre National de la Recherche Scientifique (CNRS); Institut de Recherche pour le Developpement (IRD); Universite Paul-Valery; Universite de Montpellier</t>
  </si>
  <si>
    <t>Stoffel, MA (corresponding author), Univ Bielefeld, Dept Anim Behav, Box 100131, Bielefeld, Germany.;Stoffel, MA (corresponding author), Liverpool John Moores Univ, Fac Sci, Sch Nat Sci &amp; Psychol, Liverpool L3 3AF, Merseyside, England.</t>
  </si>
  <si>
    <t>martin.adam.stoffel@gmail.com</t>
  </si>
  <si>
    <t>Hoffman, Joseph/K-7725-2012</t>
  </si>
  <si>
    <t>Hoffman, Joseph/0000-0001-5895-8949; Kardos, Marty/0000-0002-7587-3004; Stoffel, Martin/0000-0003-4030-3543</t>
  </si>
  <si>
    <t>Natural Environment Research Council [bas0100035] Funding Source: researchfish; NERC [bas0100035] Funding Source: UKRI</t>
  </si>
  <si>
    <t>Natural Environment Research Council(UK Research &amp; Innovation (UKRI)Natural Environment Research Council (NERC)); NERC(UK Research &amp; Innovation (UKRI)Natural Environment Research Council (NERC))</t>
  </si>
  <si>
    <t>2041-210X</t>
  </si>
  <si>
    <t>2041-2096</t>
  </si>
  <si>
    <t>METHODS ECOL EVOL</t>
  </si>
  <si>
    <t>Methods Ecol. Evol.</t>
  </si>
  <si>
    <t>10.1111/2041-210X.12588</t>
  </si>
  <si>
    <t>Ecology</t>
  </si>
  <si>
    <t>Environmental Sciences &amp; Ecology</t>
  </si>
  <si>
    <t>EB8VO</t>
  </si>
  <si>
    <t>Green Accepted, Bronze</t>
  </si>
  <si>
    <t>WOS:000387669600009</t>
  </si>
  <si>
    <t>Antony, R; Sanyal, A; Kapse, N; Dhakephalkar, PK; Thamban, M; Nair, S</t>
  </si>
  <si>
    <t>Antony, Runa; Sanyal, Aritri; Kapse, Neelam; Dhakephalkar, Prashant K.; Thamban, Meloth; Nair, Shanta</t>
  </si>
  <si>
    <t>Microbial communities associated with Antarctic snow pack and their biogeochemical implications</t>
  </si>
  <si>
    <t>MICROBIOLOGICAL RESEARCH</t>
  </si>
  <si>
    <t>Snow; Supraglacial; Microbial communities; Dissolved organic matter; Antarctica</t>
  </si>
  <si>
    <t>DISSOLVED ORGANIC-MATTER; SP-NOV.; BACTERIAL DIVERSITY; ICE CORE; DEINOCOCCUS-RADIODURANS; PSYCHROPHILIC YEASTS; ARCHAEAL COMMUNITIES; CULTURABLE BACTERIA; CRYOCONITE HOLES; LOW-TEMPERATURE</t>
  </si>
  <si>
    <t>Snow ecosystems represent a large part of the Earth's biosphere and harbour diverse microbial communities. Despite our increased knowledge of snow microbial communities, the question remains as to their functional potential, particularly with respect to their role in adapting to and modifying the specific snow environment. In this work, we investigated the diversity and functional capabilities of microorganisms from 3 regions of East Antarctica, with respect to compounds present in snow and tested whether their functional signature reflected the snow environment. A diverse assemblage of bacteria (Proteobacteria, Actinobacteria, Firmicutes, Bacteroidetes, Deinococcus-Thermus, Planctomycetes, Verrucomicrobia), archaea (Euryarchaeota), and eukarya (Basidiomycota, Ascomycota, Cryptomycota and Rhizaria) were detected through culture-dependent and independent methods. Although microbial communities observed in the three snow samples were distinctly different, all isolates tested produced one or more of the following enzymes: lipase, protease, amylase, beta-galactosidase, cellulase, and/or lignin modifying enzyme. This indicates that the snow pack microbes have the capacity to degrade organic compounds found in Antarctic snow (proteins, lipids, carbohydrates, lignin), thus highlighting their potential to be involved in snow chemistry. (C) 2016 Elsevier GmbH. All rights reserved.</t>
  </si>
  <si>
    <t>[Antony, Runa; Sanyal, Aritri; Thamban, Meloth] ESSO Natl Ctr Antarctic &amp; Ocean Res, Vasco Da Gama 403804, Goa, India; [Kapse, Neelam; Dhakephalkar, Prashant K.] Agharkar Res Inst, GG Agarkar Rd, Pune 411004, Maharashtra, India; [Nair, Shanta] Natl Inst Oceanog, CSIR, Panaji 403004, Goa, India</t>
  </si>
  <si>
    <t>Ministry of Earth Sciences (MoES) - India; National Centre for Polar and Ocean Research (NCPOR); Department of Science &amp; Technology (India); Agharkar Research Institute (ARI); Council of Scientific &amp; Industrial Research (CSIR) - India; CSIR - National Institute of Oceanography (NIO)</t>
  </si>
  <si>
    <t>Antony, R (corresponding author), ESSO Natl Ctr Antarctic &amp; Ocean Res, Vasco Da Gama 403804, Goa, India.</t>
  </si>
  <si>
    <t>runa@ncaor.gov.in</t>
  </si>
  <si>
    <t>Thamban, Meloth/0000-0003-3379-8189; Antony, Runa/0000-0003-4829-4207</t>
  </si>
  <si>
    <t>Ministry of Earth Sciences (India); NCAOR</t>
  </si>
  <si>
    <t>We thank the Ministry of Earth Sciences (India) and the Director, NCAOR for supporting this work. Dr. C. Jasmin, CSIR-NIO, Kochi, is acknowledged for her help with the DNA sequence assembly and editing. The authors are grateful to Dr. C.T. Achuthankutty for reviewing the manuscript and improving the contents. This is NCAOR contribution number 25/2016.</t>
  </si>
  <si>
    <t>ELSEVIER GMBH</t>
  </si>
  <si>
    <t>MUNICH</t>
  </si>
  <si>
    <t>HACKERBRUCKE 6, 80335 MUNICH, GERMANY</t>
  </si>
  <si>
    <t>0944-5013</t>
  </si>
  <si>
    <t>MICROBIOL RES</t>
  </si>
  <si>
    <t>Microbiol. Res.</t>
  </si>
  <si>
    <t>10.1016/j.micres.2016.07.004</t>
  </si>
  <si>
    <t>EI5VA</t>
  </si>
  <si>
    <t>WOS:000392563200020</t>
  </si>
  <si>
    <t>Martínez-Pérez, C; Mohr, W; Löscher, CR; Dekaezemacker, J; Littmann, S; Yilmaz, P; Lehnen, N; Fuchs, BM; Lavik, G; Schmitz, RA; LaRoche, J; Kuypers, MM</t>
  </si>
  <si>
    <t>Martinez-Perez, Clara; Mohr, Wiebke; Loescher, Carolin R.; Dekaezemacker, Julien; Littmann, Sten; Yilmaz, Pelin; Lehnen, Nadine; Fuchs, Bernhard M.; Lavik, Gaute; Schmitz, Ruth A.; LaRoche, Julie; Kuypers, MarcelM. M.</t>
  </si>
  <si>
    <t>The small unicellular diazotrophic symbiont, UCYN-A, is a key player in the marine nitrogen cycle</t>
  </si>
  <si>
    <t>NATURE MICROBIOLOGY</t>
  </si>
  <si>
    <t>TARGETED OLIGONUCLEOTIDE PROBES; N-2 FIXATION; CYANOBACTERIA; RATES; IDENTIFICATION; CARBON; SEA; TRICHODESMIUM; DISTRIBUTIONS</t>
  </si>
  <si>
    <t>Microbial dinitrogen (N-2) fixation, the nitrogenase enzyme-catalysed reduction of N-2 gas into biologically available ammonia, is the main source of new nitrogen (N) in the ocean. For more than 50 years, oceanic N-2 fixation has mainly been attributed to the activity of the colonial cyanobacterium Trichodesmium(1,2). Other smaller N-2-fixing microorganisms (diazotrophs)-in particular the unicellular cyanobacteria group A (UCYN-A)-are, however, abundant enough to potentially contribute significantly to N-2 fixation in the surface waters of the oceans(3-6). Despite their abundance, the contribution of UCYN-A to oceanic N-2 fixation has so far not been directly quantified. Here, we show that in one of the main areas of oceanic N-2 fixation, the tropical North Atlantic(7), the symbiotic cyanobacterium UCYN-A contributed to N-2 fixation similarly to Trichodesmium. Two types of UCYN-A, UCYN-A1 and -A2, were observed to live in symbioses with specific eukaryotic algae. Single-cell analyses showed that both algae-UCYN-A symbioses actively fixed N-2, contributing similar to 20% to N-2 fixation in the tropical North Atlantic, revealing their significance in this region. These symbioses had growth rates five to ten times higher than Trichodesmium, implying a rapid transfer of UCYN-A-fixed N into the food web that might significantly raise their actual contribution to N-2 fixation. Our analysis of global 16S rRNA gene databases showed that UCYN-A occurs in surface waters from the Arctic to the Antarctic Circle and thus probably contributes to N-2 fixation in a much larger oceanic area than previously thought. Based on their high rates of N-2 fixation and cosmopolitan distribution, we hypothesize that UCYN-A plays a major, but currently overlooked role in the oceanic N cycle.</t>
  </si>
  <si>
    <t>[Martinez-Perez, Clara; Mohr, Wiebke; Dekaezemacker, Julien; Littmann, Sten; Yilmaz, Pelin; Lehnen, Nadine; Fuchs, Bernhard M.; Lavik, Gaute; Kuypers, MarcelM. M.] Max Planck Inst Marine Microbiol, Celsiusstrase 1, D-28359 Bremen, Germany; [Loescher, Carolin R.; Schmitz, Ruth A.] Univ Kiel, Dept Gen Microbiol, Botanischen Garten 1-9, D-24118 Kiel, Germany; [LaRoche, Julie] Helmholtz Ctr Ocean Res GEOMAR, Dept Biogeochem, Dsternbrooker Weg 20, D-24105 Kiel, Germany; [Loescher, Carolin R.; LaRoche, Julie] Univ Southern Denmark, Nord Ctr Earth Evolut, Dept Biol, Campusvej 55, Odense 5230, Denmark</t>
  </si>
  <si>
    <t>Max Planck Society; University of Kiel; Helmholtz Association; GEOMAR Helmholtz Center for Ocean Research Kiel; University of Southern Denmark</t>
  </si>
  <si>
    <t>Mohr, W (corresponding author), Max Planck Inst Marine Microbiol, Celsiusstrase 1, D-28359 Bremen, Germany.</t>
  </si>
  <si>
    <t>wmohr@mpi-bremen.de</t>
  </si>
  <si>
    <t>Löscher, Carolin/AAB-3701-2019; LaRoche, Julie/A-1109-2010; Martinez-Perez, Clara/KCK-1663-2024; Littmann, Sten/D-2646-2011</t>
  </si>
  <si>
    <t>Martinez-Perez, Clara/0000-0002-9600-3331; Schmitz-Streit, Ruth Anne/0000-0002-6788-0829; Yilmaz, Pelin/0000-0003-4724-323X; LaRoche, Julie/0000-0003-4809-6411; Loscher, Carolin/0000-0002-2044-6849; Lehnen, Nadine/0000-0003-4812-9762; Mohr, Wiebke/0000-0002-1126-1455; Fuchs, Bernhard/0000-0001-9828-1290; Littmann, Sten/0000-0001-8685-5357</t>
  </si>
  <si>
    <t>Max Planck Society; Collaborative Research Center [(SFB754), 754]; Fundacio 'La Caixa'; German Academic Exchange Service (DAAD); Marie Curie International Outgoing Fellowship within 7th European Community Framework Programme</t>
  </si>
  <si>
    <t>Max Planck Society(Max Planck Society); Collaborative Research Center; Fundacio 'La Caixa'(La Caixa Foundation); German Academic Exchange Service (DAAD)(Deutscher Akademischer Austausch Dienst (DAAD)); Marie Curie International Outgoing Fellowship within 7th European Community Framework Programme(European Union (EU)Marie Curie Actions)</t>
  </si>
  <si>
    <t>The authors thank the captain and crew of R/V Meteor M96 cruise, and G. Klockgether, A. Ellrott, C. Hoffmann, M. Philippi and L. Piepgras for cruise and technical support. The authors thank T. Ferdelman, J. Milucka and H. Marchant for discussions. This research was funded by the Max Planck Society, the Collaborative Research Center 754 (SFB754), the Fundacio 'La Caixa', the German Academic Exchange Service (DAAD) and a Marie Curie International Outgoing Fellowship within the 7th European Community Framework Programme.</t>
  </si>
  <si>
    <t>NATURE PORTFOLIO</t>
  </si>
  <si>
    <t>BERLIN</t>
  </si>
  <si>
    <t>HEIDELBERGER PLATZ 3, BERLIN, 14197, GERMANY</t>
  </si>
  <si>
    <t>2058-5276</t>
  </si>
  <si>
    <t>NAT MICROBIOL</t>
  </si>
  <si>
    <t>NAT. MICROBIOL</t>
  </si>
  <si>
    <t>10.1038/NMICROBIOL.2016.163</t>
  </si>
  <si>
    <t>ED8RV</t>
  </si>
  <si>
    <t>WOS:000389139500014</t>
  </si>
  <si>
    <t>Gurbel, PA; Tantry, US</t>
  </si>
  <si>
    <t>Gurbel, Paul A.; Tantry, Udaya S.</t>
  </si>
  <si>
    <t>What have we learned from the ANTARCTIC trial?</t>
  </si>
  <si>
    <t>NATURE REVIEWS CARDIOLOGY</t>
  </si>
  <si>
    <t>Editorial Material</t>
  </si>
  <si>
    <t>PERCUTANEOUS CORONARY INTERVENTION; PLATELET REACTIVITY; CLOPIDOGREL; RESISTANCE; THERAPY; BEDSIDE; EVENTS</t>
  </si>
  <si>
    <t>The ANTARCTIC trial does not provide sufficient evidence to refute the utility of platelet function monitoring in patients with high risk of coronary artery disease. Future trials on personalized antiplatelet therapy should try to address the limitations of previous studies.</t>
  </si>
  <si>
    <t>[Gurbel, Paul A.; Tantry, Udaya S.] Inova Heart &amp; Vasc Inst, Inova Ctr Thrombosis Res &amp; Drug Dev, 3300 Gallows Rd, Falls Church, VA 22042 USA</t>
  </si>
  <si>
    <t>Inova Fairfax Hospital</t>
  </si>
  <si>
    <t>Gurbel, PA (corresponding author), Inova Heart &amp; Vasc Inst, Inova Ctr Thrombosis Res &amp; Drug Dev, 3300 Gallows Rd, Falls Church, VA 22042 USA.</t>
  </si>
  <si>
    <t>paul_gurbel@inova.org</t>
  </si>
  <si>
    <t>NEW YORK</t>
  </si>
  <si>
    <t>75 VARICK ST, 9TH FLR, NEW YORK, NY 10013-1917 USA</t>
  </si>
  <si>
    <t>1759-5002</t>
  </si>
  <si>
    <t>1759-5010</t>
  </si>
  <si>
    <t>NAT REV CARDIOL</t>
  </si>
  <si>
    <t>Nat. Rev. Cardiol.</t>
  </si>
  <si>
    <t>10.1038/nrcardio.2016.167</t>
  </si>
  <si>
    <t>Cardiac &amp; Cardiovascular Systems</t>
  </si>
  <si>
    <t>Cardiovascular System &amp; Cardiology</t>
  </si>
  <si>
    <t>EA0ZT</t>
  </si>
  <si>
    <t>WOS:000386318800003</t>
  </si>
  <si>
    <t>Hellmer, HH; Rhein, M; Heinemann, G; Abalichin, J; Abouchami, W; Baars, O; Cubasch, U; Dethloff, K; Ebner, L; Fahrbach, E; Frank, M; Gollan, G; Greatbatch, RJ; Grieger, J; Gryanik, VM; Gryschka, M; Hauck, J; Hoppema, M; Huhn, O; Kanzow, T; Koch, BP; König-Langlo, G; Langematz, U; Leckebusch, GC; Lupkes, C; Paul, S; Rinke, A; Rost, B; van der Loeff, MR; Schröder, M; Seckmeyer, G; Stichel, T; Strass, V; Timmermann, R; Trimborn, S; Ulbrich, U; Venchiarutti, C; Wacker, U; Willmes, S; Wolf-Gladrow, D</t>
  </si>
  <si>
    <t>Hellmer, Hartmut H.; Rhein, Monika; Heinemann, Guenther; Abalichin, Janna; Abouchami, Wafa; Baars, Oliver; Cubasch, Ulrich; Dethloff, Klaus; Ebner, Lars; Fahrbach, Eberhard; Frank, Martin; Gollan, Gereon; Greatbatch, Richard J.; Grieger, Jens; Gryanik, Vladimir M.; Gryschka, Micha; Hauck, Judith; Hoppema, Mario; Huhn, Oliver; Kanzow, Torsten; Koch, Boris P.; Koenig-Langlo, Gert; Langematz, Ulrike; Leckebusch, Gregor C.; Lupkes, Christof; Paul, Stephan; Rinke, Annette; Rost, Bjoern; van der Loeff, Michiel Rutgers; Schroeder, Michael; Seckmeyer, Gunther; Stichel, Torben; Strass, Volker; Timmermann, Ralph; Trimborn, Scarlett; Ulbrich, Uwe; Venchiarutti, Celia; Wacker, Ulrike; Willmes, Sascha; Wolf-Gladrow, Dieter</t>
  </si>
  <si>
    <t>Meteorology and oceanography of the Atlantic sector of the Southern Ocean-a review of German achievements from the last decade</t>
  </si>
  <si>
    <t>OCEAN DYNAMICS</t>
  </si>
  <si>
    <t>Polar meteorology; Polar oceanography; Antarctica; Southern Ocean; Weddell Sea</t>
  </si>
  <si>
    <t>DISSOLVED ORGANIC-MATTER; ANTARCTIC BOTTOM WATER; WESTERN WEDDELL SEA; DRONNING MAUD LAND; DEEP-WATER; ICE-SHELF; ANTHROPOGENIC CO2; GLACIAL MELTWATER; POLYNYA DYNAMICS; SURFACE WATERS</t>
  </si>
  <si>
    <t>In the early 1980s, Germany started a new era of modern Antarctic research. The Alfred Wegener Institute Helmholtz Centre for Polar and Marine Research (AWI) was founded and important research platforms such as the German permanent station in Antarctica, today called Neumayer III, and the research icebreaker Polarstern were installed. The research primarily focused on the Atlantic sector of the Southern Ocean. In parallel, the German Research Foundation (Deutsche Forschungsgemeinschaft, DFG) started a priority program 'Antarctic Research' (since 2003 called SPP-1158) to foster and intensify the cooperation between scientists from different German universities and the AWI as well as other institutes involved in polar research. Here, we review the main findings in meteorology and oceanography of the last decade, funded by the priority program. The paper presents field observations and modelling efforts, extending from the stratosphere to the deep ocean. The research spans a large range of temporal and spatial scales, including the interaction of both climate components. In particular, radiative processes, the interaction of the changing ozone layer with large-scale atmospheric circulations, and changes in the sea ice cover are discussed. Climate and weather forecast models provide an insight into the water cycle and the climate change signals associated with synoptic cyclones. Investigations of the atmospheric boundary layer focus on the interaction between atmosphere, sea ice and ocean in the vicinity of polynyas and leads. The chapters dedicated to polar oceanography review the interaction between the ocean and ice shelves with regard to the freshwater input and discuss the changes in water mass characteristics, ventilation and formation rates, crucial for the deepest limb of the global, climate-relevant meridional overturning circulation. They also highlight the associated storage of anthropogenic carbon as well as the cycling of carbon, nutrients and trace metals in the ocean with special emphasis on the Weddell Sea.</t>
  </si>
  <si>
    <t>[Hellmer, Hartmut H.; Fahrbach, Eberhard; Gryanik, Vladimir M.; Hauck, Judith; Hoppema, Mario; Kanzow, Torsten; Koch, Boris P.; Koenig-Langlo, Gert; Lupkes, Christof; Rost, Bjoern; van der Loeff, Michiel Rutgers; Schroeder, Michael; Strass, Volker; Timmermann, Ralph; Trimborn, Scarlett; Wacker, Ulrike; Wolf-Gladrow, Dieter] Helmholtz Zentrum Polar &amp; Meeresforsch, Alfred Wegener Inst, Bremerhaven, Germany; [Rhein, Monika; Huhn, Oliver] Univ Bremen, Inst Umweltphys IUP, Zentrum Marine Umweltwissensch MARUM, Bremen, Germany; [Heinemann, Guenther; Ebner, Lars; Grieger, Jens; Langematz, Ulrike; Paul, Stephan; Willmes, Sascha] Univ Trier, Environm Meteorol, Trier, Germany; [Abalichin, Janna; Cubasch, Ulrich; Ulbrich, Uwe] Free Univ Berlin, Inst Meteorol, Berlin, Germany; [Abouchami, Wafa] Max Planck Inst Chem, Mainz, Germany; [Baars, Oliver] Dept Geosci, Guyot Hall, Princeton, NJ 08544 USA; [Dethloff, Klaus; Rinke, Annette] Helmholtz Zentrum Polar &amp; Meeresforsch, Alfred Wegener Inst, Potsdam, Germany; [Frank, Martin; Gollan, Gereon; Greatbatch, Richard J.] GEOMAR Helmholtz Zentrum Ozeanforsch Kiel, Kiel, Germany; [Gryanik, Vladimir M.] Russian Acad Sci, AM Obukhov Inst Atmospher Phys, Moscow, Russia; [Gryschka, Micha; Seckmeyer, Gunther] Leibniz Univ Hannover, Inst Meteorol &amp; Klimatol, Hannover, Germany; [Leckebusch, Gregor C.] Univ Birmingham, Sch Geog Earth &amp; Environm Sci, Birmingham, W Midlands, England; [Stichel, Torben] Univ Southampton, Natl Oceanog Ctr Southampton, Ocean &amp; Earth Sci, Southampton, Hants, England; [Venchiarutti, Celia] European Commiss, Joint Res Ctr, Sci Serv, Brussels, Belgium</t>
  </si>
  <si>
    <t>Helmholtz Association; Alfred Wegener Institute, Helmholtz Centre for Polar &amp; Marine Research; University of Bremen; Universitat Trier; Free University of Berlin; Max Planck Society; Helmholtz Association; Alfred Wegener Institute, Helmholtz Centre for Polar &amp; Marine Research; Helmholtz Association; GEOMAR Helmholtz Center for Ocean Research Kiel; Russian Academy of Sciences; Obukhov Institute of Atmospheric Physics of Russian Academy of Sciences; Leibniz University Hannover; University of Birmingham; NERC National Oceanography Centre; University of Southampton; European Commission Joint Research Centre</t>
  </si>
  <si>
    <t>Hellmer, HH (corresponding author), Helmholtz Zentrum Polar &amp; Meeresforsch, Alfred Wegener Inst, Bremerhaven, Germany.</t>
  </si>
  <si>
    <t>Hartmut.Hellmer@awi.de</t>
  </si>
  <si>
    <t>Rost, Bjoern/B-4447-2015; Koch, Boris/B-2784-2009; Paul, Stephan/I-5918-2019; Trimborn, Scarlett/AAM-1061-2021; Willmes, Sascha/J-5796-2012; Ulbrich, Uwe/A-1070-2014; Hauck, Judith/AAC-3967-2019; Leckebusch, Gregor/ABE-1058-2021; Lupkes, Christof/B-4897-2014; Rinke, Annette/B-4922-2014; Konig-Langlo, Gert/K-5048-2012; Hoppema, Mario/I-6286-2013; Grieger, Jens/A-1107-2014; Rhein, Monika/P-1969-2016</t>
  </si>
  <si>
    <t>Rost, Bjoern/0000-0001-5452-5505; Koch, Boris/0000-0002-8453-731X; Paul, Stephan/0000-0002-5136-714X; Trimborn, Scarlett/0000-0003-1434-9927; Hauck, Judith/0000-0003-4723-9652; Leckebusch, Gregor/0000-0001-9242-7682; Hellmer, Hartmut/0000-0002-9357-9853; Lupkes, Christof/0000-0001-6518-0717; Gryschka, Micha/0000-0002-5120-1932; Strass, Volker/0000-0002-7539-1400; Cubasch, Ulrich/0000-0001-9628-4666; Rinke, Annette/0000-0002-6685-9219; Konig-Langlo, Gert/0000-0002-6100-4107; Huhn, Oliver/0000-0003-3626-9135; Baars, Oliver/0000-0002-4644-5086; Stichel, Torben/0000-0002-5925-1301; Hoppema, Mario/0000-0002-2326-619X; Kanzow, Torsten/0000-0002-5786-3435; Frank, Martin/0000-0002-8606-4421; Grieger, Jens/0000-0003-0985-8479; wacker, ulrike/0000-0002-0637-8130; Gryanik, Vladimir M./0000-0001-5597-1910; Rhein, Monika/0000-0003-1496-2828</t>
  </si>
  <si>
    <t>DFG SPP-1158 'Antarctic Research'</t>
  </si>
  <si>
    <t>Much of the research presented here would have not been possible without the funding through the DFG SPP-1158 'Antarctic Research'. We also thank the captains and crews of the icebreaker POLARSTERN, the aircraft crews, the personnel of the Antarctic stations, and the logistic department of the Alfred Wegener Institute.</t>
  </si>
  <si>
    <t>1616-7341</t>
  </si>
  <si>
    <t>1616-7228</t>
  </si>
  <si>
    <t>OCEAN DYNAM</t>
  </si>
  <si>
    <t>Ocean Dyn.</t>
  </si>
  <si>
    <t>10.1007/s10236-016-0988-1</t>
  </si>
  <si>
    <t>DY6DN</t>
  </si>
  <si>
    <t>Green Published, Green Accepted, hybrid</t>
  </si>
  <si>
    <t>WOS:000385196600001</t>
  </si>
  <si>
    <t>Zacher, K; Bernard, M; Bartsch, I; Wiencke, C</t>
  </si>
  <si>
    <t>Zacher, K.; Bernard, M.; Bartsch, I.; Wiencke, C.</t>
  </si>
  <si>
    <t>Survival of early life history stages of Arctic kelps (Kongsfjorden, Svalbard) under multifactorial global change scenarios</t>
  </si>
  <si>
    <t>POLAR BIOLOGY</t>
  </si>
  <si>
    <t>Alaria esculenta; Herbivores; Laminaria digitata; Saccharina latissima; Sedimentation; Temperature</t>
  </si>
  <si>
    <t>EULITTORAL ZONE; NORTH-SEA; TEMPERATURE; LAMINARIA; SEAWEEDS; RECRUITMENT; GAMETOPHYTES; MACROCYSTIS; SACCHARINA; MORTALITY</t>
  </si>
  <si>
    <t>Kelps (brown algae of the order Laminariales) build highly complex and productive underwater forests and possess microscopic and macroscopic life stages. The microscopic stages (spores, gametophytes, juvenile sporophytes) are usually more sensitive to environmental stressors and may form a bottleneck for the survival of the population. Future Arctic kelp forests will be especially affected by elevated temperatures and increased sedimentation. Knowledge on grazer impact is still rudimentary. In order to investigate how global change in interaction with grazing may shape future Arctic kelp systems, we performed laboratory experiments (2 x 3 x 2 factorial design) on early life stages of the kelps Alaria esculenta, Laminaria digitata and Saccharina latissima from Arctic Kongsfjorden (Svalbard). Spores were exposed to ambient and elevated summer temperatures in combination with 3 levels of sediment and 2 levels of grazing by the limpet Margarites helicinus. The germination and formation of juvenile sporophytes were strongly inhibited in all species with increasing sediment cover, clearly showing the strongest negative effect on sporophyte development of all tested variables. Grazers interacted with temperature and sedimentation-affecting kelps in a species-specific way. They had a strong impact on the number of developing sporophytes partially counteracting the negative impact of sedimentation. We conclude that the structure of kelp communities can be shaped by abiotic and biotic variables acting on early developmental stages and that global warming has the potential to alter the strengths and direction of these effects, which may lead to future shifts in the community structure.</t>
  </si>
  <si>
    <t>[Zacher, K.; Bernard, M.; Bartsch, I.; Wiencke, C.] Alfred Wegener Inst, Helmholtz Ctr Polar &amp; Marine Res, Handelshafen 12, D-27570 Bremerhaven, Germany; [Bernard, M.] CNRS, Stn Biol Roscoff, UMR 8227, Integrat Biol Marine Models, F-29680 Roscoff, France</t>
  </si>
  <si>
    <t>Helmholtz Association; Alfred Wegener Institute, Helmholtz Centre for Polar &amp; Marine Research; Centre National de la Recherche Scientifique (CNRS); CNRS - National Institute for Biology (INSB); Sorbonne Universite</t>
  </si>
  <si>
    <t>Zacher, K (corresponding author), Alfred Wegener Inst, Helmholtz Ctr Polar &amp; Marine Res, Handelshafen 12, D-27570 Bremerhaven, Germany.</t>
  </si>
  <si>
    <t>Katharina.Zacher@awi.de</t>
  </si>
  <si>
    <t>Bernard, Miriam/L-3335-2019</t>
  </si>
  <si>
    <t>Bernard, Miriam/0000-0002-7253-2933</t>
  </si>
  <si>
    <t>Deutsche Forschungsgemeinschaft (DFG) [Za735/1-1]; Alfred Wegener Institute Helmholtz Centre for Polar and Marine Research</t>
  </si>
  <si>
    <t>Deutsche Forschungsgemeinschaft (DFG)(German Research Foundation (DFG)); Alfred Wegener Institute Helmholtz Centre for Polar and Marine Research</t>
  </si>
  <si>
    <t>This research was performed at the Ny Alesund International Research and Monitoring Facility on Svalbard as part of the long-term project KOL 06 The biology of Arctic benthic algae''. The authors wish to thank the diving group under the lead of Max Schwanitz for sampling the fertile macroalgae and grazers. We would also like to thank AWIPEV team 2013 and 2014 for their logistic support. Special thanks go to Michael Greenacre for substantially improving the statistical analysis of data. We would also like to thank the three anonymous reviewers for their very constructive suggestions and their time which improved the manuscript. Many thanks go to J. Bartsch for proof reading the manuscript and correcting grammatical errors. This work was supported by the Deutsche Forschungsgemeinschaft (DFG) in the framework of the priority programme Antarctic Research with comparative investigations in Arctic ice areas by a grant Za735/1-1 and by the Alfred Wegener Institute Helmholtz Centre for Polar and Marine Research.</t>
  </si>
  <si>
    <t>SPRINGER</t>
  </si>
  <si>
    <t>ONE NEW YORK PLAZA, SUITE 4600, NEW YORK, NY, UNITED STATES</t>
  </si>
  <si>
    <t>0722-4060</t>
  </si>
  <si>
    <t>1432-2056</t>
  </si>
  <si>
    <t>POLAR BIOL</t>
  </si>
  <si>
    <t>Polar Biol.</t>
  </si>
  <si>
    <t>SI</t>
  </si>
  <si>
    <t>10.1007/s00300-016-1906-1</t>
  </si>
  <si>
    <t>Biodiversity Conservation; Ecology</t>
  </si>
  <si>
    <t>Biodiversity &amp; Conservation; Environmental Sciences &amp; Ecology</t>
  </si>
  <si>
    <t>EF0QJ</t>
  </si>
  <si>
    <t>WOS:000390030500007</t>
  </si>
  <si>
    <t>Hanssen, SA; Gabrielsen, GW; Bustnes, JO; Bråthen, VS; Skottene, E; Fenstad, A; Strom, H; Bakken, V; Phillips, R; Moe, B</t>
  </si>
  <si>
    <t>Hanssen, Sveinn Are; Gabrielsen, Geir Wing; Bustnes, Jan Ove; Brathen, Vegard Sandoy; Skottene, Elise; Fenstad, Anette A.; Strom, Hallvard; Bakken, Vidar; Phillips, Richard A.; Moe, Borge</t>
  </si>
  <si>
    <t>Migration strategies of common eiders from Svalbard: implications for bilateral conservation management</t>
  </si>
  <si>
    <t>Common eider; Arctic; Migration; Wintering area; Geolocation; Conservation</t>
  </si>
  <si>
    <t>PERSISTENT ORGANIC POLLUTANTS; SOMATERIA-MOLLISSIMA; HABITAT USE; TRACKING; WINTER; SIZE; ALBATROSSES; MOVEMENTS; REVEALS; PETRELS</t>
  </si>
  <si>
    <t>The Arctic is a highly seasonal environment with a harsh climate and extensive sea ice cover during the winter. Consequently, most Arctic-breeding seabirds migrate south to reach more benign environmental conditions. Knowledge of migration routes and wintering areas is integral for successful conservation of these globally important breeding populations. In this study, we deployed light-level geolocators on female common eiders Somateria mollissima breeding in Kongsfjorden, Svalbard, to track movements during the non-breeding season. We retrieved functioning loggers from 47 individual birds in 2009-2013 and mapped their migration routes and wintering areas. Thirty-six birds (77 %) wintered around the Icelandic coast and 11 (23 %) off the coasts of North Norway. Autumn migration took place between late August and late December, and spring migration from late March to late May. The migration (ca 1700 km to Iceland and 1300 km to North Norway) lasted for about 4 days in autumn and 3 days in spring. Later arrival resulted in later nest initiation, implying a carry-over effect of winter conditions on subsequent breeding. Birds that migrated to Norway departed later from Svalbard in autumn and consequently spent less time in the wintering area than individuals that migrated to Iceland. As just two countries, Iceland and Norway, appear to host all common eiders from Svalbard during the winter, the new information provided by this study on the core areas and timing of migration should provide the impetus for improved bilateral conservation management of this important Arctic breeding population of common eiders.</t>
  </si>
  <si>
    <t>[Hanssen, Sveinn Are; Bustnes, Jan Ove] Norwegian Inst Nat Res NINA, FRAM High North Res Ctr Climate &amp; Environm, Hjalmar Johansens Gate 14, N-9007 Tromso, Norway; [Gabrielsen, Geir Wing; Strom, Hallvard] Norwegian Polar Res Inst, FRAM High North Res Ctr Climate &amp; Environm, Hjalmar Johansens Gate 14, N-9007 Tromso, Norway; [Brathen, Vegard Sandoy; Moe, Borge] Norwegian Inst Nat Res NINA, Hogskoleringen 9, N-7034 Trondheim, Norway; [Skottene, Elise; Fenstad, Anette A.] Norwegian Univ Sci &amp; Technol, Dept Biol, Hogskoleringen 5, N-7491 Trondheim, Norway; [Bakken, Vidar] ARC DA, Ombustvedtveien 20, N-1592 Valer I Ostfold, Norway; [Phillips, Richard A.] British Antarctic Survey, Nat Environm Res Council, Madingley Rd, Cambridge CB3 0ET, Cambs, England</t>
  </si>
  <si>
    <t>Norwegian Institute Nature Research; Norwegian Polar Institute; Norwegian Institute Nature Research; Norwegian University of Science &amp; Technology (NTNU); UK Research &amp; Innovation (UKRI); Natural Environment Research Council (NERC); NERC British Antarctic Survey</t>
  </si>
  <si>
    <t>Hanssen, SA (corresponding author), Norwegian Inst Nat Res NINA, FRAM High North Res Ctr Climate &amp; Environm, Hjalmar Johansens Gate 14, N-9007 Tromso, Norway.</t>
  </si>
  <si>
    <t>sveinn.a.hanssen@nina.no</t>
  </si>
  <si>
    <t>Hanssen, Sveinn Are/C-9989-2009; Gabrielsen, Geir Wing/JDC-6415-2023; Moe, Borge/P-2946-2015</t>
  </si>
  <si>
    <t>Hanssen, Sveinn Are/0000-0003-1792-435X; Moe, Borge/0000-0002-2306-1899</t>
  </si>
  <si>
    <t>Norwegian Research Council; Nansenfondet; Norsk Ornitologisk Forening (NOF); Ekteparet Sorlies fond til beste for viltlevende fugler; FRAM-High North Research Centre for Climate and the Environment; SEATRACK; Natural Environment Research Council [bas0100035] Funding Source: researchfish; NERC [bas0100035] Funding Source: UKRI</t>
  </si>
  <si>
    <t>Norwegian Research Council(Research Council of Norway); Nansenfondet; Norsk Ornitologisk Forening (NOF); Ekteparet Sorlies fond til beste for viltlevende fugler; FRAM-High North Research Centre for Climate and the Environment; SEATRACK; Natural Environment Research Council(UK Research &amp; Innovation (UKRI)Natural Environment Research Council (NERC)); NERC(UK Research &amp; Innovation (UKRI)Natural Environment Research Council (NERC))</t>
  </si>
  <si>
    <t>We thank Kjell Tore Hansen, Maarten Loonen, Thomas Oudman, Elise Biersma, Anouk Goedknegt, Fokje Schaafsma, Tore Nordstad and Kjetil Sagerup for help during fieldwork and personnel at Norwegian Polar Institute/Sverdrupstasjonen in Ny-Alesund for logistic support. James Fox, Karine Delord, Celine Clement Chastel, Olivier Chastel, Morten Frederiksen, Michael Greenacre and Rob van Bemmelen provided valuable technical inputs, the Norwegian Ringing Centre (Museum Stavanger) provided ringing and recovery data. Comments from Anders Mosbech and an anonymous reviewer greatly improved the manuscript. Permissions for fieldwork and instrumentation were granted by the Governor of Svalbard and Norwegian Animal Research Authority (NARA/FDU). Funding was provided by the Norwegian Research Council (Bird-health/IPY, Arctic Field Grant/Svalbard Science Forum), Nansenfondet, Norsk Ornitologisk Forening (NOF), Ekteparet Sorlies fond til beste for viltlevende fugler, FRAM-High North Research Centre for Climate and the Environment and SEATRACK.</t>
  </si>
  <si>
    <t>10.1007/s00300-016-1908-z</t>
  </si>
  <si>
    <t>WOS:000390030500019</t>
  </si>
  <si>
    <t>Abe, Y; Miyamoto, H; Saito, R; Matsuno, K; Yamaguchi, A; Imai, I</t>
  </si>
  <si>
    <t>Abe, Yoshiyuki; Miyamoto, Hiroomi; Saito, Rui; Matsuno, Kohei; Yamaguchi, Atsushi; Imai, Ichiro</t>
  </si>
  <si>
    <t>Comparative ecology of three dominant pelagic chaetognaths (Eukrohnia hamata, Parasagitta elegans, Pseudosagitta scrippsae) in the Oyashio region during the spring phytoplankton bloom</t>
  </si>
  <si>
    <t>REGIONAL STUDIES IN MARINE SCIENCE</t>
  </si>
  <si>
    <t>Spring bloom; Chaetognaths; Water mass; Growth rate; Feeding</t>
  </si>
  <si>
    <t>SUB-ARCTIC PACIFIC; SHORT-TERM CHANGES; WESTERN NORTH PACIFIC; VERTICAL-DISTRIBUTION; SAGITTA-ELEGANS; POPULATION-STRUCTURE; LIFE-HISTORY; COMMUNITY STRUCTURE; SWIMMING BEHAVIOR; METRIDIA-PACIFICA</t>
  </si>
  <si>
    <t>In the Oyashio region, the dominant water masses are switched at the surface layer within a short period during spring. Simultaneously, a large phytoplankton bloom is known to occur at the surface layer, and nearly half of the annual primary production is concentrated during spring. These drastic changes in the water mass and food condition are expected to strongly affect the macrozooplankton population dynamics. However, their effects on the chaetognath population remain unknown. To evaluate the effects of the water mass exchange and spring phytoplankton bloom, we analysed short-term changes in the population structure, growth rate, gut contents and predation impact of the three dominant chaetognaths (Eukrohnia hamata, Parasagitta elegansand Pseudosagitta scrippsae) in the Oyashio region during March-April 2007. Eleven samples were collected by a 0-200 m oblique tow of a Bongo net at night during 9 March to 30 April, 2007. The effects of the water mass exchange were significant for all three chaetognath species. During the sampling period, significant growth was observed for the two dominant species (E. hamata and P. elegans). The daily growth rate was 39-50 mu m day(-1) for E. hamata and 42-101 mu m day(-1) for P. elegans. The mean predation impact of P. elegans at 0-200 m was 0.194 no. prey consumed m(-3) day(-1) and that of P. scrippsae was 0.028 no. prey consumed m(-3) day(-1). These values corresponded with 0-0.097% (P. elegans) or 0-0.043% (P. scrippsae) of the total zooplankton abundance during the spring. (C) 2016 Published by Elsevier B.V.</t>
  </si>
  <si>
    <t>[Abe, Yoshiyuki; Yamaguchi, Atsushi; Imai, Ichiro] Hokkaido Univ, Grad Sch Fisheries Sci, 3-1-1 Minatomachi, Hakodate, Hokkaido 0418611, Japan; [Miyamoto, Hiroomi] Japan Fisheries Res &amp; Educ Agcy, Tohoku Natl Fisheries Res Inst, 25-259 Same Machi Shimomekurakubo, Hachinohe, Aomori 0310841, Japan; [Saito, Rui] Ehime Univ, Ctr Marine Environm Studies, Div Environm Dynam, 2-5 Bunkyo Cho, Matsuyama, Ehime 7908577, Japan; [Matsuno, Kohei] Australian Antarctic Div, Kingston, Tas 7050, Australia</t>
  </si>
  <si>
    <t>Hokkaido University; Japan Fisheries Research &amp; Education Agency (FRA); Ehime University; Australian Antarctic Division</t>
  </si>
  <si>
    <t>Abe, Y (corresponding author), Hokkaido Univ, Grad Sch Fisheries Sci, 3-1-1 Minatomachi, Hakodate, Hokkaido 0418611, Japan.</t>
  </si>
  <si>
    <t>y.abe@fish.hokudai.ac.jp</t>
  </si>
  <si>
    <t>Matsuno, Kohei/AAJ-6510-2021; Yamaguchi, Atsushi/A-8613-2012</t>
  </si>
  <si>
    <t>Matsuno, Kohei/0000-0001-9793-7622; Yamaguchi, Atsushi/0000-0002-5646-3608</t>
  </si>
  <si>
    <t>Japanese Society for the Promotion of Science (JSPS) [24248032, 16H02947, 24110005]; Grants-in-Aid for Scientific Research [24110005, 16H02947] Funding Source: KAKEN</t>
  </si>
  <si>
    <t>Japanese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</si>
  <si>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captains, officers, crews and researchers on board T/S Oshoro-Maru, Hokkaido University, and R/V Hakuho-Maru, JAMSTEC, for their great effort during the field sampling. OECOS is a project endorsed by PICES. Part of this study was supported by a Grant-in-Aid for Scientific Research (A) 24248032, (B) 16H02947 and Innovative Areas 24110005 from the Japanese Society for the Promotion of Science (JSPS). This work was partially conducted for the Arctic Challenge for Sustainability (ArCS) project.</t>
  </si>
  <si>
    <t>2352-4855</t>
  </si>
  <si>
    <t>REG STUD MAR SCI</t>
  </si>
  <si>
    <t>Reg. Stud. Mar. Sci.</t>
  </si>
  <si>
    <t>10.1016/j.rsma.2016.08.006</t>
  </si>
  <si>
    <t>Ecology; Marine &amp; Freshwater Biology</t>
  </si>
  <si>
    <t>Environmental Sciences &amp; Ecology; Marine &amp; Freshwater Biology</t>
  </si>
  <si>
    <t>FM1VT</t>
  </si>
  <si>
    <t>WOS:000414771200015</t>
  </si>
  <si>
    <t>Brasier, MJ; Wiklund, H; Neal, L; Jeffreys, R; Linse, K; Ruhl, H; Glover, AG</t>
  </si>
  <si>
    <t>Brasier, Madeleine J.; Wiklund, Helena; Neal, Lenka; Jeffreys, Rachel; Linse, Katrin; Ruhl, Henry; Glover, Adrian G.</t>
  </si>
  <si>
    <t>DNA barcoding uncovers cryptic diversity in 50% of deep-sea Antarctic polychaetes</t>
  </si>
  <si>
    <t>ROYAL SOCIETY OPEN SCIENCE</t>
  </si>
  <si>
    <t>Southern Ocean; benthos; COI; 16S; species diversity</t>
  </si>
  <si>
    <t>MULTIPLE SEQUENCE ALIGNMENT; ECOSYSTEM-BASED MANAGEMENT; REPRODUCTIVE-BIOLOGY; MARINE ECOSYSTEM; GENETIC-STRUCTURE; OCEAN BARRIERS; ROSS SEA; ANNELIDA; MITOCHONDRIAL; BIODIVERSITY</t>
  </si>
  <si>
    <t>The Antarctic marine environment is a diverse ecosystem currently experiencing some of the fastest rates of climatic change. The documentation and management of these changes requires accurate estimates of species diversity. Recently, there has been an increased recognition of the abundance and importance of cryptic species, i.e. those that are morphologically identical but genetically distinct. This article presents the largest genetic investigation into the prevalence of cryptic polychaete species within the deep Antarctic benthos to date. We uncover cryptic diversity in 50% of the 15 morphospecies targeted through the comparison of mitochondrial DNA sequences, as well as 10 previously overlooked morphospecies, increasing the total species richness in the sample by 233%. Our ability to describe universal rules for the detection of cryptic species within polychaetes, or normalization to expected number of species based on genetic data is prevented by taxon-specific differences in phylogenetic outputs and genetic variation between and within potential cryptic species. These data provide the foundation for biogeographic and functional analysis that will provide insight into the drivers of species diversity and its role in ecosystem function.</t>
  </si>
  <si>
    <t>[Brasier, Madeleine J.; Jeffreys, Rachel] Univ Liverpool, Sch Environm Sci, Liverpool L69 3BX, Merseyside, England; [Wiklund, Helena; Neal, Lenka; Glover, Adrian G.] Nat Hist Museum, Life Sci, Cromwell Rd, London SW7 5BD, England; [Linse, Katrin] British Antarctic Survey, BioSci, Cambridge CB3 0ET, England; [Ruhl, Henry] Univ Southampton, Natl Oceanog Ctr, Waterfront Campus, Southampton SO14 3ZH, Hants, England</t>
  </si>
  <si>
    <t>University of Liverpool; Natural History Museum London; UK Research &amp; Innovation (UKRI); Natural Environment Research Council (NERC); NERC British Antarctic Survey; University of Southampton; NERC National Oceanography Centre</t>
  </si>
  <si>
    <t>Brasier, MJ (corresponding author), Univ Liverpool, Sch Environm Sci, Liverpool L69 3BX, Merseyside, England.</t>
  </si>
  <si>
    <t>m.brasier@liverpool.ac.uk</t>
  </si>
  <si>
    <t>Jeffreys, Rachel M/J-5645-2013</t>
  </si>
  <si>
    <t>Linse, Katrin/0000-0003-3477-3047; Brasier, Madeleine/0000-0003-2844-655X; Wiklund, Helena/0000-0002-8252-3504</t>
  </si>
  <si>
    <t>University of Liverpool; National Oceanography Centre; Natural Environment Research Council; Natural Environment Research Council Collaborative Gearing Scheme; NERC [bas0100036] Funding Source: UKRI; Natural Environment Research Council [bas0100036] Funding Source: researchfish</t>
  </si>
  <si>
    <t>University of Liverpool; National Oceanography Centre; Natural Environment Research Council(UK Research &amp; Innovation (UKRI)Natural Environment Research Council (NERC)); Natural Environment Research Council Collaborative Gearing Scheme; NERC(UK Research &amp; Innovation (UKRI)Natural Environment Research Council (NERC)); Natural Environment Research Council(UK Research &amp; Innovation (UKRI)Natural Environment Research Council (NERC))</t>
  </si>
  <si>
    <t>All DNA barcoding was supported by M.J.B.'s PhD research training grant received from the University of Liverpool and the National Oceanography Centre. The expeditions JR144, JR179 (BIOPEARL I &amp; II) and JR275 were part of the British Antarctic Survey core programmes 'Global Science in the Antarctic Context' and 'Polar Science for Planet Earth' funded by the Natural Environment Research Council. A.G.G.'s participation in the JR179 research cruise was funded by the Natural Environment Research Council Collaborative Gearing Scheme.</t>
  </si>
  <si>
    <t>ROYAL SOC</t>
  </si>
  <si>
    <t>6-9 CARLTON HOUSE TERRACE, LONDON SW1Y 5AG, ENGLAND</t>
  </si>
  <si>
    <t>2054-5703</t>
  </si>
  <si>
    <t>ROY SOC OPEN SCI</t>
  </si>
  <si>
    <t>R. Soc. Open Sci.</t>
  </si>
  <si>
    <t>10.1098/rsos.160432</t>
  </si>
  <si>
    <t>Multidisciplinary Sciences</t>
  </si>
  <si>
    <t>Science &amp; Technology - Other Topics</t>
  </si>
  <si>
    <t>EE0DR</t>
  </si>
  <si>
    <t>Green Submitted, Green Published, gold, Green Accepted</t>
  </si>
  <si>
    <t>WOS:000389244400016</t>
  </si>
  <si>
    <t>Muscheler, R; Adolphi, F; Herbst, K; Nilsson, A</t>
  </si>
  <si>
    <t>Muscheler, Raimund; Adolphi, Florian; Herbst, Konstantin; Nilsson, Andreas</t>
  </si>
  <si>
    <t>The Revised Sunspot Record in Comparison to Cosmogenic Radionuclide-Based Solar Activity Reconstructions</t>
  </si>
  <si>
    <t>SOLAR PHYSICS</t>
  </si>
  <si>
    <t>Cosmogenic radionuclides; Sunspots; Solar-activity reconstruction; Solar modulation; C-14; Be-10</t>
  </si>
  <si>
    <t>RADIOCARBON AGE CALIBRATION; GEOMAGNETIC DIPOLE-MOMENT; ICE CORE; ANTARCTIC ICE; BE-10; CLIMATE; GREENLAND; HOLOCENE; MODULATION; MILLENNIUM</t>
  </si>
  <si>
    <t>Recent revisions in the sunspot records illustrate the challenges related to obtaining a 400-year-long observational record of past solar-activity changes. Cosmogenic radionuclides offer the possibility of obtaining an alternative and completely independent record of solar variability. Here, we illustrate that these records offer great potential for quantitative solar-activity reconstructions far back into the past, and we provide updated radionuclide-based solar-activity reconstructions for the past 2000 years. However, cosmogenic-radionuclide records are also influenced by processes independent of solar activity, leading to the need for critical assessment and correction for the non-solar influences. Independent of these uncertainties, we show a very good agreement between the revised sunspot records and the Be-10 records from Antarctica and, in particular, the C-14-based solar-activity reconstructions. This comparison offers the potential of identifying remaining non-solar processes in the radionuclide-based solar-activity reconstructions, but it also helps identifying remaining biases in the recently revised sunspot records.</t>
  </si>
  <si>
    <t>[Muscheler, Raimund; Adolphi, Florian; Herbst, Konstantin; Nilsson, Andreas] Lund Univ, Dept Geol, Quaternary Sci, Solvegatan 12, S-22362 Lund, Sweden</t>
  </si>
  <si>
    <t>Lund University</t>
  </si>
  <si>
    <t>Muscheler, R (corresponding author), Lund Univ, Dept Geol, Quaternary Sci, Solvegatan 12, S-22362 Lund, Sweden.</t>
  </si>
  <si>
    <t>Raimund.muscheler@geol.lu.se</t>
  </si>
  <si>
    <t>Herbst, Konstantin/AAH-6772-2021</t>
  </si>
  <si>
    <t>Herbst, Konstantin/0000-0001-5622-4829; Nilsson, Andreas/0000-0002-9528-1276; Adolphi, Florian/0000-0003-0014-8753; Muscheler, Raimund/0000-0003-2772-3631</t>
  </si>
  <si>
    <t>Swedish Research Council [DNR2013-8421]</t>
  </si>
  <si>
    <t>Swedish Research Council(Swedish Research Council)</t>
  </si>
  <si>
    <t>We thank the anonymous referee for their constructive comments. This article was inspired by a PAGES Solar Forcing Working Group workshop in Davos in 2014. This work was supported by the Swedish Research Council (grant DNR2013-8421 to R. Muscheler).</t>
  </si>
  <si>
    <t>DORDRECHT</t>
  </si>
  <si>
    <t>VAN GODEWIJCKSTRAAT 30, 3311 GZ DORDRECHT, NETHERLANDS</t>
  </si>
  <si>
    <t>0038-0938</t>
  </si>
  <si>
    <t>1573-093X</t>
  </si>
  <si>
    <t>SOL PHYS</t>
  </si>
  <si>
    <t>Sol. Phys.</t>
  </si>
  <si>
    <t>9-10</t>
  </si>
  <si>
    <t>10.1007/s11207-016-0969-z</t>
  </si>
  <si>
    <t>Astronomy &amp; Astrophysics</t>
  </si>
  <si>
    <t>ED4SV</t>
  </si>
  <si>
    <t>WOS:000388842600028</t>
  </si>
  <si>
    <t>Olsen, EK; de Cerf, CK; Dziwornu, GA; Puccinelli, E; Ansorge, IJ; Samaai, T; Dingle, LMK; Edkins, AL; Sunassee, SN</t>
  </si>
  <si>
    <t>Olsen, Elisabeth K.; de Cerf, Christopher K.; Dziwornu, Godwin A.; Puccinelli, Eleonora; Ansorge, Isabelle J.; Samaai, Toufiek; Dingle, Laura M. K.; Edkins, Adrienne L.; Sunassee, Suthananda N.</t>
  </si>
  <si>
    <t>Cytotoxic activity of marine sponge extracts from the sub-Antarctic Islands and the Southern Ocean</t>
  </si>
  <si>
    <t>SOUTH AFRICAN JOURNAL OF SCIENCE</t>
  </si>
  <si>
    <t>multidisciplinary; Prince Edward Islands; marine natural products; cancer cell lines; drug discovery</t>
  </si>
  <si>
    <t>NATURAL-PRODUCTS RESEARCH; CANCER ACTIVITY; ANTICANCER; ORGANISMS; AFRICA; DRUGS</t>
  </si>
  <si>
    <t>Over the past 50 years, marine invertebrates, especially sponges, have proven to be a valuable source of new and/or bioactive natural products that have the potential to be further developed as lead compounds for pharmaceutical applications. Although marine benthic invertebrate communities occurring off the coast of South Africa have been explored for their biomedicinal potential, the natural product investigation of marine sponges from the sub-Antarctic Islands in the Southern Ocean for the presence of bioactive secondary metabolites has been relatively unexplored thus far. We report here the results for the biological screening of both aqueous and organic extracts prepared from nine specimens of eight species of marine sponges, collected from around Marion Island and the Prince Edward Islands in the Southern Ocean, for their cytotoxic activity against three cancer cell lines. The results obtained through this multidisciplinary collaborative research effort by exclusively South African institutions has provided an exciting opportunity to discover cytotoxic compounds from sub-Antarctic sponges, whilst contributing to our understanding of the biodiversity and geographic distributions of these cold-water invertebrates. Therefore, we acknowledge here the various contributions of the diverse scientific disciplines that played a pivotal role in providing the necessary platform for the future natural products chemistry investigation of these marine sponges from the sub-Antarctic Islands and the Southern Ocean. Significance: This study will contribute to understanding the biodiversity and geographic distributions of sponges in the Southern Ocean. This multidisciplinary project has enabled the investigation of marine sponges for the presence of cytotoxic compounds. Further investigation will lead to the isolation and identification of cytotoxic compound spresent in the active sponge extracts.</t>
  </si>
  <si>
    <t>[Olsen, Elisabeth K.; de Cerf, Christopher K.; Dziwornu, Godwin A.; Sunassee, Suthananda N.] Univ Cape Town, Dept Chem, Cape Town, South Africa; [Olsen, Elisabeth K.] Univ Cape Town, MRC NHLS Mol Mycobacteriol Res Unit, Cape Town, South Africa; [Puccinelli, Eleonora] Rhodes Univ, Dept Zool &amp; Entomol, Grahamstown, South Africa; [Puccinelli, Eleonora; Ansorge, Isabelle J.] Univ Cape Town, Dept Oceanog, Cape Town, South Africa; [Ansorge, Isabelle J.; Samaai, Toufiek; Sunassee, Suthananda N.] Univ Cape Town, Marine Res Ma Re Inst, Cape Town, South Africa; [Samaai, Toufiek] Dept Environm Affairs, Oceans &amp; Coasts Res, Cape Town, South Africa; [Dingle, Laura M. K.; Edkins, Adrienne L.] Rhodes Univ, Dept Biochem &amp; Microbiol, Biomed Biotechnol Res Unit, Grahamstown, South Africa; [Sunassee, Suthananda N.] Univ Cape Town, MRC Drug Discovery &amp; Dev Res Unit, Cape Town, South Africa</t>
  </si>
  <si>
    <t>University of Cape Town; University of Cape Town; Rhodes University; University of Cape Town; University of Cape Town; Department of Environment, Forestry &amp; Fisheries; Rhodes University; University of Cape Town</t>
  </si>
  <si>
    <t>Sunassee, SN (corresponding author), Univ Cape Town, Dept Chem, Cape Town, South Africa.;Sunassee, SN (corresponding author), Univ Cape Town, Marine Res Ma Re Inst, Cape Town, South Africa.;Sunassee, SN (corresponding author), Univ Cape Town, MRC Drug Discovery &amp; Dev Res Unit, Cape Town, South Africa.</t>
  </si>
  <si>
    <t>sunny.sunassee@uct.ac.za</t>
  </si>
  <si>
    <t>Puccinelli, Eleonora/AAL-6468-2020; Edkins, Adrienne L/C-8704-2012; ANSORGE, ISABELLE/AAY-7396-2020; Puccinelli, Eleonora/Q-6544-2019</t>
  </si>
  <si>
    <t>Edkins, Adrienne L/0000-0002-3615-6651; Puccinelli, Eleonora/0000-0002-6144-6650; Ansorge, Isabelle/0000-0001-7071-8147; Dziwornu, Godwin Akpeko/0000-0003-1668-8818; Sunassee, Suthananda/0000-0002-5014-7110; Dingle, Laura/0000-0002-3041-2861</t>
  </si>
  <si>
    <t>University of Cape Town; South African Medical Research Council; National Research Foundation (South Africa); CANSA; Rhodes University; Department of Science and Technology; Department of Environmental Affairs; SANAP</t>
  </si>
  <si>
    <t>University of Cape Town; South African Medical Research Council(South African Medical Research CouncilUK Research &amp; Innovation (UKRI)Medical Research Council UK (MRC)South Africa Medical Research Council (SAMRC)); National Research Foundation (South Africa)(National Research Foundation - South AfricaSouth African Medical Research Council); CANSA; Rhodes University; Department of Science and Technology(Department of Science &amp; Technology (India)); Department of Environmental Affairs; SANAP</t>
  </si>
  <si>
    <t>ACAD SCIENCE SOUTH AFRICA A S S AF</t>
  </si>
  <si>
    <t>LYNWOOD RIDGE</t>
  </si>
  <si>
    <t>PO BOX 72135, LYNWOOD RIDGE 0040, SOUTH AFRICA</t>
  </si>
  <si>
    <t>0038-2353</t>
  </si>
  <si>
    <t>1996-7489</t>
  </si>
  <si>
    <t>S AFR J SCI</t>
  </si>
  <si>
    <t>S. Afr. J. Sci.</t>
  </si>
  <si>
    <t>11-12</t>
  </si>
  <si>
    <t>2016-0202</t>
  </si>
  <si>
    <t>10.17159/sajs.2016/20160202</t>
  </si>
  <si>
    <t>EI5FE</t>
  </si>
  <si>
    <t>gold</t>
  </si>
  <si>
    <t>WOS:000392518700019</t>
  </si>
  <si>
    <t>Féral, JP; Saucède, T; Poulin, E; Marschal, C; Marty, G; Roca, JC; Motreuil, S; Beurier, JP</t>
  </si>
  <si>
    <t>Feral, Jean-Pierre; Saucede, Thomas; Poulin, Elie; Marschal, Christian; Marty, Gilles; Roca, Jean-Claude; Motreuil, Sebastien; Beurier, Jean-Pierre</t>
  </si>
  <si>
    <t>PROTEKER: implementation of a submarine observatory at the Kerguelen Islands (Southern Ocean)</t>
  </si>
  <si>
    <t>UNDERWATER TECHNOLOGY</t>
  </si>
  <si>
    <t>sub-Antarctic; climate change; frontal shifts; coastal habitats; benthos monitoring; thermo-recorders; settlement plots</t>
  </si>
  <si>
    <t>CLIMATE-CHANGE; POLAR FRONT; MARION; RECRUITMENT; GROWTH</t>
  </si>
  <si>
    <t>In the context of global climate change, variations in sea surface temperature, sea level change and latitudinal shifts of oceanographic currents are expected to affect marine biodiversity of the sub-Antarctic islands located near the polar front, such as the Kerguelen Islands, particularly in coastal waters. Sampling sites of previous oceanographic programmes focused on the Kerguelen Islands were revisited during three scientific summer cruises aboard the trawler La Curieuse (2011-2014). Among 18 coastal sites explored using scuba diving, 8 were selected for monitoring, as representative of the Kerguelen sub-Antarctic marine habitats, to be progressively equipped with sensors and settlement plots. Remotely operated vehicle (ROV) observations and beam trawling (at 50 m and 100 m) have also been used to contextualise them. Eight sites - in the Morbihan Bay (4), and in the north (2) and south (2) of the Kerguelen Islands - are now monitored by photo and video surveys, with temperature loggers installed at 5 m and 15 m depth, and settlement plots at about 10 m depth. Temperature data have been recovered yearly since 2011 at some sites (those equipped first). Biodiversity found on settlement plots will be characterised yearly by metagenomics. The often harsh conditions at sea involve using robust underwater equipment and simple investigation techniques and protocols to ensure the permanence and the reliability of the equipment installed.</t>
  </si>
  <si>
    <t>[Feral, Jean-Pierre; Marschal, Christian] Aix Marseille Univ CNRS IRD UAPV, IMBE Inst Mediterraneen Biol &amp; Ecol Marine &amp; Cont, UMR 7263, Stn Marine Endoume, Marseille, France; [Saucede, Thomas; Motreuil, Sebastien] Univ Bourgogne Franche Comte, CNRS, UMR Biogeosci 6282, Dijon, France; [Poulin, Elie] Univ Chile, Inst Ecol &amp; Biodiversidad, Lab Ecol Mol, Santiago, Chile; [Marty, Gilles] Reserve Natl Nat Terr Austr Francaises, Rue Gabriel Dejean, St Pierre, Ile De La Reuni, France; [Roca, Jean-Claude] UPMC, Serv Plongee, Observ Oceanol Banyuls Sur Mer, Paris, France; [Beurier, Jean-Pierre] Univ Nantes, Ctr Droit Maritime &amp; Ocean, Nantes, France</t>
  </si>
  <si>
    <t>Centre National de la Recherche Scientifique (CNRS); CNRS - Institute of Ecology &amp; Environment (INEE); Aix-Marseille Universite; Institut de Recherche pour le Developpement (IRD); Universite de Bourgogne; Centre National de la Recherche Scientifique (CNRS); Universidad de Chile; Sorbonne Universite; Nantes Universite</t>
  </si>
  <si>
    <t>Féral, JP (corresponding author), Aix Marseille Univ CNRS IRD UAPV, IMBE Inst Mediterraneen Biol &amp; Ecol Marine &amp; Cont, UMR 7263, Stn Marine Endoume, Marseille, France.</t>
  </si>
  <si>
    <t>jean-pierre.feral@imbe.fr</t>
  </si>
  <si>
    <t>Poulin, Elie/C-2654-2012; FERAL, Jean-Pierre/M-9608-2019; FERAL, Jean-Pierre/N-1895-2018</t>
  </si>
  <si>
    <t>Poulin, Elie/0000-0001-7736-0969; FERAL, Jean-Pierre/0000-0001-7627-0160;</t>
  </si>
  <si>
    <t>IPEV [1044]; IMBE team for management of biodiversity and natural habitats</t>
  </si>
  <si>
    <t>IPEV; IMBE team for management of biodiversity and natural habitats</t>
  </si>
  <si>
    <t>This research was supported by IPEV (programme no. 1044) and by the IMBE team for management of biodiversity and natural habitats. We are indebted to the RNN TAAF for completing our team in the field with a scientific diver and making the semi-rigid ship Le Commerson (R Verge, skipper) available in the Morbihan Bay. We thank the operational teams of the IPEV and of the TAAF for the logistics on the base of Port-aux-Francais and on board the RV Marion-Dufresne II. We are particularly grateful to the captains and the crews of the three scientific cruises of La Curieuse (B Aspa (chief engineer) [1], V Benard (mechanic trainee) [3], M Cadet (mechanic trainee) [2], B Caffier (cook/deckhand) [1, 2, 3], L Conillen (first mate) [1], A Daujat (captain) [1], C Hemmer (2nd engineer) [3], S Laffont (deckhand) [3], PY Le Bren (chief engineer) [2], A Michelot (chief engineer) [3], Y Mucherie (captain) [2, 3], J Payet (deckhand) [1], X Payet (deckhand) [2], Y Riviere (mechanic trainee) [1], A Sautron (2nd engineer) [1, 2], P Samuel (first mate) [3], L Seguinneau (first mate) [2]. Posting of the temperature monitoring in the form of interactive graphics was possible thanks to R David, who installed the open source JavaScript charting library dygraphs on the PROTEKER website.</t>
  </si>
  <si>
    <t>SOC UNDERWATER TECHNOLOGY</t>
  </si>
  <si>
    <t>2 JOHN ST, LONDON WC1N 2ES, ENGLAND</t>
  </si>
  <si>
    <t>1756-0543</t>
  </si>
  <si>
    <t>1756-0551</t>
  </si>
  <si>
    <t>UNDERWATER TECHNOL</t>
  </si>
  <si>
    <t>Underw. Technol.</t>
  </si>
  <si>
    <t>10.3723/ut.34.003</t>
  </si>
  <si>
    <t>Engineering, Ocean</t>
  </si>
  <si>
    <t>Engineering</t>
  </si>
  <si>
    <t>FJ1IG</t>
  </si>
  <si>
    <t>Green Submitted</t>
  </si>
  <si>
    <t>WOS:000412468000002</t>
  </si>
  <si>
    <t>Harris, RMB; Remenyi, TA; Williamson, GJ; Bindoff, NL; Bowman, DMJS</t>
  </si>
  <si>
    <t>Harris, Rebecca M. B.; Remenyi, Tomas A.; Williamson, Grant J.; Bindoff, Nathaniel L.; Bowman, David M. J. S.</t>
  </si>
  <si>
    <t>Climate-vegetation-fire interactions and feedbacks: trivial detail or major barrier to projecting the future of the Earth system?</t>
  </si>
  <si>
    <t>WILEY INTERDISCIPLINARY REVIEWS-CLIMATE CHANGE</t>
  </si>
  <si>
    <t>ATMOSPHERIC CARBON-DIOXIDE; CO2 ENRICHMENT FACE; ELEVATED CO2; BOREAL FOREST; ENVIRONMENTAL CONTROLS; ANDROPOGON-GAYANUS; TROPICAL SAVANNAS; GLOBAL WILDFIRES; SPATIAL-PATTERNS; WATER RELATIONS</t>
  </si>
  <si>
    <t>Fire is a complex process involving interactions and feedbacks between biological, socioeconomic, and physical drivers across multiple spatial and temporal scales. This complexity limits our ability to incorporate fire into Earth system models and project future fire activity under climate change. Conceptual, empirical, and process models have identified the mechanisms and processes driving fire regimes, and provide a useful basis to consider future fire activity. However, these models generally deal with only one component of fire regimes, fire frequency, and do not incorporate feedbacks between fire, vegetation, and climate. They are thus unable to predict the location, severity or timing of fires, the socioecological impacts of fire regime change, or potential non-linear responses such as biome shifts into alternative stable states. Dynamic modeling experiments may facilitate more thorough investigations of fire-vegetation-climate feedbacks and interactions, but their success will depend on the development of dynamic global vegetation models (DGVMs) that more accurately represent biological drivers. This requires improvements in the representation of current vegetation, plant responses to fire, ecological dynamics, and land management to capture the mechanisms behind fire frequency, intensity, and timing. DGVMs with fire modules are promising tools to develop a globally consistent analysis of fire activity, but projecting future fire activity will ultimately require a transdisciplinary synthesis of the biological, atmospheric, and socioeconomic drivers of fire. This is an important goal because fire causes substantial economic disruption and contributes to future climate change through its influence on albedo and the capacity of the biosphere to store carbon. WIREs Clim Change 2016, 7:910-931. doi: 10.1002/wcc.428 For further resources related to this article, please visit the .</t>
  </si>
  <si>
    <t>[Harris, Rebecca M. B.; Remenyi, Tomas A.; Bindoff, Nathaniel L.] Univ Tasmania, Antarctic Climate &amp; Ecosyst Cooperat Res Ctr, Hobart, Tas, Australia; [Williamson, Grant J.; Bowman, David M. J. S.] Univ Tasmania, Sch Biol Sci, Hobart, Tas, Australia; [Bindoff, Nathaniel L.] CSIRO Marine &amp; Atmospher Res, CAWCR, Hobart, Tas, Australia; [Bindoff, Nathaniel L.] Univ Tasmania, IMAS, Hobart, Tas, Australia; [Bindoff, Nathaniel L.] Univ New South Wales, ARC Ctr Excellence Climate Syst Sci, Sydney, NSW, Australia</t>
  </si>
  <si>
    <t>University of Tasmania; Antarctic Climate &amp; Ecosystems Cooperative Research Centre (ACE CRC); University of Tasmania; Commonwealth Scientific &amp; Industrial Research Organisation (CSIRO); University of Tasmania; University of New South Wales Sydney; ARC Centre of Excellence for Climate System Science</t>
  </si>
  <si>
    <t>Harris, RMB (corresponding author), Univ Tasmania, Antarctic Climate &amp; Ecosyst Cooperat Res Ctr, Hobart, Tas, Australia.</t>
  </si>
  <si>
    <t>rmharris@utas.edu.au</t>
  </si>
  <si>
    <t>Bowman, David M.J.S./A-2930-2011; Bindoff, Nathaniel Lee/IVV-0333-2023; Bindoff, Nathaniel Lee/C-8050-2011; Williamson, Grant/J-7514-2014; Harris, Rebecca/N-2790-2013</t>
  </si>
  <si>
    <t>Bowman, David M.J.S./0000-0001-8075-124X; Bindoff, Nathaniel Lee/0000-0001-5662-9519; Bindoff, Nathaniel Lee/0000-0001-5662-9519; Williamson, Grant/0000-0002-3469-7550; Remenyi, Tomas/0000-0002-4145-9323; Harris, Rebecca/0000-0002-6426-2179</t>
  </si>
  <si>
    <t>1757-7780</t>
  </si>
  <si>
    <t>1757-7799</t>
  </si>
  <si>
    <t>WIRES CLIM CHANGE</t>
  </si>
  <si>
    <t>Wiley Interdiscip. Rev.-Clim. Chang.</t>
  </si>
  <si>
    <t>10.1002/wcc.428</t>
  </si>
  <si>
    <t>Environmental Studies; Meteorology &amp; Atmospheric Sciences</t>
  </si>
  <si>
    <t>Environmental Sciences &amp; Ecology; Meteorology &amp; Atmospheric Sciences</t>
  </si>
  <si>
    <t>DZ4KK</t>
  </si>
  <si>
    <t>WOS:000385827200008</t>
  </si>
  <si>
    <t>Bargagli, R</t>
  </si>
  <si>
    <t>Bargagli, R.</t>
  </si>
  <si>
    <t>Atmospheric chemistry of mercury in Antarctica and the role of cryptogams to assess deposition patterns in coastal ice-free areas</t>
  </si>
  <si>
    <t>CHEMOSPHERE</t>
  </si>
  <si>
    <t>Antarctica; Mercury deposition; Terrestrial ecosystems; Cryptogams; Hg biomonitoring</t>
  </si>
  <si>
    <t>GASEOUS ELEMENTAL MERCURY; TERRA-NOVA BAY; SPRINGTIME DEPLETION; BOUNDARY-LAYER; ROSS-ISLAND; SPECIATION; PENINSULA; LICHEN</t>
  </si>
  <si>
    <t>Mercury in the Antarctic troposphere has a distinct chemistry and challenging long-term measurements are needed for a better understanding of the atmospheric Hg reactions with oxidants and the exchanges of the various mercury forms among air-snow-sea and biota. Antarctic mosses and lichens are reliable biomonitors of airborne metals and in short time they can give useful information about Hg deposition patterns. Data summarized in this review show that although atmospheric Hg concentrations in the Southern Hemisphere are lower than those in the Northern Hemisphere, Antarctic cryptogams accumulate Hg at levels in the same range or higher than those observed for related cryptogam species in the Arctic, suggesting an enhanced deposition of bioavailable Hg in Antarctic coastal ice-free areas. In agreement with the newest findings in the literature, the Hg bioaccumulation in mosses and lichens from a nunatak particularly exposed to strong katabatic winds can be taken as evidence for a Hg contribution to coastal ecosystems by air masses from the Antarctic plateau. Human activities on the continent are mostly concentrated in coastal ice-free areas, and the deposition in these areas of Hg from the marine environment, the plateau and anthropogenic sources raises concern. The use of Antarctic cryptogams as biomonitors will be very useful to map Hg deposition patterns in costal ice-free areas and will contribute to a better understanding of Hg cycling in Antarctica and its environmental fate in terrestrial ecosystems. (C) 2016 Elsevier Ltd. All rights reserved.</t>
  </si>
  <si>
    <t>[Bargagli, R.] Univ Siena, Dept Phys Earth &amp; Environm Sci, I-53100 Siena, Italy</t>
  </si>
  <si>
    <t>University of Siena</t>
  </si>
  <si>
    <t>Bargagli, R (corresponding author), Univ Siena, Dept Phys Earth &amp; Environm Sci, I-53100 Siena, Italy.</t>
  </si>
  <si>
    <t>bargagli@unisi.it</t>
  </si>
  <si>
    <t>Italian National Antarctic Programme (PNRA) [PEA 2009/A1.03]</t>
  </si>
  <si>
    <t>Italian National Antarctic Programme (PNRA)</t>
  </si>
  <si>
    <t>I would like to gratefully acknowledges the Italian National Antarctic Programme (PNRA) (Grant No. PEA 2009/A1.03) that for many years has supported my research on Antarctic ecosystems, Emilia Rota for her assistance in the ms preparation, and two anonymous reviewers for comments on an early version of the text.</t>
  </si>
  <si>
    <t>0045-6535</t>
  </si>
  <si>
    <t>1879-1298</t>
  </si>
  <si>
    <t>Chemosphere</t>
  </si>
  <si>
    <t>10.1016/j.chemosphere.2016.08.007</t>
  </si>
  <si>
    <t>Environmental Sciences</t>
  </si>
  <si>
    <t>DY0HB</t>
  </si>
  <si>
    <t>WOS:000384776800023</t>
  </si>
  <si>
    <t>Jones, HD; Sluys, R</t>
  </si>
  <si>
    <t>Jones, Hugh D.; Sluys, Ronald</t>
  </si>
  <si>
    <t>A new terrestrial planarian species of the genus Marionfyfea (Platyhelminthes: Tricladida) found in Europe</t>
  </si>
  <si>
    <t>JOURNAL OF NATURAL HISTORY</t>
  </si>
  <si>
    <t>Platyhelminthes; Tricladida; Continenticola; Marionfyfea; invasive species</t>
  </si>
  <si>
    <t>FLATWORM TAXA PLATYHELMINTHES; SUB-ANTARCTIC ISLANDS; NEW-ZEALAND; TERRICOLA</t>
  </si>
  <si>
    <t>Small (c.1cm long) terrestrial planarians found in the United Kingdom, the Netherlands and France are described as a new species, Marionfyfea adventor sp. nov. Individuals of the new species have a patchy brown external appearance with small, seemingly random pale blue-ish patches. They have multiple eyes, uniserial around the anterior end, biserial or triserial laterally for a short distance then sparsely uniserial and lateral to the posterior end. The anatomy is characterized by five or six pairs of ventral testes and a single pair of ovaries adjacent to the pharyngeal pouch. The base of each ovary is surrounded by parovarian cells. The penis is of the inverted type with a basal hemispherical seminal vesicle. Two adenodactyls, one ventral, one dorsal, are present in the common antrum. The only other known species of Marionfyfea is recorded only from the Auckland Islands, New Zealand and we assume that the new species has been introduced to Europe.</t>
  </si>
  <si>
    <t>[Jones, Hugh D.] Nat Hist Museum, London, England; [Sluys, Ronald] Nat Biodivers Ctr, Leiden, Netherlands</t>
  </si>
  <si>
    <t>Natural History Museum London; Naturalis Biodiversity Center</t>
  </si>
  <si>
    <t>Jones, HD (corresponding author), Nat Hist Museum, London, England.</t>
  </si>
  <si>
    <t>flatworm@btopenworld.com</t>
  </si>
  <si>
    <t>TAYLOR &amp; FRANCIS LTD</t>
  </si>
  <si>
    <t>ABINGDON</t>
  </si>
  <si>
    <t>2-4 PARK SQUARE, MILTON PARK, ABINGDON OR14 4RN, OXON, ENGLAND</t>
  </si>
  <si>
    <t>0022-2933</t>
  </si>
  <si>
    <t>1464-5262</t>
  </si>
  <si>
    <t>J NAT HIST</t>
  </si>
  <si>
    <t>J. Nat. Hist.</t>
  </si>
  <si>
    <t>41-42</t>
  </si>
  <si>
    <t>10.1080/00222933.2016.1208907</t>
  </si>
  <si>
    <t>Biodiversity Conservation; Ecology; Zoology</t>
  </si>
  <si>
    <t>Biodiversity &amp; Conservation; Environmental Sciences &amp; Ecology; Zoology</t>
  </si>
  <si>
    <t>DX7DB</t>
  </si>
  <si>
    <t>WOS:000384545400005</t>
  </si>
  <si>
    <t>Barrat, JA; Greenwood, RC; Keil, K; Rouget, ML; Boesenberg, JS; Zanda, B; Franchi, IA</t>
  </si>
  <si>
    <t>Barrat, J. A.; Greenwood, R. C.; Keil, K.; Rouget, M. L.; Boesenberg, J. S.; Zanda, B.; Franchi, I. A.</t>
  </si>
  <si>
    <t>The origin of aubrites: Evidence from lithophile trace element abundances and oxygen isotope compositions</t>
  </si>
  <si>
    <t>GEOCHIMICA ET COSMOCHIMICA ACTA</t>
  </si>
  <si>
    <t>Aubrite; Trace elements; Oxygen isotopes; Oldhamite</t>
  </si>
  <si>
    <t>FALLS CHONDRITIC INCLUSIONS; RARE-EARTH-ELEMENTS; ENSTATITE METEORITES; PARENT BODIES; PYROCLASTIC VOLCANISM; IGNEOUS ORIGIN; SOLAR-SYSTEM; MAGMA OCEANS; STONY-IRON; GEOCHEMISTRY</t>
  </si>
  <si>
    <t>We report the abundances of a selected set of lithophile trace elements (including lanthanides, actinides and high field strength elements) and high-precision oxygen isotope analyses of a comprehensive suite of aubrites. Two distinct groups of aubrites can be distinguished: (a) the main-group aubrites display flat or light-REE depleted REE patterns with variable Eu and Y anomalies; their pyroxenes are light-REE depleted and show marked negative Eu anomalies; (b) the Mount Egerton enstatites and the silicate fraction from Larned display distinctive light-REE enrichments, and high Th/Sm ratios; Mount Egerton pyroxenes have much less pronounced negative Eu anomalies than pyroxenes from the main-group aubrites. Leaching experiments were undertaken to investigate the contribution of sulfides to the whole rock budget of the main-group aubrites. Sulfides contain in most cases at least 50% of the REEs and of the actinides. Among the elements we have analyzed, those displaying the strongest lithophile behaviors are Rb, Ba, Sr and Sc. The homogeneity of the Delta O-17 values obtained for main-group aubrite falls [Delta O-17 = +0.009 +/- 0.010% (2 sigma)] suggests that they originated from a single parent body whose differentiation involved an early phase of large-scale melting that may have led to the development of a magma ocean. This interpretation is at first glance in agreement with the limited variability of the shapes of the REE patterns of these aubrites. However, the trace element concentrations of their phases cannot be used to discuss this hypothesis, because their igneous trace-element signatures have been modified by subsolidus exchange. Finally, despite similar O isotopic compositions, the marked light-REE enrichments displayed by Mount Egerton and Larned suggest that they are unrelated to the main-group aubrites and probably originated from a distinct parent body. (C) 2016 Elsevier Ltd. All rights reserved.</t>
  </si>
  <si>
    <t>[Barrat, J. A.] UBO IUEM, CNRS UMR Domaines Ocean 66538, Pl Nicolas Copern, F-29280 Plouzane, France; [Greenwood, R. C.; Franchi, I. A.] Open Univ, Dept Phys Sci, Planetary &amp; Space Sci, Walton Hall, Milton Keynes MK7 6AA, Bucks, England; [Keil, K.] Univ Hawaii Manoa, Sch Ocean &amp; Earth Sci &amp; Technol, Hawaii Inst Geophys &amp; Planetol, Honolulu, HI 96822 USA; [Rouget, M. L.] IUEM, CNRS UMS 3113, Pl Nicolas Copern, F-29280 Plouzane, France; [Boesenberg, J. S.] Amer Museum Nat Hist, Earth &amp; Planetary Sci, New York, NY 10024 USA; [Boesenberg, J. S.] Brown Univ, Geol Sci, Providence, RI 02912 USA; [Zanda, B.] Museum Natl Hist Nat, Lab Mineral, 61 Rue Buffon, F-75005 Paris, France; [Zanda, B.] Cosmochim Museum, CNRS UMR7202, 61 Rue Buffon, F-75005 Paris, France</t>
  </si>
  <si>
    <t>Universite de Bretagne Occidentale; Open University - UK; University of Hawaii System; University of Hawaii Manoa; Universite de Bretagne Occidentale; Institut Universitaire Europeen de la Mer (IUEM); Centre National de la Recherche Scientifique (CNRS); CNRS - National Institute for Earth Sciences &amp; Astronomy (INSU); American Museum of Natural History (AMNH); Brown University; Museum National d'Histoire Naturelle (MNHN); Centre National de la Recherche Scientifique (CNRS)</t>
  </si>
  <si>
    <t>Barrat, JA (corresponding author), UBO IUEM, CNRS UMR Domaines Ocean 66538, Pl Nicolas Copern, F-29280 Plouzane, France.</t>
  </si>
  <si>
    <t>barrat@univ-brest.fr</t>
  </si>
  <si>
    <t>Rouget, Marie-Laure/AAA-4464-2021; Boesenberg, Joseph S/O-7150-2018; IMPMC, ROCKS @/U-8478-2017; Zanda, Brigitte/D-6787-2015; Barrat, Jean Alix/C-8416-2017</t>
  </si>
  <si>
    <t>Zanda, Brigitte/0000-0002-4210-7151; Barrat, Jean Alix/0000-0003-3158-3109; Greenwood, Richard/0000-0002-5544-8027</t>
  </si>
  <si>
    <t>NSF; NASA; characterized and curated in the department of Mineral Sciences of the Smithsonian Institution and Astromaterials Curation Office at NASA Johnson Space Center; Programme National de Planetologie (CNRS-INSU); Science and Technology Facilities Council (STFC) Consolidated Grant; NASA [NAG5-12882]; Science and Technology Facilities Council [ST/L000776/1] Funding Source: researchfish; STFC [ST/L000776/1] Funding Source: UKRI</t>
  </si>
  <si>
    <t>NSF(National Science Foundation (NSF)); NASA(National Aeronautics &amp; Space Administration (NASA)); characterized and curated in the department of Mineral Sciences of the Smithsonian Institution and Astromaterials Curation Office at NASA Johnson Space Center; Programme National de Planetologie (CNRS-INSU)(Centre National de la Recherche Scientifique (CNRS)); Science and Technology Facilities Council (STFC) Consolidated Grant(UK Research &amp; Innovation (UKRI)Science &amp; Technology Facilities Council (STFC)); NASA(National Aeronautics &amp; Space Administration (NASA)); Science and Technology Facilities Council(UK Research &amp; Innovation (UKRI)Science &amp; Technology Facilities Council (STFC)); STFC(UK Research &amp; Innovation (UKRI)Science &amp; Technology Facilities Council (STFC))</t>
  </si>
  <si>
    <t>Most of the samples analyzed during the course of this study were kindly provided by the National History Museum, London, the Vernadsky Institute, Moscow, the Institute for Meteoritics, Albuquerque, the Museum National d'Histoire Naturelle de Paris (MNHN), the NASA meteorite working group and Don Stimpson.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We thank Anders Meibom for the editorial handling, Christine Floss, an anonymous reviewer for constructive comments, and Pascale Barrat for her help. We gratefully acknowledge the Programme National de Planetologie (CNRS-INSU) for financial support. Oxygen isotope studies at the Open University are funded through a Science and Technology Facilities Council (STFC) Consolidated Grant to the Department of Physical Sciences. This research has made use of NASA's Astrophysics Data System Abstract Service. The work of K.K. was supported in part by NASA grant NAG5-12882 (A. Krot, P.I.). This is Hawai'i Institute of Geophysics and Planetology publication No. 2206 and School of Ocean and Earth Science and Technology publication No. 9678.</t>
  </si>
  <si>
    <t>0016-7037</t>
  </si>
  <si>
    <t>1872-9533</t>
  </si>
  <si>
    <t>GEOCHIM COSMOCHIM AC</t>
  </si>
  <si>
    <t>Geochim. Cosmochim. Acta</t>
  </si>
  <si>
    <t>10.1016/j.gca.2016.07.025</t>
  </si>
  <si>
    <t>DX1DK</t>
  </si>
  <si>
    <t>Green Accepted, Green Submitted, hybrid</t>
  </si>
  <si>
    <t>WOS:000384105700002</t>
  </si>
  <si>
    <t>Bezard, R; Fischer-Gödde, M; Hamelin, C; Brennecka, GA; Kleine, T</t>
  </si>
  <si>
    <t>Bezard, Rachel; Fischer-Goedde, Mario; Hamelin, Cedric; Brennecka, Gregory A.; Kleine, Thorsten</t>
  </si>
  <si>
    <t>The effects of magmatic processes and crustal recycling on the molybdenum stable isotopic composition of Mid-Ocean Ridge Basalts</t>
  </si>
  <si>
    <t>EARTH AND PLANETARY SCIENCE LETTERS</t>
  </si>
  <si>
    <t>molybdenum stable isotopes; MORBs; mantle; partial melting; crustal recycling</t>
  </si>
  <si>
    <t>PACIFIC-ANTARCTIC RIDGE; OCEAN-RIDGE; MANTLE; FRACTIONATION; DIFFERENTIATION; HETEROGENEITY; ASSIMILATION; CHEMISTRY; ARC</t>
  </si>
  <si>
    <t>Molybdenum (Mo) stable isotopes hold great potential to investigate the processes involved in planetary formation and differentiation. However their use is currently hampered by the lack of understanding of the dominant controls driving mass-dependent fractionations at high temperature. Here we investigate the role of magmatic processes and mantle source heterogeneities on the Mo isotope composition of Mid-Ocean Ridges Basalts (MORBs) using samples from two contrasting ridge segments: (1) the extremely fast spreading Pacific-Antarctic (66-41 degrees S) section devoid of plume influence and; (2) the slow spreading Mohns-Knipovich segment (77-71 degrees N) intercepted by the Jan Mayen Plume (71 degrees N). We show that significant variations in Mo stable isotope composition exist in MORBs with delta Mo-98/95 ranging from -0.24 parts per thousand to +0.15 parts per thousand (relative to NIST SRM3134). The absence of correlation between delta Mo-98/95 and indices of magma differentiation or partial melting suggests a negligible impact of these processes on the isotopic variations observed. On the other hand, the delta Mo-98/95 variations seem to be associated with changes in radiogenic isotope signatures and rare earth element ratios (e.g., (La/Sm)(N)), suggesting mantle source heterogeneities as a dominant factor for the delta Mo-98/95 variations amongst MORBs. The heaviest Mo isotope compositions correspond to the most enriched signatures, suggesting that recycled crustal components are isotopically heavy compared to the uncontaminated depleted mantle. The uncontaminated depleted mantle shows slightly sub-chondritic delta Mo-98/95, which cannot be produced by core formation and, therefore, more likely result from extensive anterior partial melting of the mantle. Consequently, the primitive delta Mo-98/95 composition of the depleted mantle appears overprinted by the effects of both partial melting and crustal recycling. (C) 2016 The Authors. Published by Elsevier B.V.</t>
  </si>
  <si>
    <t>[Bezard, Rachel; Fischer-Goedde, Mario; Brennecka, Gregory A.; Kleine, Thorsten] Univ Munster, Inst Planetol, Wilhelm Klemm Str 10, D-48149 Munster, Germany; [Hamelin, Cedric] Univ Bergen, Dept Earth Sci, N-5020 Bergen, Norway</t>
  </si>
  <si>
    <t>University of Munster; University of Bergen</t>
  </si>
  <si>
    <t>Bezard, R (corresponding author), Univ Munster, Inst Planetol, Wilhelm Klemm Str 10, D-48149 Munster, Germany.</t>
  </si>
  <si>
    <t>bezard@wwu.de</t>
  </si>
  <si>
    <t>Hamelin, Cédric/C-6656-2009; Kleine, Thorsten/S-2792-2017</t>
  </si>
  <si>
    <t>Kleine, Thorsten/0000-0003-4657-5961; Brennecka, Gregory/0000-0002-0852-5595; Fischer-Godde, Mario/0000-0001-6839-9001</t>
  </si>
  <si>
    <t>European Research Council under the European Community [616564]</t>
  </si>
  <si>
    <t>European Research Council under the European Community(European Research Council (ERC))</t>
  </si>
  <si>
    <t>We are very grateful to Helen Ondreas, Joel Etoubleau, Sandrine Cheron and Manuel Moreira for providing several of the PAC1 and 2 samples. This research received funding to Thorsten Kleine from the European Research Council under the European Community's Seventh Framework Program (FP7/2007-2013 Grant Agreement 616564 'ISOCORE'). The constructive comments by three anonymous reviewers and the editorial handling by Bernard Marty are gratefully acknowledged.</t>
  </si>
  <si>
    <t>0012-821X</t>
  </si>
  <si>
    <t>1385-013X</t>
  </si>
  <si>
    <t>EARTH PLANET SC LETT</t>
  </si>
  <si>
    <t>Earth Planet. Sci. Lett.</t>
  </si>
  <si>
    <t>10.1016/j.epsl.2016.07.056</t>
  </si>
  <si>
    <t>DW8UZ</t>
  </si>
  <si>
    <t>WOS:000383932300017</t>
  </si>
  <si>
    <t>Minella, M; Maurino, V; Minero, C; Vione, D</t>
  </si>
  <si>
    <t>Minella, Marco; Maurino, Valter; Minero, Claudio; Vione, Davide</t>
  </si>
  <si>
    <t>A model assessment of the ability of lake water in Terra Nova Bay, Antarctica, to induce the photochemical degradation of emerging contaminants</t>
  </si>
  <si>
    <t>Environmental photochemistry; Pollutant photodegradation; Polar regions; Abiotic attenuation processes; Emerging pollutants</t>
  </si>
  <si>
    <t>DISSOLVED ORGANIC-MATTER; CHLORINATED TRICLOSAN DERIVATIVES; PERSONAL CARE PRODUCTS; KING GEORGE ISLAND; SURFACE WATERS; AQUATIC ENVIRONMENT; AQUEOUS PHOTOCHEMISTRY; DIOXIN PHOTOPRODUCTS; LABORATORY MEASURES; CONDITIONS RELEVANT</t>
  </si>
  <si>
    <t>The shallow lakes located in Terra Nova Bay, Antarctica, are free from ice for only up to a couple of months (mid December to early/mid February) during the austral summer. In the rest of the year, the ice cover shields the light and inhibits the photochemical processes in the water columns. Previous work has shown that chromophoric dissolved organic matter (CDOM) in these lakes is very reactive photo chemically. A model assessment is here provided of lake-water photoreactivity in field conditions, based on experimental data of lake water absorption spectra, chemistry and photochemistry obtained previously, taking into account the water depth and the irradiation conditions of the Antarctic summer. The chosen sample contaminants were the solar filter benzophenone-3, and the antimicrobial agent triclosan, which have very well known photoreactivity and have been found in a variety of environmental matrices in the Antarctic continent. The two compounds would have a half-life time of just a few days or less in the lake water during the Antarctic summertime, largely due to reaction with CDOM triplet states ((CDOM)-C-3*). In general, pollutants that occur in the ice and could be released to lake water upon ice melting (around or soon after the December solstice) would be quickly photodegraded if they undergo fast reaction with (CDOM)-C-3*. With some compounds, the important (CDOM)-C-3* reactions might favour the production of harmful secondary pollutants, such as 2,8-dichlorodibenzodioxin from the basic (anionic) form of triclosan. (C) 2016 Elsevier Ltd. All rights reserved.</t>
  </si>
  <si>
    <t>[Minella, Marco; Maurino, Valter; Minero, Claudio; Vione, Davide] Univ Turin, Dipartimento Chim, Via P Giuria 5, I-10125 Turin, Italy; [Vione, Davide] Univ Degli Studi Torino, Ctr Interdipartimentale NatRisk, Via L Da Vinci 44, Grugliasco, TO, Italy</t>
  </si>
  <si>
    <t>University of Turin</t>
  </si>
  <si>
    <t>Vione, D (corresponding author), Univ Turin, Dipartimento Chim, Via P Giuria 5, I-10125 Turin, Italy.</t>
  </si>
  <si>
    <t>davide.vione@unito.it</t>
  </si>
  <si>
    <t>Minella, Marco/K-1254-2019; Vione, Davide/A-4047-2008</t>
  </si>
  <si>
    <t>PNRA - Progetto Antartide</t>
  </si>
  <si>
    <t>Financial support by PNRA - Progetto Antartide is gratefully acknowledged.</t>
  </si>
  <si>
    <t>10.1016/j.chemosphere.2016.07.049</t>
  </si>
  <si>
    <t>DV9XW</t>
  </si>
  <si>
    <t>WOS:000383296500012</t>
  </si>
  <si>
    <t>Dornburg, A; Federman, S; Eytan, RI; Near, TJ</t>
  </si>
  <si>
    <t>Dornburg, Alex; Federman, Sarah; Eytan, Ron I.; Near, Thomas J.</t>
  </si>
  <si>
    <t>Cryptic species diversity in sub-Antarctic islands: A case study of Lepidonotothen</t>
  </si>
  <si>
    <t>MOLECULAR PHYLOGENETICS AND EVOLUTION</t>
  </si>
  <si>
    <t>Southern Ocean; bGMYC; Species-delimitation; Antarctica; Notothenioidei</t>
  </si>
  <si>
    <t>POPULATION GENETIC-STRUCTURE; SOUTHERN-OCEAN; NOTOTHENIOID FISH; HAPLOTYPE RECONSTRUCTION; STATISTICAL-METHOD; MODEL SELECTION; FEEDING ECOLOGY; ATLANTIC SECTOR; SCOTIA SEA; MARINE</t>
  </si>
  <si>
    <t>The marine fauna of the Southern Ocean is well known for an impressive adaptive radiation of fishes, the notothenioids. However, when compared to other marine areas, the frigid waters of the Southern Ocean also contain a seemingly large proportion of cryptic species. The documented instances of speciation in the absence of morphological change are largely observed in invertebrate taxa, in particular around periand sub-Antarctic islands such as South Georgia, which has been dubbed a cryptic species hotspot. This prevalence of cryptic species raises the question of how generalizable these patterns are for Antarctic vertebrates. Here we examine aspects of genotype and phenotype in an Antarctic notothenioid fish species, Lepidonotothen nudifrons, which is distributed in near shore habitats of the Antarctic Peninsula, South Orkney Islands, South Georgia, and the South Sandwich Islands. The results of our analyses show that L. nudifrons comprises two species. We highlight that cryptic species are phenomena not restricted to invertebrate lineages, raising the possibility that the species diversity of notothenioids and other Southern Ocean fishes is under-described. In addition, our findings raise several questions about the evolutionary origin and maintenance of morphological stasis in one of the most extreme habitats on earth. (C) 2016 Elsevier Inc. All rights reserved.</t>
  </si>
  <si>
    <t>[Dornburg, Alex] North Carolina Museum Nat Sci, 11 W Jones St, Raleigh, NC 27601 USA; [Federman, Sarah; Near, Thomas J.] Yale Univ, Dept Ecol &amp; Evolutionary Biol, New Haven, CT 06520 USA; [Eytan, Ron I.] Texas A&amp;M Univ, Dept Marine Biol, Galveston, TX 77553 USA; [Near, Thomas J.] Yale Univ, Peabody Museum Nat Hist, New Haven, CT 06520 USA</t>
  </si>
  <si>
    <t>Yale University; Texas A&amp;M University System; Yale University</t>
  </si>
  <si>
    <t>Dornburg, A (corresponding author), North Carolina Museum Nat Sci, 11 W Jones St, Raleigh, NC 27601 USA.</t>
  </si>
  <si>
    <t>alex.dornburg@naturalsciences.org</t>
  </si>
  <si>
    <t>Near, Thomas J./K-1204-2012; Dornburg, Alex/CAF-1206-2022</t>
  </si>
  <si>
    <t>Near, Thomas J./0000-0002-7398-6670; Dornburg, Alex/0000-0003-0863-2283</t>
  </si>
  <si>
    <t>NSF [PLR-1341661]; Office of Polar Programs (OPP); Directorate For Geosciences [1341661] Funding Source: National Science Foundation</t>
  </si>
  <si>
    <t>NSF(National Science Foundation (NSF)); Office of Polar Programs (OPP); Directorate For Geosciences(National Science Foundation (NSF)NSF - Directorate for Geosciences (GEO))</t>
  </si>
  <si>
    <t>Fieldwork was facilitated through the United States Antarctic Marine Living Resources Program and the officers and crew of the RV Yuzhmorgeologia and the 2004 ICEFISH cruise aboard the RVIB Nathaniel B. Palmer. Field and laboratory support was provided by H.W. Detrich, J. Kendrick, K.-H. Kock, K. L. Kuhn, and J.A. Moore. This research was funded from a NSF grant awarded to TJN (PLR-1341661).</t>
  </si>
  <si>
    <t>ACADEMIC PRESS INC ELSEVIER SCIENCE</t>
  </si>
  <si>
    <t>SAN DIEGO</t>
  </si>
  <si>
    <t>525 B ST, STE 1900, SAN DIEGO, CA 92101-4495 USA</t>
  </si>
  <si>
    <t>1055-7903</t>
  </si>
  <si>
    <t>1095-9513</t>
  </si>
  <si>
    <t>MOL PHYLOGENET EVOL</t>
  </si>
  <si>
    <t>Mol. Phylogenet. Evol.</t>
  </si>
  <si>
    <t>10.1016/j.ympev.2016.07.013</t>
  </si>
  <si>
    <t>Biochemistry &amp; Molecular Biology; Evolutionary Biology; Genetics &amp; Heredity</t>
  </si>
  <si>
    <t>DV8WJ</t>
  </si>
  <si>
    <t>WOS:000383217100004</t>
  </si>
  <si>
    <t>Masciopinto, C; Liso, IS</t>
  </si>
  <si>
    <t>Masciopinto, Costantino; Liso, Isabella Serena</t>
  </si>
  <si>
    <t>Assessment of the impact of sea-level rise due to climate change on coastal groundwater discharge</t>
  </si>
  <si>
    <t>SCIENCE OF THE TOTAL ENVIRONMENT</t>
  </si>
  <si>
    <t>Fractured aquifer; Climate change; Sea-level rise; Seawater intrusion; Modeling</t>
  </si>
  <si>
    <t>SEAWATER INTRUSION; AQUIFER; PROJECTIONS; MANAGEMENT</t>
  </si>
  <si>
    <t>An assessment of sea intrusion into coastal aquifers as a consequence of local sea-level rise (LSLR) due to climate change was carried out at Murgia and Salento in southern Italy. The interpolation of sea-level measurements at three tide-gauge stations was performed during the period of 2000 to 2014. The best In of measurements shows an increasing rale of LSLR ranging from 4.4 mm/y to 8.8 mm/y, which will result in a maximum LSLR of approximately 2 m during the 22nd century. The local rale of sea-level rise matches recent. 21st and 22nd century projections of mean global sea-level rise determined by other researchers, which include increased melting rates of the Greenland and Antarctic ice sheets, the effect of ocean thermal expansion, the melting of glaciers and ice caps, and changes in the quantity of stored land water. Subsequently, Ghyben-Herzberg's equation for the freshwater; saltwater interface was rewritten in order to determine the decrease in groundwater discharge due to the maximum LSLR. Groundwater flow simulations and ArcGIS elaborations of digital elevation models of the coast provided input data for the Ghyben-Herzberg calculation under the assumption of head-controlled systems. The progression of seawater intrusion due to LSLR suggests an impressive depletion of available groundwater discharge during the 22nd century, perhaps as much as 16.1% of current groundwater pumping for potable water in Salento. (C) 2016 Elsevier B.V. All rights reserved.</t>
  </si>
  <si>
    <t>[Masciopinto, Costantino; Liso, Isabella Serena] CNR, Ist Ric Acque, Reparto Chim &amp; Tecnol Acque, Via Francesco De Blasio 5, I-70132 Bari, Italy</t>
  </si>
  <si>
    <t>Consiglio Nazionale delle Ricerche (CNR)</t>
  </si>
  <si>
    <t>Masciopinto, C; Liso, IS (corresponding author), CNR, Ist Ric Acque, Reparto Chim &amp; Tecnol Acque, Via Francesco De Blasio 5, I-70132 Bari, Italy.</t>
  </si>
  <si>
    <t>costantino.masciopinto@ba.irsa.cnr.it; serena.liso@ba.irsa.cnr.it</t>
  </si>
  <si>
    <t>Masciopinto, Costantino/I-9892-2019; Masciopinto, Costantino/AAD-1636-2019</t>
  </si>
  <si>
    <t>Masciopinto, Costantino/0000-0003-1133-0200; Liso, Isabella Serena/0000-0002-9905-7503</t>
  </si>
  <si>
    <t>EU grant from the WP4 of Drink Adria IPA ADRIATIC CBC project [1degrees stri 0004]</t>
  </si>
  <si>
    <t>EU grant from the WP4 of Drink Adria IPA ADRIATIC CBC project</t>
  </si>
  <si>
    <t>Data are available on the ISPRA website. This study was supported by EU grant from the WP4 of Drink Adria IPA ADRIATIC CBC project (1 degrees stri 0004) 2013/2016.</t>
  </si>
  <si>
    <t>0048-9697</t>
  </si>
  <si>
    <t>1879-1026</t>
  </si>
  <si>
    <t>SCI TOTAL ENVIRON</t>
  </si>
  <si>
    <t>Sci. Total Environ.</t>
  </si>
  <si>
    <t>10.1016/j.scitotenv.2016.06.183</t>
  </si>
  <si>
    <t>DU5RM</t>
  </si>
  <si>
    <t>WOS:000382269000069</t>
  </si>
  <si>
    <t>Cabrerizo, A; Tejedo, P; Dachs, J; Benayas, J</t>
  </si>
  <si>
    <t>Cabrerizo, Ana; Tejedo, Pablo; Dachs, Jordi; Benayas, Javier</t>
  </si>
  <si>
    <t>Anthropogenic and biogenic hydrocarbons in soils and vegetation from the South Shetland Islands (Antarctica)</t>
  </si>
  <si>
    <t>Aliphatic and aromatic hydrocarbons; PAHs; Soil; Vegetation; Biogenic vs anthropogenic sources</t>
  </si>
  <si>
    <t>POLYCYCLIC AROMATIC-HYDROCARBONS; PERSISTENT ORGANIC POLLUTANTS; KING GEORGE ISLAND; N-ALKANES; CONTAMINATION; SEDIMENTS; STATION; ENVIRONMENT; ATMOSPHERE; MATTER</t>
  </si>
  <si>
    <t>Two Antarctic expeditions (in 2009 and 2011) were carried out to assess the local and remote anthropogenic sources of aliphatic and aromatic hydrocarbons, as well as potential biogenic hydrocarbons. Polycyclic aromatic hydrocarbons (PAHs), n-alkanes, biomarkers such as phytane (Ph) and pristane (Pr), and the aliphatic unresolved complex mixture (UCM), were analysed in soil and vegetation samples collected at Deception, Livingston, Barrientos and Penguin Islands (South Shetland Islands, Antarctica). Overall, the patterns of n-alkanes in lichens, mosses and grass were dominated by odd-over-even carbon number alkanes. Mosses and vascular plants showed high abundances of n-C-21 to n-C-35, while lichens also showed high abundances of n-C-17 and n-C-19. The lipid content was an important factor controlling the concentrations of n-alkanes in Antarctic vegetation (r(2) = 0.28-0.53, p-level &lt; 0.05). n-C-12 to n-C-35 n-alkanes were analysed in soils with a predominance of odd C number n-alkanes (n-C-25, n-C-27, n-C-29, and n-C-31), especially in the background soils not influenced by anthropogenic sources. The large values for the carbon predominance index (CPI) and the correlations between odd alkanes and some PAHs suggest the potential biogenic sources of these hydrocarbons in Antarctica. Unresolved complex mixture and CPI values similar to 1 detected at soils collected at intertidal areas and within the perimeter of Juan Carlos research station, further supported the evidence that even a small settlement (20 persons during the austral summer) can affect the loading of aliphatic and aromatic hydrocarbons in nearby soils. Nevertheless, the assessment of Pr/n-C-17 and Ph/n-C-18 ratios showed that hydrocarbon degradation is occurring in these soils. (C) 2016 Elsevier B.V. All rights reserved.</t>
  </si>
  <si>
    <t>[Cabrerizo, Ana; Dachs, Jordi] CSIC, Dept Environm Chem, IDAEA, Jordi Girona 18-26, Barcelona 08034, Catalonia, Spain; [Tejedo, Pablo; Benayas, Javier] Univ Autonoma Madrid, Dept Ecol, C Darwin 2, E-28049 Madrid, Spain</t>
  </si>
  <si>
    <t>Consejo Superior de Investigaciones Cientificas (CSIC); CSIC - Centro de Investigacion y Desarrollo Pascual Vila (CID-CSIC); CSIC - Instituto de Diagnostico Ambiental y Estudios del Agua (IDAEA); Autonomous University of Madrid</t>
  </si>
  <si>
    <t>Cabrerizo, A (corresponding author), Environm Canada, CCIW, 867 Lakeshore Rd, Burlington, ON L7S 1A1, Canada.</t>
  </si>
  <si>
    <t>ana.cabrerizopastor@canada.ca</t>
  </si>
  <si>
    <t>Cabrerizo, Ana/AAA-9050-2020; Tejedo, Pablo/A-7163-2010; Cabrerizo, Ana/D-8256-2018; Benayas Del Alamo, Fco. Javier/E-5663-2017</t>
  </si>
  <si>
    <t>Dachs, Jordi/0000-0002-4237-169X; Tejedo, Pablo/0000-0002-1865-0445; Cabrerizo, Ana/0000-0002-5933-1483; Benayas Del Alamo, Fco. Javier/0000-0002-5906-9569</t>
  </si>
  <si>
    <t>Spanish Ministry of Science and Innovation through the REMARCA project [CTM2012-34673]; Spanish Ministry of Science and Innovation through the EVA-ANTARCTICA project [CTM2009-06604-E]; People Programme (Marie Curie Actions) of the European Union's Seventh Framework Programme (FP7) under REA [PIOF-GA-2013-628303]</t>
  </si>
  <si>
    <t>Spanish Ministry of Science and Innovation through the REMARCA project; Spanish Ministry of Science and Innovation through the EVA-ANTARCTICA project; People Programme (Marie Curie Actions) of the European Union's Seventh Framework Programme (FP7) under REA(European Union (EU))</t>
  </si>
  <si>
    <t>This research project was funded by the Spanish Ministry of Science and Innovation through the REMARCA (CTM2012-34673) and EVA-ANTARCTICA (CTM2009-06604-E) projects. We thank support staff at Juan Carlos I research station. Derek Muir is acknowledged for his useful revision and comments. A.C. acknowledges funding from the People Programme (Marie Curie Actions) of the European Union's Seventh Framework Programme (FP7/2007-2013) under REA grant agreement no. PIOF-GA-2013-628303.</t>
  </si>
  <si>
    <t>10.1016/j.scitotenv.2016.06.240</t>
  </si>
  <si>
    <t>Green Published</t>
  </si>
  <si>
    <t>WOS:000382269000144</t>
  </si>
  <si>
    <t>Riquelme-Bugueño, R; Silva-Aburto, J; Escribano, R; Peterson, WT; Schneider, W</t>
  </si>
  <si>
    <t>Riquelme-Bugueno, Ramiro; Silva-Aburto, Jocelyn; Escribano, Ruben; Peterson, William T.; Schneider, Wolfgang</t>
  </si>
  <si>
    <t>Growth of the Humboldt Current krill in the upwelling zone off central Chile</t>
  </si>
  <si>
    <t>JOURNAL OF MARINE SYSTEMS</t>
  </si>
  <si>
    <t>Euphausiids; Equatorial subsurface water; Growth; Euphausia mucronata; Coastal upwelling; Humboldt Current System</t>
  </si>
  <si>
    <t>EUPHAUSIA-SUPERBA DANA; CENTRAL-SOUTHERN CHILE; INDIAN-OCEAN SECTOR; ANTARCTIC KRILL; BIOLOGICAL PRODUCTIVITY; BODY SHRINKAGE; CLIMATE-CHANGE; JAPAN SEA; TEMPERATURE; PACIFICA</t>
  </si>
  <si>
    <t>Temporal variability in the daily growth rate (DGR) of the Humboldt Current krill, Euphausia mucronata, was studied in eighteen incubation experiments off the coast of Dichato, central Chile (36.5 degrees S), carried out in 2011-2014. Intermolt period (IMP) was derived from the molting rate method in order to estimate the DGRs. Mean IMP was 9.2 +/- 4.8 days (range: 2.9-18.7 d). Overall mean DGR was 0.03 +/- 0.13 mm d(-1). DGR showed a dome-shaped pattern, with a higher mean DGR when upwelling was moderate (0.06 +/- 0.04 mm d(-1)) than intense (0.01 +/- 0.00 mm d(-1)) or weak (0.01 +/- 0.01 mm d(-1)). This dome-shaped trend was observed in chlorophyll-a concentrations (Chla) at similar upwelling regimens. E. mucronata DGR variability was best explained by a generalized linear model which included the contribution of the Equatorial Subsurface Water, temperature, dissolved oxygen and Chla as predictor variables. Results suggest that E. mucronata is better adapted to grow under upwelling conditions when it can take advantage of high biological productivity, although the species growth is not limited when weak upwelling or even downwelling occurs. Analysis of the duration of the upwelling events suggest that E. mucronata growth is limited (shrinking) when upwellings last &gt;10 days. (C) 2016 Elsevier B.V. All rights reserved.</t>
  </si>
  <si>
    <t>[Riquelme-Bugueno, Ramiro] Univ Concepcion, Fac Ciencias Nat &amp; Oceanog, Dept Zool, CP 160-C, Concepcion, Chile; [Riquelme-Bugueno, Ramiro; Escribano, Ruben; Schneider, Wolfgang] Univ Concepcion, Inst Milenio Oceanog, Concepcion, Chile; [Silva-Aburto, Jocelyn] Inst Invest Pesquera, Talcahuano, Chile; [Escribano, Ruben; Schneider, Wolfgang] Univ Concepcion, Fac Ciencias Nat &amp; Oceanog, Dept Oceanog, Concepcion, Chile; [Peterson, William T.] NOAA Fisheries, Northwest Fisheries Sci Ctr, Hatfield Marine Sci Ctr, Newport, OR 97365 USA</t>
  </si>
  <si>
    <t>Universidad de Concepcion; Universidad de Concepcion; Universidad de Concepcion; National Oceanic Atmospheric Admin (NOAA) - USA</t>
  </si>
  <si>
    <t>Riquelme-Bugueño, R (corresponding author), Univ Concepcion, Fac Ciencias Nat &amp; Oceanog, Dept Zool, CP 160-C, Concepcion, Chile.</t>
  </si>
  <si>
    <t>rriquelm@udec.cl</t>
  </si>
  <si>
    <t>Riquelme, Ramiro/L-4706-2016; Escribano, Ruben/IAN-0878-2023</t>
  </si>
  <si>
    <t>Riquelme, Ramiro/0000-0002-2245-6485; Escribano, Ruben/0000-0002-9843-7723</t>
  </si>
  <si>
    <t>Fondecyt [3130387, 1120478]; Institute Milenio de Oceanografia [IC 120019]; [2012-0006]</t>
  </si>
  <si>
    <t>Fondecyt(Comision Nacional de Investigacion Cientifica y Tecnologica (CONICYT)CONICYT FONDECYT); Institute Milenio de Oceanografia;</t>
  </si>
  <si>
    <t>This study was funded by Fondecyt No. 3130387 (R.R-B) and No. 1120478 (WS) grants. We thank the crew of L/C Kay-Kay II for their ongoing and valuable help at sea. C. Ballotta helped with some krill experiments. Comments from anonymous reviewers substantially improved the original version of this study and they are deeply appreciated. The authors are thankful for the additional support from USA 2012-0006 grant and the Institute Milenio de Oceanografia (IC 120019).</t>
  </si>
  <si>
    <t>0924-7963</t>
  </si>
  <si>
    <t>1879-1573</t>
  </si>
  <si>
    <t>J MARINE SYST</t>
  </si>
  <si>
    <t>J. Mar. Syst.</t>
  </si>
  <si>
    <t>10.1016/j.jmarsys.2016.06.001</t>
  </si>
  <si>
    <t>Geosciences, Multidisciplinary; Marine &amp; Freshwater Biology; Oceanography</t>
  </si>
  <si>
    <t>Geology; Marine &amp; Freshwater Biology; Oceanography</t>
  </si>
  <si>
    <t>DU7PV</t>
  </si>
  <si>
    <t>WOS:000382408000001</t>
  </si>
  <si>
    <t>Garzón, JEC; Martínez, AM; Barrera, F; Pfaff, F; Koch, BP; Freije, RH; Gómez, EA; Lara, RJ</t>
  </si>
  <si>
    <t>Cardona Garzon, J. E.; Martinez, A. M.; Barrera, F.; Pfaff, F.; Koch, B. P.; Freije, R. H.; Gomez, E. A.; Lara, R. J.</t>
  </si>
  <si>
    <t>The Pacific-Atlantic connection: Biogeochemical signals in the southern. end of the Argentine shelf</t>
  </si>
  <si>
    <t>Pacific-Atlantic connection; Nutrients; Organic matter; Isotopes; Terrigenous input</t>
  </si>
  <si>
    <t>DISSOLVED ORGANIC-MATTER; TIERRA-DEL-FUEGO; BEAGLE CHANNEL; NITROGEN; MARINE; CARBON; PHYTOPLANKTON; MAGELLAN; SEAWATER; IRON</t>
  </si>
  <si>
    <t>The Cape Horn Current transports low-salinity waters from the SE Pacific Ocean into the Atlantic, which are transported further north by the Malvinas current. Biogeochemical signals of this connection were studied by characterization of dissolved organic matter (DOM) by determination of dissolved organic carbon (DOC), fluorescent dissolved organic matter (FDOMc), and DOM humification index (HIX). Further, inorganic nutrients, salinity, temperature, stable isotopic composition of particulate organic nitrogen (delta N-15) and chlorophyll a (Chia) were measured in the southern end of the Argentine shelf in March 2012. Three water types were characterized: waters of the Beagle Channel (BCW), coastal waters (CW) and oceanic waters (OW). Highest values of ammonium, DOC, FDOMC and HIX were found in BCW, the lowest in OW, suggesting that terrigenous input is a main source of ammonium and refractory carbon, which is supported by a highly significant inverse correlation of these parameters with salinity. In turn, lowest concentrations of nitrate, silicate and phosphate were found in BCW and CW, and highest in OW, with highly significant correlations of these nutrients with salinity, indicating the contribution of the saltier, nutrient-rich Antarctic Circumpolar Current (ACC) to the Pacific-Atlantic connection system. In general there was an inverse distribution pattern between Chla and those nutrients contributed by the ACC, which is consistent with the transition from coastal waters to the low-silicate, high-nitrate, low-chlorophyll, iron-limited setting of the Subantarctic oceanic waters north of the Polar Front. In contrast, in the low-salinity, internal BCW, high values of ammonium, DOC, HIX and FDOM indicate continental inputs, likely including iron complexes, which could have led to the observed high Chla values. delta N-15 values were positive in the study region, and same as ammonium, reached a maximum in the inner part of the BCW, declining towards OW. This does not support a previous assumption that rainfall on the SE Pacific could be the source of ammonium and hence explain negative delta N-15 values previously found in the northern Drake Passage. The highly significant inverse correlations of ammonium, FDOMC, HIX, and DOC with salinity suggest that continental runoff rather than wet deposition is an important source of ammonium and DOM in the Pacific-Atlantic connection. (C) 2016 Elsevier B.V. All rights reserved.</t>
  </si>
  <si>
    <t>[Cardona Garzon, J. E.; Barrera, F.; Gomez, E. A.; Lara, R. J.] Consejo Nacl Invest Cient &amp; Tecn, Inst Argentino Oceanog, B8000FWB Bahia Blanca, Buenos Aires, DF, Argentina; [Cardona Garzon, J. E.; Martinez, A. M.; Freije, R. H.] Univ Nacl Sur, Dept Chem, Bahia Blanca B8000CPB, RA-8000 Bahia Blanca, Buenos Aires, Argentina; [Pfaff, F.] Helmholtz Zentrum Polar &amp; Meeresforsch, Alfred Wegener Inst, Okol Chem, Handelshafen 12, D-27570 Bremerhaven, Germany; [Koch, B. P.] Univ Appl Sci, Hsch Bremerhaven, Karlstadt 8, D-27568 Bremerhaven, Germany</t>
  </si>
  <si>
    <t>Consejo Nacional de Investigaciones Cientificas y Tecnicas (CONICET); National University of the South; Helmholtz Association; Alfred Wegener Institute, Helmholtz Centre for Polar &amp; Marine Research</t>
  </si>
  <si>
    <t>Lara, RJ (corresponding author), Consejo Nacl Invest Cient &amp; Tecn, Inst Argentino Oceanog, B8000FWB Bahia Blanca, Buenos Aires, DF, Argentina.</t>
  </si>
  <si>
    <t>Gomez, Eduardo Alberto/Q-9020-2019; Koch, Boris/B-2784-2009</t>
  </si>
  <si>
    <t>Koch, Boris/0000-0002-8453-731X</t>
  </si>
  <si>
    <t>MINCyT/BMBF [9135-2011]; FONCyT grant from Argentina [PICT-2010-0467]</t>
  </si>
  <si>
    <t>MINCyT/BMBF; FONCyT grant from Argentina</t>
  </si>
  <si>
    <t>We are thankful to the crew of the research vessel BO Puerto Deseado and of the fisherboat Don Pedro for their support on field activities and sampling. We also thank the technicians and students from IADO and UNS, Bahia Blanca and AWI, Bremerhaven for their excellent assistance in sample analysis. The present work was partly funded through an international Argentine-German cooperation program from MINCyT/BMBF (9135-2011) and a FONCyT grant from Argentina PICT-2010-0467.</t>
  </si>
  <si>
    <t>10.1016/j.jmarsys.2016.07.008</t>
  </si>
  <si>
    <t>WOS:000382408000008</t>
  </si>
  <si>
    <t>Meijer, A</t>
  </si>
  <si>
    <t>Meijer, Arend</t>
  </si>
  <si>
    <t>Test of a spreading-ridge subduction model for the origin of granitoid plutons and metavolcanic complexes in the Palaeoproterozoic Pinal forearc/subduction complex of Southern Arizona, USA</t>
  </si>
  <si>
    <t>INTERNATIONAL GEOLOGY REVIEW</t>
  </si>
  <si>
    <t>Spreading-ridge subduction; forearc magmatism; Palaeoproterozoic; Pinal terrane</t>
  </si>
  <si>
    <t>PROTEROZOIC SUPRACRUSTAL ROCKS; SLAB-WINDOW FORMATION; SOUTHWESTERN UNITED-STATES; CREST-TRENCH COLLISION; WESTERN NORTH-AMERICA; ANTARCTIC PENINSULA; SOUTHEASTERN ARIZONA; FORE-ARC; TRIPLE JUNCTION; PLATE-TECTONICS</t>
  </si>
  <si>
    <t>The Pinal terrane of southern Arizona has been characterized as a Palaeoproterozoic forearc/subduction complex (Meijer 2014). It contains granitoid plutons and metavolcanic rocks with arc affinities that have a spatial distribution reminiscent of plutons and volcanic rocks that intruded into and erupted onto the early Cenozoic forearc/subduction complex of south-central Alaska (i.e. Chugach-Prince William terrane). The magmatic rocks that intruded into and erupted onto the Alaskan forearc/subduction complex are believed to have been produced largely as a result of a spreading-ridge subduction event (SRSE) during the early Cenozoic (Bradley et al. 2003). A characteristic of these rocks is that they were emplaced in a relatively short interval of time (10-30million years) between the arc and associated trench. In the Pinal forearc/subduction complex of southern Arizona, there are numerous plutons and several metavolcanic complexes with arc affinities scattered over a distance of approximately 300km perpendicular to the NE-SW Palaeoproterozoic orogenic trend. If these magmatic rocks are the result of an SRSE, they should have similar emplacement ages. New zircon age data for 16 samples from metavolcanic units and granitoid plutons in the Pinal forearc/subduction complex collected over a distance of 250km perpendicular to the orogenic trend show a narrow range of emplacement ages that average 1650 +/- 20million years. The restricted age range and the spatial distribution of the plutons and metavolcanic rocks within this forearc/subduction complex are consistent with them having originated as a result of a Palaeoproterozoic SRSE.</t>
  </si>
  <si>
    <t>[Meijer, Arend] Univ Arizona, Dept Geosci, Tucson, AZ 85721 USA</t>
  </si>
  <si>
    <t>University of Arizona</t>
  </si>
  <si>
    <t>Meijer, A (corresponding author), Univ Arizona, Dept Geol Sci, 1040 E 4th St, Tucson, AZ 85721 USA.</t>
  </si>
  <si>
    <t>Ameijer2@aol.com</t>
  </si>
  <si>
    <t>NSF [EAR-1338583, EAR-1250434]; Division Of Earth Sciences; Directorate For Geosciences [1338583] Funding Source: National Science Foundation</t>
  </si>
  <si>
    <t>NSF(National Science Foundation (NSF)); Division Of Earth Sciences; Directorate For Geosciences(National Science Foundation (NSF)NSF - Directorate for Geosciences (GEO))</t>
  </si>
  <si>
    <t>The author would like to thank Professor George Gehrels of the University of Arizona for his support of this work and for his review of an early version of the manuscript. The Arizona Laserchron Center (ALC) is supported by NSF grant EAR-1338583. The author would also like to thank Professor David Kimbrough for making available the rock crushing and mineral separation facilities at San Diego State University. These facilities are supported by NSF grant EAR-1250434.</t>
  </si>
  <si>
    <t>TAYLOR &amp; FRANCIS INC</t>
  </si>
  <si>
    <t>PHILADELPHIA</t>
  </si>
  <si>
    <t>530 WALNUT STREET, STE 850, PHILADELPHIA, PA 19106 USA</t>
  </si>
  <si>
    <t>0020-6814</t>
  </si>
  <si>
    <t>1938-2839</t>
  </si>
  <si>
    <t>INT GEOL REV</t>
  </si>
  <si>
    <t>Int. Geol. Rev.</t>
  </si>
  <si>
    <t>10.1080/00206814.2016.1185651</t>
  </si>
  <si>
    <t>DS8DM</t>
  </si>
  <si>
    <t>WOS:000381013500003</t>
  </si>
  <si>
    <t>Southwell, C; Emmerson, L; McKinlay, J; Newbery, K; Takahashi, A; Kato, A</t>
  </si>
  <si>
    <t>Southwell, C.; Emmerson, L.; McKinlay, J.; Newbery, K.; Takahashi, A.; Kato, A.</t>
  </si>
  <si>
    <t>Spatially Extensive Standardized Surveys Reveal Widespread, Multi-Decadal Increase in East Antarctic Ade Adelie Penguin Populations (vol 10, e0139877, 2015)</t>
  </si>
  <si>
    <t>PLOS ONE</t>
  </si>
  <si>
    <t>Correction</t>
  </si>
  <si>
    <t>PUBLIC LIBRARY SCIENCE</t>
  </si>
  <si>
    <t>SAN FRANCISCO</t>
  </si>
  <si>
    <t>1160 BATTERY STREET, STE 100, SAN FRANCISCO, CA 94111 USA</t>
  </si>
  <si>
    <t>1932-6203</t>
  </si>
  <si>
    <t>PLoS One</t>
  </si>
  <si>
    <t>OCT 28</t>
  </si>
  <si>
    <t>e0165989</t>
  </si>
  <si>
    <t>10.1371/journal.pone.0165989</t>
  </si>
  <si>
    <t>EE3YA</t>
  </si>
  <si>
    <t>Green Published, gold, Green Submitted</t>
  </si>
  <si>
    <t>WOS:000389537000052</t>
  </si>
  <si>
    <t>Groeskamp, S; Abernathey, RP; Klocker, A</t>
  </si>
  <si>
    <t>Groeskamp, Sjoerd; Abernathey, Ryan P.; Klocker, Andreas</t>
  </si>
  <si>
    <t>Water mass transformation by cabbeling and thermobaricity</t>
  </si>
  <si>
    <t>GEOPHYSICAL RESEARCH LETTERS</t>
  </si>
  <si>
    <t>Watermass Transformation; Ocean Circulation; AAIW; Cabbeling; Thermobaricity; Mixing</t>
  </si>
  <si>
    <t>EQUATION-OF-STATE; DEEP-OCEAN; SEA-ICE; DIFFUSIVITY; CIRCULATION; PARAMETERIZATION; FRAMEWORK; PATTERNS; FLUXES; MODEL</t>
  </si>
  <si>
    <t>Water mass transformation is an important process for the global ocean circulation. Nonlinearities in the equation of state of seawater lead to water mass transformation due to cabbeling and thermobaricity. Here the contribution of cabbeling and thermobaricity to water mass transformation is calculated in a Neutral Density framework, using temperature gradients derived from observationally based gridded climatologies and observationally based estimates of the spatially varying eddy diffusivities. It is shown that cabbeling and thermobaricity play a significant role in the water mass transformation budget, with cabbeling having a particularly important role in the formation of Antarctic Intermediate Water and Antarctic Bottom Water. A physical hypothesis is presented which explains why cabbeling is important for Antarctic Intermediate Water formation. It is shown that spatially varying estimates of eddy diffusivities are essential to correctly quantify the role of cabbeling to the formation of Antarctic Intermediate Water.</t>
  </si>
  <si>
    <t>[Groeskamp, Sjoerd; Abernathey, Ryan P.] Columbia Univ, Lamont Doherty Earth Observ, New York, NY 10027 USA; [Klocker, Andreas] Univ Tasmania, Inst Marine &amp; Antarct Studies, Hobart, Tas, Australia</t>
  </si>
  <si>
    <t>Columbia University; University of Tasmania</t>
  </si>
  <si>
    <t>Groeskamp, S (corresponding author), Columbia Univ, Lamont Doherty Earth Observ, New York, NY 10027 USA.</t>
  </si>
  <si>
    <t>Klocker, Andreas/E-4632-2011</t>
  </si>
  <si>
    <t>Klocker, Andreas/0000-0002-2038-7922</t>
  </si>
  <si>
    <t>NASA [NNX14AI46G]; Australian Research Council [DE140100076]; NASA [NNX14AI46G, 681756] Funding Source: Federal RePORTER; Australian Research Council [DE140100076] Funding Source: Australian Research Council</t>
  </si>
  <si>
    <t>NASA(National Aeronautics &amp; Space Administration (NASA)); Australian Research Council(Australian Research Council); NASA(National Aeronautics &amp; Space Administration (NASA)); Australian Research Council(Australian Research Council)</t>
  </si>
  <si>
    <t>S.G. and R.P.A. acknowledge support by the NASA grant NNX14AI46G. A.K. was supported by an Australian Research Council Discovery Early Career Researcher Award (DE140100076). We thank Trevor McDougall for useful discussion on this work. We thank Paul Barker for providing a preliminary version of the new GSW-based stabilization method and helping to get the Neutral Density code to work together with Jonathan Sattelberger. We thank Sylvia Cole and Cimarron Wortham for providing the mesoscale diffusivities.</t>
  </si>
  <si>
    <t>0094-8276</t>
  </si>
  <si>
    <t>1944-8007</t>
  </si>
  <si>
    <t>GEOPHYS RES LETT</t>
  </si>
  <si>
    <t>Geophys. Res. Lett.</t>
  </si>
  <si>
    <t>10.1002/2016GL070860</t>
  </si>
  <si>
    <t>EC7CQ</t>
  </si>
  <si>
    <t>Green Accepted, Bronze, Green Published</t>
  </si>
  <si>
    <t>WOS:000388293800004</t>
  </si>
  <si>
    <t>Erickson, ZK; Thompson, AF; Cassar, N; Sprintall, J; Mazloff, MR</t>
  </si>
  <si>
    <t>Erickson, Zachary K.; Thompson, Andrew F.; Cassar, Nicolas; Sprintall, Janet; Mazloff, Matthew R.</t>
  </si>
  <si>
    <t>An advective mechanism for deep chlorophyll maxima formation in southern Drake Passage</t>
  </si>
  <si>
    <t>deep chlorophyll maximum; biophysical interactions; eddy transport</t>
  </si>
  <si>
    <t>ANTARCTIC CIRCUMPOLAR CURRENT; COASTAL TRANSITION ZONE; OCEAN COLOR; BIOOPTICAL PROPERTIES; NORTHERN CALIFORNIA; DISSOLVED IRON; MIXED-LAYER; PHYTOPLANKTON; WATERS; LIGHT</t>
  </si>
  <si>
    <t>We observe surface and subsurface fluorescence-derived chlorophyll maxima in southern Drake Passage during austral summer. Backscatter measurements indicate that the deep chlorophyll maxima (DCMs) are also deep biomass maxima, and euphotic depth estimates show that they lie below the euphotic layer. Subsurface, offshore and near-surface, onshore features lie along the same isopycnal, suggesting advective generation of DCMs. Temperature measurements indicate a warming of surface waters throughout austral summer, capping the winter water (WW) layer and increasing off-shelf stratification in this isopycnal layer. The outcrop position of the WW isopycnal layer shifts onshore, into a surface phytoplankton bloom. A lateral potential vorticity (PV) gradient develops, such that a down-gradient PV flux is consistent with offshore, along-isopycnal tracer transport. Model results are consistent with this mechanism. Subduction of chlorophyll and biomass along isopycnals represents a biological term not observed by surface satellite measurements which may contribute significantly to the strength of the biological pump in this region.</t>
  </si>
  <si>
    <t>[Erickson, Zachary K.; Thompson, Andrew F.] CALTECH, Environm Sci &amp; Engn, Pasadena, CA 91125 USA; [Cassar, Nicolas] Duke Univ, Nicholas Sch Environm, Div Earth &amp; Ocean Sci, Durham, NC 27708 USA; [Sprintall, Janet; Mazloff, Matthew R.] Scripps Inst Oceanog, La Jolla, CA USA</t>
  </si>
  <si>
    <t>California Institute of Technology; Duke University; University of California System; University of California San Diego; Scripps Institution of Oceanography</t>
  </si>
  <si>
    <t>Erickson, ZK (corresponding author), CALTECH, Environm Sci &amp; Engn, Pasadena, CA 91125 USA.</t>
  </si>
  <si>
    <t>zerickso@caltech.edu</t>
  </si>
  <si>
    <t>Cassar, Nicolas/B-4260-2011; Mazloff, Matthew/AAG-6463-2019</t>
  </si>
  <si>
    <t>Mazloff, Matthew/0000-0002-1650-5850; Erickson, Zachary/0000-0002-9936-9881</t>
  </si>
  <si>
    <t>David and Lucille Packard Foundation; National Science Foundation (NSF) [OPP-1246460, OPP-1246160, OCE-1234473, PLR-1425989]; NSF [OCE-130007]; Directorate For Geosciences; Division Of Ocean Sciences [1234473] Funding Source: National Science Foundation; Office of Polar Programs (OPP); Directorate For Geosciences [1246460, 1425989] Funding Source: National Science Foundation</t>
  </si>
  <si>
    <t>David and Lucille Packard Foundation(The David &amp; Lucile Packard Foundation); National Science Foundation (NSF)(National Science Foundation (NSF)); NSF(National Science Foundation (NSF)); Directorate For Geosciences; Division Of Ocean Sciences(National Science Foundation (NSF)NSF - Directorate for Geosciences (GEO)); Office of Polar Programs (OPP); Directorate For Geosciences(National Science Foundation (NSF)NSF - Directorate for Geosciences (GEO))</t>
  </si>
  <si>
    <t>The authors thank the captains and crews of the ARSV Laurence M. Gould and the RSS Shackleton for their assistance in the deployment and recovery of the gliders during this project. Z.K.E. and A.F.T. gratefully acknowledge funding from the David and Lucille Packard Foundation. The authors are supported by National Science Foundation (NSF) grants OPP-1246460 (Z.K.E. and A.F.T.), OPP-1246160 (J.S.), OCE-1234473 (M.R.M.), and PLR-1425989 (M.R.M.). Seaglider measurements were processed using the UEA Seaglider Toolbox (https://bitbucket.org/bastienqueste/uea-seaglider-toolbox) kindly provided by Bastien Y. Queste. Satellite data were provided by NASA Goddard Space Flight Center at http://oceancolor.gsfc.nasa.gov/. The model was run using the Extreme Science and Engineering Discovery Environment (XSEDE), which is supported by NSF grant OCE-130007. Z.K.E. would like to thank Emmanuel Boss, John Cullen, Nils Haentjens, and Tim Smyth for valuable conversations related to this project. Seaglider data may be obtained from Z.K.E. The authors thank Tom Trull and two anonymous reviewers for their constructive reviews of this study.</t>
  </si>
  <si>
    <t>10.1002/2016GL070565</t>
  </si>
  <si>
    <t>Bronze, Green Accepted</t>
  </si>
  <si>
    <t>WOS:000388293800017</t>
  </si>
  <si>
    <t>McKinnon, KA; Huybers, P</t>
  </si>
  <si>
    <t>McKinnon, Karen A.; Huybers, Peter</t>
  </si>
  <si>
    <t>Seasonal constraints on inferred planetary heat content</t>
  </si>
  <si>
    <t>ocean heat content; seasonal cycle; CERES; Argo</t>
  </si>
  <si>
    <t>ATMOSPHERE RADIATION; OCEAN; ARGO; CLIMATOLOGY; ICE; TEMPERATURE; REANALYSIS; MODEL</t>
  </si>
  <si>
    <t>Planetary heating can be quantified using top of the atmosphere energy fluxes or through monitoring the heat content of the Earth system. It has been difficult, however, to compare the two methods with each other because of biases in satellite measurements and incomplete spatial coverage of ocean observations. Here we focus on the the seasonal cycle whose amplitude is large relative to satellite biases and observational errors. The seasonal budget can be closed through inferring contributions from high-latitude oceans and marginal seas using the covariance structure of National Center for Atmospheric Research (NCAR) Community Earth System Model (CESM1). In contrast, if these regions are approximated as the average across well-observed regions, the amplitude of the seasonal cycle is overestimated relative to satellite constraints. Analysis of the same CESM1 simulation indicates that complete measurement of the upper ocean would increase the magnitude and precision of interannual trend estimates in ocean heating more than fully measuring the deep ocean.</t>
  </si>
  <si>
    <t>[McKinnon, Karen A.] Natl Ctr Atmospher Res, Climate &amp; Global Change Div, POB 3000, Boulder, CO 80307 USA; [Huybers, Peter] Harvard Univ, Dept Earth &amp; Planetary Sci, 20 Oxford St, Cambridge, MA 02138 USA</t>
  </si>
  <si>
    <t>National Center Atmospheric Research (NCAR) - USA; Harvard University</t>
  </si>
  <si>
    <t>McKinnon, KA (corresponding author), Natl Ctr Atmospher Res, Climate &amp; Global Change Div, POB 3000, Boulder, CO 80307 USA.</t>
  </si>
  <si>
    <t>mckinnon@ucar.edu</t>
  </si>
  <si>
    <t>Keyes, Dennis/AAZ-9285-2021; McKinnon, Karen/IAR-7268-2023</t>
  </si>
  <si>
    <t>McKinnon, Karen/0000-0003-3314-8442; Huybers, Peter/0000-0002-3734-8145</t>
  </si>
  <si>
    <t>NASA NESSF; NCAR; NSF [1304309]; Div Atmospheric &amp; Geospace Sciences; Directorate For Geosciences [1304309] Funding Source: National Science Foundation</t>
  </si>
  <si>
    <t>NASA NESSF(National Aeronautics &amp; Space Administration (NASA)); NCAR(National Science Foundation (NSF)NSF - Directorate for Geosciences (GEO)); NSF(National Science Foundation (NSF)); Div Atmospheric &amp; Geospace Sciences; Directorate For Geosciences(National Science Foundation (NSF)NSF - Directorate for Geosciences (GEO))</t>
  </si>
  <si>
    <t>The authors thank Kevin Trenberth, Carl Wunsch, and two anonymous reviewers for their helpful comments. While this article was in press, the authors were made aware that Aaron Donohoe has presented similar results that are as yet unpublished. K.A.M. acknowledges NASA NESSF and the NCAR Advanced Study Program for funding. P.J.H. acknowledges NSF grant 1304309. Gridded Argo temperature data from Scripps are at http://www.argo.ucsd.edu/Gridded_fields.html, WOA13 data are at https://www.nodc.noaa.gov/cgi-bin/OC5/woa13/woa13.pl, Met Office EN4 data are at http://www.metoffice.gov.uk/hadobs/en4/, PIOMAS Arctic sea ice volume data are at http://psc.apl.uw.edu/wordpress/wp-content/uploads/schweiger/ice_volume/PIOMAS.2sst.monthly. Current. v2.1.txt, Antarctic sea ice extent data are at https://www.ncdc.noaa.gov/snow-and-ice/extent/sea-ice/S/0.csv, vertically integrated atmospheric heat is available at http://www.cgd.ucar.edu/cas/catalog/reanalysis/budgets/index.html, Berkeley Earth temperature data are available at http://berkeleyearth.org/data/, and CESM1 monthly ocean temperature output is available at https://www.earthsystemgrid.org/dataset/ucar.cgd.ccsm4.CESM_CAM5_BGC_LE.ocn.proc.monthly_ave.html. All codes necessary for the analysis are publicly available at https://github.com/karenamckinnon/seasonal-ohc.</t>
  </si>
  <si>
    <t>10.1002/2016GL071055</t>
  </si>
  <si>
    <t>Green Published, Bronze</t>
  </si>
  <si>
    <t>WOS:000388293800035</t>
  </si>
  <si>
    <t>Jang, SJ; Park, E; Lee, WK; Johnson, SB; Vrijenhoek, RC; Won, YJ</t>
  </si>
  <si>
    <t>Jang, Sook-Jin; Park, Eunji; Lee, Won-Kyung; Johnson, Shannon B.; Vrijenhoek, Robert C.; Won, Yong-Jin</t>
  </si>
  <si>
    <t>Population subdivision of hydrothermal vent polychaete Alvinella pompejana across equatorial and Easter Microplate boundaries</t>
  </si>
  <si>
    <t>BMC EVOLUTIONARY BIOLOGY</t>
  </si>
  <si>
    <t>Hydrothermal vent; Polychaeta; Metapopulations; Divergence; Gene flow</t>
  </si>
  <si>
    <t>MULTILOCUS GENOTYPE DATA; PACIFIC RISE; GENETIC DIVERSITY; MITOCHONDRIAL-DNA; HAPLOTYPE RECONSTRUCTION; NUCLEAR DISCORDANCE; STATISTICAL-METHOD; RIFTIA-PACHYPTILA; DISPERSAL; OCEAN</t>
  </si>
  <si>
    <t>Background: The Equator and Easter Microplate regions of the eastern Pacific Ocean exhibit geomorphological and hydrological features that create barriers to dispersal for a number of animals associated with deep-sea hydrothermal vent habitats. This study examined effects of these boundaries on geographical subdivision of the vent polychaete Alvinella pompejana. DNA sequences from one mitochondrial and eleven nuclear genes were examined in samples collected from ten vent localities that comprise the species' known range from 23 degrees N latitude on the East Pacific Rise to 38 degrees S latitude on the Pacific Antarctic Ridge. Results: Multi-locus genotypes inferred from these sequences clustered the individual worms into three metapopulation segments - the northern East Pacific Rise (NEPR), southern East Pacific Rise (SEPR), and northeastern Pacific Antarctic Ridge (PAR) - separated by the Equator and Easter Microplate boundaries. Genetic diversity estimators were negatively correlated with tectonic spreading rates. Application of the isolation-with-migration (IMa2) model provided information about divergence times and demographic parameters. The PAR and NEPR metapopulation segments were estimated to have split roughly 4.20 million years ago (Mya) (2.42-33.42 Mya, 95 % highest posterior density, (HPD)), followed by splitting of the SEPR and NEPR segments about 0.79 Mya (0.07-6.67 Mya, 95 % HPD). Estimates of gene flow between the neighboring regions were mostly low (2 Nm &lt; 1). Estimates of effective population size decreased with southern latitudes: NEPR &gt; SEPR &gt; PAR. Conclusions: Highly effective dispersal capabilities allow A. pompejana to overcome the temporal instability and intermittent distribution of active hydrothermal vents in the eastern Pacific Ocean. Consequently, the species exhibits very high levels of genetic diversity compared with many co-distributed vent annelids and mollusks. Nonetheless, its levels of genetic diversity in partially isolated populations are inversely correlated with tectonic spreading rates. As for many other vent taxa, this pioneering colonizer is similarly affected by local rates of habitat turnover and by major dispersal filters associated with the Equator and the Easter Microplate region.</t>
  </si>
  <si>
    <t>[Jang, Sook-Jin; Won, Yong-Jin] Ewha Womans Univ, Grad Sch, Interdisciplinary Program EcoCreat, Seoul, South Korea; [Park, Eunji; Lee, Won-Kyung; Won, Yong-Jin] Ewha Womans Univ, Div Ecosci, Seoul, South Korea; [Johnson, Shannon B.; Vrijenhoek, Robert C.] Monterey Bay Aquarium Res Inst, Moss Landing, CA 95039 USA</t>
  </si>
  <si>
    <t>Ewha Womans University; Ewha Womans University; Monterey Bay Aquarium Research Institute</t>
  </si>
  <si>
    <t>Won, YJ (corresponding author), Ewha Womans Univ, Grad Sch, Interdisciplinary Program EcoCreat, Seoul, South Korea.;Won, YJ (corresponding author), Ewha Womans Univ, Div Ecosci, Seoul, South Korea.</t>
  </si>
  <si>
    <t>won@ewha.ac.kr</t>
  </si>
  <si>
    <t>Park, Eunji/0000-0002-5087-2398</t>
  </si>
  <si>
    <t>Korea Polar Research Institute [PP13040, PE15050]; National Research Foundation of Korea (NRF) grant - Korea government (MSIP) [NRF-2015R1A4A1041997]; United States National Science Foundation [OCE9217026, OCE-9529819, OCE9910799, OCE-0241613]; David and Lucile Packard Foundation (via MBARI)</t>
  </si>
  <si>
    <t>Korea Polar Research Institute(Korea Polar Research Institute of Marine Research Placement (KOPRI)); National Research Foundation of Korea (NRF) grant - Korea government (MSIP)(National Research Foundation of Korea); United States National Science Foundation(National Science Foundation (NSF)); David and Lucile Packard Foundation (via MBARI)</t>
  </si>
  <si>
    <t>This work received funding from the following institutions: the Korea Polar Research Institute (PP13040 and PE15050) to YJW, the National Research Foundation of Korea (NRF) grant funded by the Korea government (MSIP) (NRF-2015R1A4A1041997) to YJW, the United States National Science Foundation (OCE9217026, OCE-9529819, OCE9910799, OCE-0241613) and the David and Lucile Packard Foundation (via MBARI) to RCV.</t>
  </si>
  <si>
    <t>BIOMED CENTRAL LTD</t>
  </si>
  <si>
    <t>236 GRAYS INN RD, FLOOR 6, LONDON WC1X 8HL, ENGLAND</t>
  </si>
  <si>
    <t>1471-2148</t>
  </si>
  <si>
    <t>BMC EVOL BIOL</t>
  </si>
  <si>
    <t>BMC Evol. Biol.</t>
  </si>
  <si>
    <t>10.1186/s12862-016-0807-9</t>
  </si>
  <si>
    <t>EA0XS</t>
  </si>
  <si>
    <t>WOS:000386313500003</t>
  </si>
  <si>
    <t>Genge, MJ; Suttle, M; Van Ginneken, M</t>
  </si>
  <si>
    <t>Genge, Matthew J.; Suttle, Martin; Van Ginneken, Matthias</t>
  </si>
  <si>
    <t>Olivine settling in cosmic spherules during atmospheric deceleration: An indicator of the orbital eccentricity of interplanetary dust</t>
  </si>
  <si>
    <t>cosmic spherules</t>
  </si>
  <si>
    <t>ANTARCTIC MICROMETEORITES; EARTHS ATMOSPHERE; ASTEROID DUST; COLLECTION; MODEL; ICE; METEORITES; LIQUIDS; MELTS</t>
  </si>
  <si>
    <t>A new type of cosmic spherule is reported with textures suggesting settling of olivine during atmospheric deceleration. Numerical simulations of entry heating reveal that relict forsterite, which survives melting, can settle over the 1-2s of flight at high entry angles and entry velocities up to 16kms(-1). Enhanced crystallization of phenocrysts by heterogeneous nucleation on accumulated relict forsterites is the most likely origin of the observed cumulate textures in cosmic spherules. Such textures in cosmic spherules reveal interplanetary dust with higher encounter velocity with the Earth that correspond to orbital eccentricities &gt;0.3. The relative abundance of cumulate spherules suggests that 14% of ordinary chondrite-related, S(IV)-type asteroid dust over the last 800kyr had relatively high orbital eccentricity owing to secular and planetary perturbations. The textures of cosmic spherules collected from sediments can therefore be used to trace dust orbital variations with time, which may influence terrestrial climate.</t>
  </si>
  <si>
    <t>[Genge, Matthew J.; Suttle, Martin] Imperial Coll London, Dept Earth Sci &amp; Engn, IARC, London, England; [Genge, Matthew J.; Suttle, Martin] Nat Hist Museum, Dept Earth Sci, London, England; [Van Ginneken, Matthias] Vrije Univ Brussel, Earth Syst Sci, Brussels, Belgium</t>
  </si>
  <si>
    <t>Imperial College London; Natural History Museum London; Natural History Museum London; Vrije Universiteit Brussel</t>
  </si>
  <si>
    <t>Genge, MJ (corresponding author), Imperial Coll London, Dept Earth Sci &amp; Engn, IARC, London, England.;Genge, MJ (corresponding author), Nat Hist Museum, Dept Earth Sci, London, England.</t>
  </si>
  <si>
    <t>M.genge@imperial.ac.uk</t>
  </si>
  <si>
    <t>Van Ginneken, Matthias/A-3342-2017; Van Ginneken, Matthias/AFQ-5594-2022</t>
  </si>
  <si>
    <t>Van Ginneken, Matthias/0000-0002-2508-7021; Van Ginneken, Matthias/0000-0002-2508-7021; Suttle, Martin/0000-0001-7165-2215</t>
  </si>
  <si>
    <t>Science and Technology Council [ST/J001260/ 1]; STFC [ST/M007642/1, ST/N000803/1, ST/J001260/1] Funding Source: UKRI; Science and Technology Facilities Council [ST/M007642/1, 1515684, ST/N000803/1, ST/J001260/1] Funding Source: researchfish; UK Space Agency [ST/M003167/1] Funding Source: researchfish</t>
  </si>
  <si>
    <t>Science and Technology Council; STFC(UK Research &amp; Innovation (UKRI)Science &amp; Technology Facilities Council (STFC)); Science and Technology Facilities Council(UK Research &amp; Innovation (UKRI)Science &amp; Technology Facilities Council (STFC)); UK Space Agency</t>
  </si>
  <si>
    <t>This study was funded on Science and Technology Council grant ST/J001260/ 1. Data can be obtained from the corresponding author on request.</t>
  </si>
  <si>
    <t>10.1002/2016GL070874</t>
  </si>
  <si>
    <t>WOS:000388293800021</t>
  </si>
  <si>
    <t>Maritati, A; Aitken, ARA; Young, DA; Roberts, JL; Blankenship, DD; Siegert, MJ</t>
  </si>
  <si>
    <t>Maritati, A.; Aitken, A. R. A.; Young, D. A.; Roberts, J. L.; Blankenship, D. D.; Siegert, M. J.</t>
  </si>
  <si>
    <t>The tectonic development and erosion of the Knox Subglacial Sedimentary Basin, East Antarctica</t>
  </si>
  <si>
    <t>ICE-SHEET DYNAMICS; CONJUGATE MARGINS; WILKES LAND; GONDWANA; INDIA; BREAKUP; OCEAN; CONSTRAINTS; TRANSITION; EVOLUTION</t>
  </si>
  <si>
    <t>Sedimentary basins beneath the East Antarctic Ice Sheet (EAIS) have immense potential to inform models of the tectonic evolution of East Antarctica and its ice-sheet. However, even basic characteristics such as thickness and extent are often unknown. Using airborne geophysical data, we resolve the tectonic architecture of the Knox Subglacial Sedimentary Basin in western Wilkes Land. In addition, we apply an erosion restoration model to reconstruct the original basin geometry for which we resolve geometry typical of a transtensional pull-apart basin. The tectonic architecture strongly indicates formation as a consequence of the rifting of India from East Gondwana from ca. 160-130Ma, and we suggest a spatial link with the western Mentelle Basin offshore Western Australia. The erosion restoration model shows that erosion is confined within the rift margins, suggesting that rift structure has strongly influenced the evolution of the Denman and Scott ice streams.</t>
  </si>
  <si>
    <t>[Maritati, A.; Aitken, A. R. A.] Univ Western Australia, Sch Earth &amp; Environm, Perth, WA, Australia; [Young, D. A.; Blankenship, D. D.] Univ Texas Austin, Inst Geophys, Austin, TX USA; [Roberts, J. L.] Australian Antarctic Div, Kingston, Tas, Australia; [Roberts, J. L.] Univ Tasmania, Antarctic Climate &amp; Ecosyst Cooperat Res Ctr, Hobart, Tas, Australia; [Siegert, M. J.] Imperial Coll London, Grantham Inst, London, England; [Siegert, M. J.] Imperial Coll London, Dept Earth Sci &amp; Engn, London, England</t>
  </si>
  <si>
    <t>University of Western Australia; University of Texas System; University of Texas Austin; Australian Antarctic Division; University of Tasmania; Antarctic Climate &amp; Ecosystems Cooperative Research Centre (ACE CRC); Imperial College London; Imperial College London</t>
  </si>
  <si>
    <t>Aitken, ARA (corresponding author), Univ Western Australia, Sch Earth &amp; Environm, Perth, WA, Australia.</t>
  </si>
  <si>
    <t>alan.aitken@uwa.edu.au</t>
  </si>
  <si>
    <t>Blankenship, Donald D./G-5935-2010; Siegert, Martin/M-9939-2019; Siegert, Martin J/A-3826-2008; Roberts, Jason L/B-2235-2012; Young, Duncan A./G-6256-2010</t>
  </si>
  <si>
    <t>Siegert, Martin/0000-0002-0090-4806; Siegert, Martin J/0000-0002-0090-4806; Roberts, Jason L/0000-0002-3477-4069; Maritati, Alessandro/0000-0003-0587-8237; Aitken, Alan/0000-0002-6375-2504</t>
  </si>
  <si>
    <t>School of Earth and Environment of the University of Western Australia; UWA Goodeve Foundation; National Science Foundation [PLR-0733025]; National Aeronautics and Space Administration [NNX09AR52G, NNG10HPO6C, NNX11AD33G]; Australian Antarctic Division [3013, 4077]; National Environment and Research Council [NE/D003733/1]; Jackson School of Geosciences; G. Unger Vetlesen Foundation; Australian Government's Cooperative Research Centres Programme through the Antarctic Climate &amp; Ecosystems Cooperative Research Centre (ACE CRC)</t>
  </si>
  <si>
    <t>School of Earth and Environment of the University of Western Australia; UWA Goodeve Foundation; National Science Foundation(National Science Foundation (NSF)); National Aeronautics and Space Administration(National Aeronautics &amp; Space Administration (NASA)); Australian Antarctic Division; National Environment and Research Council; Jackson School of Geosciences; G. Unger Vetlesen Foundation; Australian Government's Cooperative Research Centres Programme through the Antarctic Climate &amp; Ecosystems Cooperative Research Centre (ACE CRC)(Australian GovernmentDepartment of Industry, Innovation and ScienceCooperative Research Centres (CRC) Programme)</t>
  </si>
  <si>
    <t>This work forms the result of AM's MSc thesis, for which support was provided by the School of Earth and Environment of the University of Western Australia. ARAA was supported for this work by the UWA Goodeve Foundation. Collection of ICECAP data was supported by: National Science Foundation grant PLR-0733025; National Aeronautics and Space Administration grants NNX09AR52G, NNG10HPO6C and NNX11AD33G (Operation Ice Bridge and the American Recovery and Reinvestment Act); Australian Antarctic Division projects 3013 and 4077; National Environment and Research Council grant NE/D003733/1; the Jackson School of Geosciences; the G. Unger Vetlesen Foundation; and the Australian Government's Cooperative Research Centres Programme through the Antarctic Climate &amp; Ecosystems Cooperative Research Centre (ACE CRC). ICECAP data products used in this study are available in the supporting information and through the ICEBRIDGE data portal at the National Snow and Ice Data Center (http://nsidc.org/icebridge/portal/). We thank Annette George, Mike Dentith and the two reviewers for their constructive comments and helpful suggestions on an earlier version of the manuscript.</t>
  </si>
  <si>
    <t>10.1002/2016GL071063</t>
  </si>
  <si>
    <t>Bronze, Green Published, Green Accepted</t>
  </si>
  <si>
    <t>WOS:000388293800046</t>
  </si>
  <si>
    <t>Christianson, K; Bushuk, M; Dutrieux, P; Parizek, BR; Joughin, IR; Alley, RB; Shean, DE; Abrahamsen, EP; Anandakrishnan, S; Heywood, KJ; Kim, TW; Lee, SH; Nicholls, K; Stanton, T; Truffer, M; Webber, BGM; Jenkins, A; Jacobs, S; Bindschadler, R; Holland, DM</t>
  </si>
  <si>
    <t>Christianson, Knut; Bushuk, Mitchell; Dutrieux, Pierre; Parizek, Byron R.; Joughin, Ian R.; Alley, Richard B.; Shean, David E.; Abrahamsen, E. Povl; Anandakrishnan, Sridhar; Heywood, Karen J.; Kim, Tae-Wan; Lee, Sang Hoon; Nicholls, Keith; Stanton, Tim; Truffer, Martin; Webber, Benjamin G. M.; Jenkins, Adrian; Jacobs, Stan; Bindschadler, Robert; Holland, David M.</t>
  </si>
  <si>
    <t>Sensitivity of Pine Island Glacier to observed ocean forcing</t>
  </si>
  <si>
    <t>ANTARCTIC ICE-SHEET; AMUNDSEN SEA EMBAYMENT; GROUNDING LINE RETREAT; WEST ANTARCTICA; THWAITES GLACIER; SHELF; BENEATH; MELT; CIRCULATION; WIDESPREAD</t>
  </si>
  <si>
    <t>We present subannual observations (2009-2014) of a major West Antarctic glacier (Pine Island Glacier) and the neighboring ocean. Ongoing glacier retreat and accelerated ice flow were likely triggered a few decades ago by increased ocean-induced thinning, which may have initiated marine ice sheet instability. Following a subsequent 60% drop in ocean heat content from early 2012 to late 2013, ice flow slowed, but by&lt;4%, with flow recovering as the ocean warmed to prior temperatures. During this cold-ocean period, the evolving glacier-bed/ice shelf system was also in a geometry favorable to stabilization. However, despite a minor, temporary decrease in ice discharge, the basin-wide thinning signal did not change. Thus, as predicted by theory, once marine ice sheet instability is underway, a single transient high-amplitude ocean cooling has only a relatively minor effect on ice flow. The long-term effects of ocean temperature variability on ice flow, however, are not yet known.</t>
  </si>
  <si>
    <t>[Christianson, Knut; Shean, David E.] Univ Washington, Dept Earth &amp; Space Sci, Seattle, WA 98195 USA; [Bushuk, Mitchell; Holland, David M.] NYU, Courant Inst Math Sci, New York, NY USA; [Bushuk, Mitchell] Princeton Univ, Geophys Fluid Dynam Lab, Princeton, NJ 08544 USA; [Dutrieux, Pierre; Joughin, Ian R.; Shean, David E.] Univ Washington, Appl Phys Lab, Polar Sci Ctr, Seattle, WA 98105 USA; [Dutrieux, Pierre; Jacobs, Stan] Columbia Univ, Lamont Doherty Earth Observ, Palisades, NY USA; [Parizek, Byron R.] Penn State Univ, Math &amp; Geosci, Du Bois, PA USA; [Parizek, Byron R.; Alley, Richard B.; Anandakrishnan, Sridhar] Penn State Univ, Dept Geosci, University Pk, PA 16802 USA; [Parizek, Byron R.; Alley, Richard B.; Anandakrishnan, Sridhar] Penn State Univ, Earth &amp; Environm Syst Inst, University Pk, PA 16802 USA; [Abrahamsen, E. Povl; Nicholls, Keith; Jenkins, Adrian] British Antarctic Survey, Nat Environm Res Council, Cambridge, England; [Heywood, Karen J.; Webber, Benjamin G. M.] Univ East Anglia, Sch Environm Sci, Ctr Ocean &amp; Atmospher Sci, Norwich, Norfolk, England; [Kim, Tae-Wan; Lee, Sang Hoon] Korea Polar Res Inst, Inchon, South Korea; [Stanton, Tim] US Naval Postgrad Sch, Dept Oceanog, Monterey, CA USA; [Truffer, Martin] Univ Alaska Fairbanks, Inst Geophys, Fairbanks, AK 99775 USA; [Bindschadler, Robert] NASA Goddard Space Flight Ctr, Greenbelt, MD USA</t>
  </si>
  <si>
    <t>University of Washington; University of Washington Seattle; New York University; Princeton University; National Oceanic Atmospheric Admin (NOAA) - USA; University of Washington; University of Washington Seattle; Columbia University; Pennsylvania Commonwealth System of Higher Education (PCSHE); Pennsylvania State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UK Research &amp; Innovation (UKRI); Natural Environment Research Council (NERC); NERC British Antarctic Survey; University of East Anglia; Korea Polar Research Institute (KOPRI); Korea Institute of Ocean Science &amp; Technology (KIOST); United States Department of Defense; United States Navy; Naval Postgraduate School; University of Alaska System; University of Alaska Fairbanks; National Aeronautics &amp; Space Administration (NASA); NASA Goddard Space Flight Center</t>
  </si>
  <si>
    <t>Kim, Tae-Wan/JGM-9981-2023; Dutrieux, Pierre/GVS-2890-2022; Joughin, Ian/AAR-7778-2021; Jenkins, Adrian/IUN-2406-2023; Anandakrishnan, Sridhar/JCN-5026-2023; Joughin, Ian R/A-2998-2008; Webber, Benjamin G M/J-7096-2015; Abrahamsen, Povl/B-2140-2008; Bushuk, Mitch/L-7032-2015; Heywood, Karen/L-1757-2016</t>
  </si>
  <si>
    <t>Kim, Tae-Wan/0000-0001-5257-7256; Dutrieux, Pierre/0000-0002-8066-934X; Joughin, Ian/0000-0001-6229-679X; Joughin, Ian R/0000-0001-6229-679X; Abrahamsen, Povl/0000-0001-5924-5350; Shean, David/0000-0003-3840-3860; Heywood, Karen/0000-0001-9859-0026; Webber, Ben/0000-0002-8812-5929; Jenkins, Adrian/0000-0002-9117-0616</t>
  </si>
  <si>
    <t>National Aeronautics and Space Administration [NNX16AM01G, NNX12AB69G, NNX15AH84G]; U.S. National Science Foundation [PLR-0732869, PLR-0732730, PLR-1443190, PLR-0632282, ANT-0732926, AGS-138832, ANT-0424589]; New York University Abu Dhabi Research Institute [G1204]; U.K. Natural Environment Research Council iSTAR program [NE/J005703/1, NE/G001367/1, NE/J005746/1]; South Korean Polar Research Institute grant KOPRI [PP15020]; Natural Environment Research Council [NE/J005770/1, bas0100033, NE/J005746/1, NE/J005703/1] Funding Source: researchfish; Science and Technology Facilities Council [ST/L00075X/1, ST/I001573/1] Funding Source: researchfish; NERC [NE/J005703/1, NE/J005770/1, NE/J005746/1, bas0100033] Funding Source: UKRI; STFC [ST/L00075X/1, ST/I001573/1] Funding Source: UKRI; Directorate For Geosciences; Office of Polar Programs (OPP) [1443190] Funding Source: National Science Foundation</t>
  </si>
  <si>
    <t>National Aeronautics and Space Administration(National Aeronautics &amp; Space Administration (NASA)); U.S. National Science Foundation(National Science Foundation (NSF)); New York University Abu Dhabi Research Institute; U.K. Natural Environment Research Council iSTAR program; South Korean Polar Research Institute grant KOPRI(Korea Polar Research Institute of Marine Research Placement (KOPRI));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 Directorate For Geosciences; Office of Polar Programs (OPP)(National Science Foundation (NSF)NSF - Directorate for Geosciences (GEO))</t>
  </si>
  <si>
    <t>The work was supported by National Aeronautics and Space Administration grants NNX16AM01G (K.C.), NNX12AB69G (K.C. and D.H.), and NNX15AH84G (B.P.); U.S. National Science Foundation grants PLR-0732869 (D.H. and M. B.), PLR-0732730 (M.T.), PLR-1443190 (B.P.), PLR-0632282 (S.J.), ANT-0732926 (T.S.), AGS-138832 (B.P. and R.A.) and ANT-0424589 (I.J., K.C., R.A., S.A., and B.P.); New York University Abu Dhabi Research Institute grant G1204 (D.H.); U.K. Natural Environment Research Council iSTAR program-grants NE/J005703/1 (K.H. and B.W.), NE/G001367/1 (A.J. and P.D.), and NE/J005746/1 (A.J., K.H., B.W., and P. D.), and South Korean Polar Research Institute grant KOPRI PP15020 (S.L. and T.K.). The U.S.-NSF POLENET project provided GPS base data. Logistical support was provided by the U.S. Air Force, 139th Expeditionary Airlift Squadron of the New York Air National Guard, Kenn Borek Air, and by many dedicated individuals working as part of the Antarctic Support Contract, managed by Raytheon Polar Services Company and Lockheed-Martin, and by the officers, scientists and crew of RV Araon, RV Nathaniel B. Palmer and RRS James Clark Ross. GPS data are archived with UNAVCO (www.unavco.org). Oceanographic data have been submitted to the NOAA National Centers for Environmental Information (https://www.nodc.noaa.gov/), British Oceanographic Data Centre (http://www.bodc.ac.uk/), and IEDA/MGDS Southern Ocean portal (http://www.marine-geo.org/index.php). SAR-derived ice velocity fields and grounding lines, and basal altimeter range data are freely available from the corresponding author.</t>
  </si>
  <si>
    <t>10.1002/2016GL070500</t>
  </si>
  <si>
    <t>WOS:000388293800045</t>
  </si>
  <si>
    <t>Ksionzek, KB; Lechtenfeld, OJ; McCallister, SL; Schmitt-Kopplin, P; Geuer, JK; Geibert, W; Koch, BP</t>
  </si>
  <si>
    <t>Ksionzek, Kerstin B.; Lechtenfeld, Oliver J.; McCallister, S. Leigh; Schmitt-Kopplin, Philippe; Geuer, Jana K.; Geibert, Walter; Koch, Boris P.</t>
  </si>
  <si>
    <t>Dissolved organic sulfur in the ocean: Biogeochemistry of a petagram inventory</t>
  </si>
  <si>
    <t>SCIENCE</t>
  </si>
  <si>
    <t>REDUCED SULFUR; MATTER; CARBON; DIMETHYLSULFONIOPROPIONATE; PHYTOPLANKTON; DEGRADATION; ATLANTIC; SEAWATER; SULFIDE; DMSP</t>
  </si>
  <si>
    <t>Although sulfur is an essential element for marine primary production and critical for climate processes, little is known about the oceanic pool of nonvolatile dissolved organic sulfur (DOS). We present a basin-scale distribution of solid-phase extractable DOS in the East Atlantic Ocean and the Atlantic sector of the Southern Ocean. Although molar DOS versus dissolved organic nitrogen (DON) ratios of 0.11 +/- 0.024 in Atlantic surface water resembled phytoplankton stoichiometry (sulfur/nitrogen similar to 0.08), increasing dissolved organic carbon (DOC) versus DOS ratios and decreasing methionine-S yield demonstrated selective DOS removal and active involvement in marine biogeochemical cycles. Based on stoichiometric estimates, the minimum global inventory of marine DOS is 6.7 petagrams of sulfur, exceeding all other marine organic sulfur reservoirs by an order of magnitude.</t>
  </si>
  <si>
    <t>[Ksionzek, Kerstin B.; Lechtenfeld, Oliver J.; Geuer, Jana K.; Geibert, Walter; Koch, Boris P.] Alfred Wegener Inst, Helmholtz Ctr Polar &amp; Marine Res, Handelshafen 12, D-27570 Bremerhaven, Germany; [Ksionzek, Kerstin B.; Koch, Boris P.] MARUM Ctr Marine Environm Sci, Leobener Str, D-28359 Bremen, Germany; [McCallister, S. Leigh] Virginia Commonwealth Univ, Dept Biol, Ctr Environm Studies, 1000 West Cary St, Richmond, VA 23284 USA; [Schmitt-Kopplin, Philippe] Helmholtz Zentrum Munchen HMGU, German Res Ctr Environm Hlth, Inst Ecol Chem, Analyt BioGeoChem BGC, Ingolstadter Landstr 1, D-85764 Neuherberg, Germany; [Schmitt-Kopplin, Philippe] Tech Univ Munich, Chair Analyt Food Chem, Alte Akad 10, D-85354 Freising Weihenstephan, Germany; [Koch, Boris P.] Univ Appl Sci, Karlstadt 8, D-27568 Bremerhaven, Germany; [Lechtenfeld, Oliver J.] UFZ Helmholtz Ctr Environm Res, Dept Analyt Chem, Permoserstr 15, D-04318 Leipzig, Germany</t>
  </si>
  <si>
    <t>Helmholtz Association; Alfred Wegener Institute, Helmholtz Centre for Polar &amp; Marine Research; University of Bremen; Virginia Commonwealth University; Helmholtz Association; Helmholtz-Center Munich - German Research Center for Environmental Health; Technical University of Munich; Helmholtz Association; Helmholtz Center for Environmental Research (UFZ)</t>
  </si>
  <si>
    <t>Ksionzek, KB; Koch, BP (corresponding author), Alfred Wegener Inst, Helmholtz Ctr Polar &amp; Marine Res, Handelshafen 12, D-27570 Bremerhaven, Germany.;Ksionzek, KB; Koch, BP (corresponding author), MARUM Ctr Marine Environm Sci, Leobener Str, D-28359 Bremen, Germany.;Koch, BP (corresponding author), Univ Appl Sci, Karlstadt 8, D-27568 Bremerhaven, Germany.</t>
  </si>
  <si>
    <t>kerstin.ksionzek@awi.de; boris.koch@awi.de</t>
  </si>
  <si>
    <t>Lechtenfeld, Oliver J./A-6480-2013; Geuer, Jana/AAZ-2217-2020; Koch, Boris/B-2784-2009; Schmitt-Kopplin, Philippe/H-6271-2011; Geibert, Walter/ABA-9785-2020</t>
  </si>
  <si>
    <t>Lechtenfeld, Oliver J./0000-0001-5313-6014; Geuer, Jana/0000-0002-9663-5072; Koch, Boris/0000-0002-8453-731X; Schmitt-Kopplin, Philippe/0000-0003-0824-2664; Geibert, Walter/0000-0001-8646-2334</t>
  </si>
  <si>
    <t>DFG-Research Centre/Cluster of Excellence The Ocean in the Earth System; Deutsche Forschungsgemeinschaft (DFG) [KO 2164/8-1+2]</t>
  </si>
  <si>
    <t>DFG-Research Centre/Cluster of Excellence The Ocean in the Earth System; Deutsche Forschungsgemeinschaft (DFG)(German Research Foundation (DFG))</t>
  </si>
  <si>
    <t>This work was supported by the DFG-Research Centre/Cluster of Excellence The Ocean in the Earth System and a Ph.D. grant by the Deutsche Forschungsgemeinschaft (DFG) in the framework of the priority program Antarctic Research with comparative investigations in Arctic ice areas (grant KO 2164/8-1+2). We are grateful to research vessel Polarstern captain, crew, and chief scientists G. Kattner (ANTXXV-1) and O. Bobel (ANTXXV-2); I. Stimac is acknowledged for technical support with ICP-MS analysis and K.-U. Ludwichowski for support with methionine analysis; we thank C. Marandino for DMS and DMSP data; S. Frickenhaus is acknowledged for support with statistical analysis, and B. Kanavati, M. Harir, and J. Uhl for support with FT-ICR-MS analyses. G. Kattner and R. Alheit are acknowledged for helpful discussions and proofreading. The data presented in this paper are available at the PANGEA data library (doi: 10.1594/PANGAEA.858568). B.P.K. designed the research. O.J.L and B.P.K. collected and processed the samples. K.B.K. and W.G. performed ICP-MS analysis and data evaluation. J.G. carried out methionine analyses, S.L.M. performed 14C analysis, and P.S.-K. performed FT-ICR-MS analysis. The paper was written by K.B.K. and B.P.K, with input from all coauthors.</t>
  </si>
  <si>
    <t>AMER ASSOC ADVANCEMENT SCIENCE</t>
  </si>
  <si>
    <t>1200 NEW YORK AVE, NW, WASHINGTON, DC 20005 USA</t>
  </si>
  <si>
    <t>0036-8075</t>
  </si>
  <si>
    <t>1095-9203</t>
  </si>
  <si>
    <t>Science</t>
  </si>
  <si>
    <t>10.1126/science.aaf7796</t>
  </si>
  <si>
    <t>EB9AT</t>
  </si>
  <si>
    <t>WOS:000387684400039</t>
  </si>
  <si>
    <t>Vick-Majors, TJ; Mitchell, AC; Achberger, AM; Christner, BC; Dore, JE; Michaud, AB; Mikucki, JA; Purcell, AM; Skidmore, ML; Priscu, JC</t>
  </si>
  <si>
    <t>Vick-Majors, Trista J.; Mitchell, Andrew C.; Achberger, Amanda M.; Christner, Brent C.; Dore, John E.; Michaud, Alexander B.; Mikucki, Jill A.; Purcell, Alicia M.; Skidmore, Mark L.; Priscu, John C.</t>
  </si>
  <si>
    <t>WISSARD Sci Team</t>
  </si>
  <si>
    <t>Physiological Ecology of Microorganisms in Subglacial Lake Whillans</t>
  </si>
  <si>
    <t>FRONTIERS IN MICROBIOLOGY</t>
  </si>
  <si>
    <t>subglacial environments; Antarctica; subglacial lake; microbial energetics; microbial physiological ecology; thermodynamics; thymidine and leucine incorporation; oxygen consumption</t>
  </si>
  <si>
    <t>DISSOLVED ORGANIC-MATTER; ANTARCTIC ICE-SHEET; DISSIMILATORY NITRATE REDUCTION; OXYGEN MINIMUM ZONES; HIGH ARCTIC GLACIER; DRY VALLEY LAKES; WEST ANTARCTICA; BACTERIAL PRODUCTION; GROWTH EFFICIENCY; RESPIRATORY QUOTIENT</t>
  </si>
  <si>
    <t>Subglacial microbial habitats are widespread in glaciated regions of our planet. Some of these environments have been isolated from the atmosphere and from sunlight for many thousands of years. Consequently, ecosystem processes must rely on energy gained from the oxidation of inorganic substrates or detrital organic matter. Subglacial Lake Whillans (SLW) is one of more than 400 subglacial lakes known to exist under the Antarctic ice sheet; however, little is known about microbial physiology and energetics in these systems. When it was sampled through its 800 m thick ice cover in 2013, the SLW water column was shallow (similar to 2 m deep), oxygenated, and possessed sufficient concentrations of C, N, and P substrates to support microbial growth. Here, we use a combination of physiological assays and models to assess the energetics of microbial life in SLW. In general, SLW microorganisms grew slowly in this energy-limited environment. Heterotrophic cellular carbon turnover times, calculated from 3H-thymidine and 3H-leucine incorporation rates, were long (60 to 500 days) while cellular doubling times averaged 196 days. Inferred growth rates (average similar to psi 0.006 d(-1)) obtained from the same incubations were at least an order of magnitude lower than those measured in Antarctic surface lakes and oligotrophic areas of the ocean. Low growth efficiency (8%) indicated that heterotrophic populations in SLW partition a majority of their carbon demand to cellular maintenance rather than growth. Chemoautotrophic CO2-fixation exceeded heterotrophic organic C-demand by a factor of similar to 1.5. Aerobic respiratory activity associated with heterotrophic and chemoautotrophic metabolism surpassed the estimated supply of oxygen to SLW, implying that microbial activity could deplete the oxygenated waters, resulting in anoxia. We used thermodynamic calculations to examine the biogeochemical and energetic consequences of environmentally imposed switching between aerobic and anaerobic metabolisms in the SLW water column. Heterotrophic metabolisms utilizing acetate and formate as electron donors yielded less energy than chemolithotrophic metabolisms when calculated in terms of energy density, which supports experimental results that showed chemoautotrophic activity in excess of heterotrophic activity. The microbial communities of subglacial lake ecosystems provide important natural laboratories to study the physiological and biogeochemical behavior of microorganisms inhabiting cold, dark environments.</t>
  </si>
  <si>
    <t>[Vick-Majors, Trista J.; Dore, John E.; Michaud, Alexander B.; Priscu, John C.] Montana State Univ, Dept Land Resources &amp; Environm Sci, Bozeman, MT 59717 USA; [Mitchell, Andrew C.] Aberystwyth Univ, Dept Geog &amp; Earth Sci, Aberystwyth, Dyfed, Wales; [Achberger, Amanda M.] Louisiana State Univ, Dept Biol Sci, Baton Rouge, LA 70803 USA; [Christner, Brent C.] Univ Florida, Dept Microbiol &amp; Cell Sci, Gainesville, FL 32611 USA; [Christner, Brent C.] Univ Florida, Biodivers Inst, Gainesville, FL USA; [Mikucki, Jill A.; Purcell, Alicia M.] Univ Tennessee, Dept Microbiol, Knoxville, TN 37996 USA; [Skidmore, Mark L.] Montana State Univ, Dept Earth Sci, Bozeman, MT 59717 USA; [Vick-Majors, Trista J.] Univ Quebec, Dept Sci Biol, Montreal, PQ, Canada; [Michaud, Alexander B.] Aarhus Univ, Dept Biosci, Ctr Geomicrobiol, Aarhus C, Denmark; [Purcell, Alicia M.] No Arizona Univ, Dept Biol Sci, Flagstaff, AZ USA</t>
  </si>
  <si>
    <t>Montana State University System; Montana State University Bozeman; Aberystwyth University; Louisiana State University System; Louisiana State University; State University System of Florida; University of Florida; State University System of Florida; University of Florida; University of Tennessee System; University of Tennessee Knoxville; Montana State University System; Montana State University Bozeman; University of Quebec; University of Quebec Montreal; Aarhus University; Northern Arizona University</t>
  </si>
  <si>
    <t>Priscu, JC (corresponding author), Montana State Univ, Dept Land Resources &amp; Environm Sci, Bozeman, MT 59717 USA.</t>
  </si>
  <si>
    <t>jpriscu@montana.edu</t>
  </si>
  <si>
    <t>Michaud, Alex/AAC-4890-2020; Vick-Majors, Trista/AAQ-6258-2020; Horgan, Huw/I-5847-2019; Skidmore, Mark L/I-4317-2018; Tulaczyk, Slawek/O-7375-2018</t>
  </si>
  <si>
    <t>Michaud, Alex/0000-0001-5714-8741; Vick-Majors, Trista/0000-0002-6868-4010; Horgan, Huw/0000-0002-4836-0078; Achberger, Amanda/0000-0001-5738-2255; Tulaczyk, Slawek/0000-0002-9711-4332; Barbante, Carlo/0000-0003-4177-2288; Fricker, Helen Amanda/0000-0002-0921-1432</t>
  </si>
  <si>
    <t>National Science Foundation from the Division of Polar Programs [0838933, 0838896, 0838941, 0839142, 0839059, 0838885, 0838763, 0839107, 0838947, 0838854, 0838764, 1142123]; NSF [1023233, 1115245]; NSF's Graduate Research Fellowship Program [1247192]; American Association of University Women; NSF's IGERT Program [0654336]; NSF's Center for Dark Energy Biosphere Investigations; Ser Cymru National Research Network for Low Carbon, Energy and the Environment grant from the Welsh Government; Higher Education Funding Council for Wales; Directorate For Geosciences; Division Of Polar Programs [0838854] Funding Source: National Science Foundation; Directorate For Geosciences; Office of Polar Programs (OPP) [1115245, 0838764, 1439774, 0838896, 0839107] Funding Source: National Science Foundation; Division Of Polar Programs; Directorate For Geosciences [1023233, 0838933, 0838941] Funding Source: National Science Foundation; Office of Polar Programs (OPP); Directorate For Geosciences [0839059, 0838763, 1142123, 0838885, 0838947] Funding Source: National Science Foundation</t>
  </si>
  <si>
    <t>National Science Foundation from the Division of Polar Programs(National Science Foundation (NSF)); NSF(National Science Foundation (NSF)); NSF's Graduate Research Fellowship Program; American Association of University Women; NSF's IGERT Program; NSF's Center for Dark Energy Biosphere Investigations; Ser Cymru National Research Network for Low Carbon, Energy and the Environment grant from the Welsh Government; Higher Education Funding Council for Wales(UK Research &amp; Innovation (UKRI)Higher Education Funding Council for England (HEFCE)); Directorate For Geosciences; Division Of Polar Programs(National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</si>
  <si>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The Whillans Ice Stream Subglacial Access Research Drilling (WISSARD) project was funded by National Science Foundation grants (0838933, 0838896, 0838941, 0839142, 0839059, 0838885, 0838763, 0839107, 0838947, 0838854, 0838764, and 1142123) from the Division of Polar Programs. Partial support was also provided by funds from NSF award 1023233 (BC), NSF award 1115245 (JP), the NSF's Graduate Research Fellowship Program (1247192; AA), and fellowships from the American Association of University Women (TV) and NSF's IGERT Program (0654336) and NSF's Center for Dark Energy Biosphere Investigations (AM), and a Ser Cymru National Research Network for Low Carbon, Energy and the Environment grant from the Welsh Government and Higher Education Funding Council for Wales (AM).</t>
  </si>
  <si>
    <t>FRONTIERS MEDIA SA</t>
  </si>
  <si>
    <t>LAUSANNE</t>
  </si>
  <si>
    <t>PO BOX 110, EPFL INNOVATION PARK, BUILDING I, LAUSANNE, 1015, SWITZERLAND</t>
  </si>
  <si>
    <t>1664-302X</t>
  </si>
  <si>
    <t>FRONT MICROBIOL</t>
  </si>
  <si>
    <t>Front. Microbiol.</t>
  </si>
  <si>
    <t>OCT 27</t>
  </si>
  <si>
    <t>10.3389/fmicb.2016.01705</t>
  </si>
  <si>
    <t>ED1YH</t>
  </si>
  <si>
    <t>WOS:000388640300001</t>
  </si>
  <si>
    <t>Lannuzel, D; Vancoppenolle, M; van der Merwe, P; de Jong, J; Meiners, KM; Grotti, M; Nishioka, J; Schoemann, V</t>
  </si>
  <si>
    <t>Lannuzel, D.; Vancoppenolle, M.; van der Merwe, P.; de Jong, J.; Meiners, K. M.; Grotti, M.; Nishioka, J.; Schoemann, V.</t>
  </si>
  <si>
    <t>Iron in sea ice: Review and new insights</t>
  </si>
  <si>
    <t>ELEMENTA-SCIENCE OF THE ANTHROPOCENE</t>
  </si>
  <si>
    <t>DISSOLVED ORGANIC-MATTER; FLOW-INJECTION ANALYSIS; SOUTHERN-OCEAN; ROSS SEA; WEDDELL SEA; PLANKTON COMMUNITIES; MARINE PRODUCTIVITY; OXYGEN DYNAMICS; SURFACE WATERS; SHELF WATERS</t>
  </si>
  <si>
    <t>The discovery that melting sea ice can fertilize iron (Fe)-depleted polar waters has recently fostered trace metal research efforts in sea ice. The aim of this review is to summarize and synthesize the current understanding of Fe biogeochemistry in sea ice. To do so, we compiled available data on particulate, dissolved, and total dissolvable Fe (PFe, DFe and TDFe, respectively) from sea-ice studies from both polar regions and from sub-Arctic and northern Hemisphere temperate areas. Data analysis focused on a circum-Antarctic Fe dataset derived from 61 ice cores collected during 10 field expeditions carried out between 1997 and 2012 in the Southern Ocean. Our key findings are that 1) concentrations of all forms of Fe (PFe, DFe, TDFe) are at least a magnitude larger in fast ice and pack ice than in typical Antarctic surface waters; 2) DFe, PFe and TDFe behave differently when plotted against sea-ice salinity, suggesting that their distributions in sea ice are driven by distinct, spatially and temporally decoupled processes; 3) DFe is actively extracted from seawater into growing sea ice; 4) fast ice generally has more Fe-bearing particles, a finding supported by the significant negative correlation observed between both PFe and TDFe concentrations in sea ice and water depth; 5) the Fe pool in sea ice is coupled to biota, as indicated by the positive correlations of PFe and TDFe with chlorophyll a and particulate organic carbon; and 6) the vast majority of DFe appears to be adsorbed onto something in sea ice. This review also addresses the role of sea ice as a reservoir of Fe and its role in seeding seasonally ice-covered waters. We discuss the pivotal role of organic ligands in controlling DFe concentrations in sea ice and highlight the uncertainties that remain regarding the mechanisms of Fe incorporation in sea ice.</t>
  </si>
  <si>
    <t>[Lannuzel, D.] Univ Tasmania, Inst Marine &amp; Antarctic Studies, Hobart, Tas, Australia; [Lannuzel, D.; van der Merwe, P.; Meiners, K. M.] Univ Tasmania, Antarctic Climate &amp; Ecosyst Cooperat Res Ctr, Hobart, Tas, Australia; [Vancoppenolle, M.] UPMC Paris 6, Sorbonne Univ, LOCEAN IPSL, CNRS IRD MNHN, Paris, France; [de Jong, J.; Schoemann, V.] Univ Libre Bruxelles, Fac Sci, DGES, Brussels, Belgium; [Meiners, K. M.] Australian Antarctic Div, Dept Environm, Kingston, Tas, Australia; [Grotti, M.] Univ Genoa, Dept Chem &amp; Ind Chem, Genoa, Italy; [Nishioka, J.] Hokkaido Univ, Inst Low Temp Sci, Sapporo, Hokkaido, Japan</t>
  </si>
  <si>
    <t>University of Tasmania; University of Tasmania; Antarctic Climate &amp; Ecosystems Cooperative Research Centre (ACE CRC); Sorbonne Universite; Institut de Recherche pour le Developpement (IRD); Museum National d'Histoire Naturelle (MNHN); Universite Libre de Bruxelles; Australian Antarctic Division; University of Genoa; Hokkaido University</t>
  </si>
  <si>
    <t>Lannuzel, D (corresponding author), Univ Tasmania, Inst Marine &amp; Antarctic Studies, Hobart, Tas, Australia.;Lannuzel, D (corresponding author), Univ Tasmania, Antarctic Climate &amp; Ecosyst Cooperat Res Ctr, Hobart, Tas, Australia.</t>
  </si>
  <si>
    <t>delphine.lannuzel@utas.edu.au</t>
  </si>
  <si>
    <t>Vancoppenolle, Martin/B-3750-2011; Nishioka, Jun/F-5314-2011; Grotti, Marco/HGU-3949-2022; Lannuzel, Delphine/J-7937-2014; Vancoppenolle, Martin/AAA-7711-2022; de Jong, Jeroen/F-3190-2011; van der Merwe, Pier/C-9210-2015</t>
  </si>
  <si>
    <t>Vancoppenolle, Martin/0000-0002-7573-8582; Nishioka, Jun/0000-0003-1723-9344; Grotti, Marco/0000-0001-6956-5761; Vancoppenolle, Martin/0000-0002-7573-8582; van der Merwe, Pier/0000-0002-7428-8030; de Jong, Jeroen/0000-0002-3034-5929</t>
  </si>
  <si>
    <t>Grants-in-Aid for Scientific Research [26281002, 15H05820] Funding Source: KAKEN</t>
  </si>
  <si>
    <t>Grants-in-Aid for Scientific Research(Ministry of Education, Culture, Sports, Science and Technology, Japan (MEXT)Japan Society for the Promotion of ScienceGrants-in-Aid for Scientific Research (KAKENHI))</t>
  </si>
  <si>
    <t>UNIV CALIFORNIA PRESS</t>
  </si>
  <si>
    <t>OAKLAND</t>
  </si>
  <si>
    <t>155 GRAND AVE, SUITE 400, OAKLAND, CA 94612-3758 USA</t>
  </si>
  <si>
    <t>2325-1026</t>
  </si>
  <si>
    <t>ELEMENTA-SCI ANTHROP</t>
  </si>
  <si>
    <t>Elementa-Sci. Anthrop.</t>
  </si>
  <si>
    <t>10.12952/journal.elementa.000130</t>
  </si>
  <si>
    <t>Environmental Sciences; Meteorology &amp; Atmospheric Sciences</t>
  </si>
  <si>
    <t>EE9CG</t>
  </si>
  <si>
    <t>Green Accepted, Green Submitted, gold, Green Published</t>
  </si>
  <si>
    <t>WOS:000389922700001</t>
  </si>
  <si>
    <t>Bigot, M; Curran, MAJ; Moy, AD; Muir, DCG; Hawker, DW; Cropp, R; Teixeira, CF; Nash, SMB</t>
  </si>
  <si>
    <t>Bigot, Marie; Curran, Mark A. J.; Moy, Andrew D.; Muir, Derek C. G.; Hawker, Darryl W.; Cropp, Roger; Teixeira, Camilla F.; Nash, Susan M. Bengtson</t>
  </si>
  <si>
    <t>Brief communication: Organochlorine pesticides in an archived firn core from Law Dome, East Antarctica</t>
  </si>
  <si>
    <t>CRYOSPHERE</t>
  </si>
  <si>
    <t>ICE CAP; SNOW; ACCUMULATION; DEPOSITION; RECORD; ISLAND</t>
  </si>
  <si>
    <t>Organochlorine pesticides (OCPs) were, for the first time, quantified in archived firn cores from East Antarctica representative of 1945-1957 and 1958-1967 (current era, C.E.). The core sections were melted under high-purity nitrogen atmosphere, and the meltwater was analysed. Methods allowed quantification of hexachlorocyclohexanes, heptachlor, trans-chlordane, dieldrin and endrin. While the core presented evidence of nominal contamination by modern-use chemicals, indicating handling and/or storage contamination, legacy OCP concentrations and deposition rates reported are orders of magnitude lower than those from Arctic regions, lending support for their validity. The study further provides a description of equipment used and suggests methods to overcome logistical challenges associated with trace organic contaminant detection in polar regions.</t>
  </si>
  <si>
    <t>[Bigot, Marie; Nash, Susan M. Bengtson] Griffith Univ, Environm Futures Res Inst, 170 Kessels Rd, Nathan, Qld 4111, Australia; [Curran, Mark A. J.; Moy, Andrew D.] Australian Antarctic Div, 203 Channel Highway, Kingston, Tas 7050, Australia; [Curran, Mark A. J.; Moy, Andrew D.] Univ Tasmania, Antarctic Climate &amp; Ecosyst Cooperat Res Ctr, Private Bag 80, Hobart, Tas 7001, Australia; [Muir, Derek C. G.; Teixeira, Camilla F.] Environm Canada, Aquat Contaminants Res Div, 867 Lakeshore Rd, Burlington, ON L7R 4A6, Canada; [Hawker, Darryl W.; Cropp, Roger] Griffith Univ, Sch Environm, 170 Kessels Rd, Nathan, Qld 4111, Australia</t>
  </si>
  <si>
    <t>Griffith University; Australian Antarctic Division; University of Tasmania; Antarctic Climate &amp; Ecosystems Cooperative Research Centre (ACE CRC); Environment &amp; Climate Change Canada; Griffith University</t>
  </si>
  <si>
    <t>Bigot, M (corresponding author), Griffith Univ, Environm Futures Res Inst, 170 Kessels Rd, Nathan, Qld 4111, Australia.</t>
  </si>
  <si>
    <t>mbigot1@gmail.com</t>
  </si>
  <si>
    <t>Bengtson Nash, Susan/I-3942-2015; Muir, Derek/AAD-7526-2021; Bengtson Nash, Susan/GMX-4611-2022; Cropp, Roger/C-1019-2008</t>
  </si>
  <si>
    <t>Bengtson Nash, Susan/0000-0001-5928-0850; Bengtson Nash, Susan/0000-0001-5928-0850; Bigot, Marie/0000-0002-9576-7954; Moy, Andrew/0000-0002-7664-9960</t>
  </si>
  <si>
    <t>Australian Research Council [DP140100018]; Australian Antarctic Division (AAD); AAS project [4061]; Griffith University</t>
  </si>
  <si>
    <t>Australian Research Council(Australian Research Council); Australian Antarctic Division (AAD); AAS project; Griffith University(Griffith University - Gold Coast Campus)</t>
  </si>
  <si>
    <t>This study was funded by Australian Research Council Discovery project DP140100018 and the Australian Antarctic Division (AAD) provided funding, and the DSS firn core samples (AAS project no. 4061). Marie Bigot acknowledges a PhD scholarship from Griffith University. The authors would like to thank the field teams that collected samples in 1988-1993, as well as Meredith Nation, Lauren Wise, Debbie Lang and all personnel that provided assistance at the Australian Antarctic Division. We also thank Whitney Davis and Ron MacLeod at ALS Global for support provided.</t>
  </si>
  <si>
    <t>COPERNICUS GESELLSCHAFT MBH</t>
  </si>
  <si>
    <t>GOTTINGEN</t>
  </si>
  <si>
    <t>BAHNHOFSALLEE 1E, GOTTINGEN, 37081, GERMANY</t>
  </si>
  <si>
    <t>1994-0416</t>
  </si>
  <si>
    <t>1994-0424</t>
  </si>
  <si>
    <t>Cryosphere</t>
  </si>
  <si>
    <t>OCT 26</t>
  </si>
  <si>
    <t>10.5194/tc-10-2533-2016</t>
  </si>
  <si>
    <t>EB1PY</t>
  </si>
  <si>
    <t>Green Submitted, gold, Green Accepted</t>
  </si>
  <si>
    <t>WOS:000387127500001</t>
  </si>
  <si>
    <t>Schaffer, J; Timmermann, R; Arndt, JE; Kristensen, SS; Mayer, C; Morlighem, M; Steinhage, D</t>
  </si>
  <si>
    <t>Schaffer, Janin; Timmermann, Ralph; Arndt, Jan Erik; Kristensen, Steen Savstrup; Mayer, Christoph; Morlighem, Mathieu; Steinhage, Daniel</t>
  </si>
  <si>
    <t>A global, high-resolution data set of ice sheet topography, cavity geometry, and ocean bathymetry</t>
  </si>
  <si>
    <t>EARTH SYSTEM SCIENCE DATA</t>
  </si>
  <si>
    <t>CONTINENTAL-SHELF; ELEVATION DATA; WEDDELL SEA; COMPILATION; ANTARCTICA; DYNAMICS; RETREAT; SURFACE; BENEATH; BED</t>
  </si>
  <si>
    <t>The ocean plays an important role in modulating the mass balance of the polar ice sheets by interacting with the ice shelves in Antarctica and with the marine-terminating outlet glaciers in Greenland. Given that the flux of warm water onto the continental shelf and into the sub-ice cavities is steered by complex bathymetry, a detailed topography data set is an essential ingredient for models that address ice-ocean interaction. We followed the spirit of the global RTopo-1 data set and compiled consistent maps of global ocean bathymetry, upper and lower ice surface topographies, and global surface height on a spherical grid with now 30 arcsec grid spacing. For this new data set, called RTopo-2, we used the General Bathymetric Chart of the Oceans (GEBCO_2014) as the backbone and added the International Bathymetric Chart of the Arctic Ocean version 3 (IBCAOv3) and the International Bathymetric Chart of the Southern Ocean (IBCSO) version 1. While RTopo-1 primarily aimed at a good and consistent representation of the Antarctic ice sheet, ice shelves, and sub-ice cavities, RTopo-2 now also contains ice topographies of the Greenland ice sheet and outlet glaciers. In particular, we aimed at a good representation of the fjord and shelf bathymetry surrounding the Greenland continent. We modified data from earlier gridded products in the areas of Petermann Glacier, Hagen Brae, and Sermilik Fjord, assuming that sub-ice and fjord bathymetries roughly follow plausible Last Glacial Maximum ice flow patterns. For the continental shelf off Northeast Greenland and the floating ice tongue of Nioghalvfjerdsfjorden Glacier at about 79 degrees N, we incorporated a high-resolution digital bathymetry model considering original multibeam survey data for the region. Radar data for surface topographies of the floating ice tongues of Nioghalvfjerdsfjorden Glacier and Zachariae Isstrom have been obtained from the data centres of Technical University of Denmark (DTU), Operation Icebridge (NASA/NSF), and Alfred Wegener Institute (AWI). For the Antarctic ice sheet/ice shelves, RTopo-2 largely relies on the Bedmap-2 product but applies corrections for the geometry of Getz, Abbot, and Fimbul ice shelf cavities. The data set is available in full and in regional subsets in NetCDF format from the PANGAEA database at doi: 10.1594/PANGAEA.856844.</t>
  </si>
  <si>
    <t>[Schaffer, Janin; Timmermann, Ralph; Arndt, Jan Erik; Steinhage, Daniel] Alfred Wegener Inst, Helmholtz Ctr Polar &amp; Marine Res, Bremerhaven, Germany; [Kristensen, Steen Savstrup] DTU Tech Univ Denmark, DK-2800 Lyngby, Denmark; [Mayer, Christoph] Bavarian Acad Sci &amp; Humanities, Commiss Geodesy &amp; Glaciol, Munich, Germany; [Morlighem, Mathieu] Univ Calif Irvine, Dept Earth Syst Sci, Croul Hall, Irvine, CA 92697 USA</t>
  </si>
  <si>
    <t>Helmholtz Association; Alfred Wegener Institute, Helmholtz Centre for Polar &amp; Marine Research; Technical University of Denmark; University of California System; University of California Irvine</t>
  </si>
  <si>
    <t>Schaffer, J; Timmermann, R (corresponding author), Alfred Wegener Inst, Helmholtz Ctr Polar &amp; Marine Res, Bremerhaven, Germany.</t>
  </si>
  <si>
    <t>janin.schaffer@awi.de; ralph.timmermann@awi.de</t>
  </si>
  <si>
    <t>Morlighem, Mathieu/O-9942-2014</t>
  </si>
  <si>
    <t>Morlighem, Mathieu/0000-0001-5219-1310; Schaffer, Janin/0000-0002-1395-7851; Kristensen, Steen Savstrup/0000-0001-5928-1802; Arndt, Jan Erik/0000-0002-9413-1612</t>
  </si>
  <si>
    <t>Helmholtz Climate Initiative REKLIM (Regional Climate Change); Helmholtz Association of German research centres (HGF)</t>
  </si>
  <si>
    <t>Helmholtz Climate Initiative REKLIM (Regional Climate Change); Helmholtz Association of German research centres (HGF)(Helmholtz Association)</t>
  </si>
  <si>
    <t>The authors would like to thank S. Paul and R. Zentek for extracting the iceberg position from the MODIS data, X. Asay-Davis, S. Coers, B. K. Galton-Fenzi, H. Gudmundsson, H. H. Hellmer, D. Jansen, L. Padman, and D. Martin for helpful discussions, and W. Cohrs, H. Liegmahl-Pieper, and C. Wubber for providing excellent computing facilities at AWI. GEBCO_2014 Grid (version 20150318) data were obtained from http://www.gebco.net. Some data used in this paper were acquired by NASA's Operation IceBridge project. Funding by the Helmholtz Climate Initiative REKLIM (Regional Climate Change), a joint research project of the Helmholtz Association of German research centres (HGF) is gratefully acknowledged. We thank M. Jakobsson and one anonymous reviewer for their help in improving the manuscript.</t>
  </si>
  <si>
    <t>1866-3508</t>
  </si>
  <si>
    <t>1866-3516</t>
  </si>
  <si>
    <t>EARTH SYST SCI DATA</t>
  </si>
  <si>
    <t>Earth Syst. Sci. Data</t>
  </si>
  <si>
    <t>10.5194/essd-8-543-2016</t>
  </si>
  <si>
    <t>Geosciences, Multidisciplinary; Meteorology &amp; Atmospheric Sciences</t>
  </si>
  <si>
    <t>Geology; Meteorology &amp; Atmospheric Sciences</t>
  </si>
  <si>
    <t>EB1NR</t>
  </si>
  <si>
    <t>gold, Green Submitted</t>
  </si>
  <si>
    <t>WOS:000387120100001</t>
  </si>
  <si>
    <t>Dunn, MJ; Jackson, JA; Adlard, S; Lynnes, AS; Briggs, DR; Fox, D; Waluda, CM</t>
  </si>
  <si>
    <t>Dunn, Michael J.; Jackson, Jennifer A.; Adlard, Stacey; Lynnes, Amanda S.; Briggs, Dirk R.; Fox, Derren; Waluda, Claire M.</t>
  </si>
  <si>
    <t>Population Size and Decadal Trends of Three Penguin Species Nesting at Signy Island, South Orkney Islands</t>
  </si>
  <si>
    <t>CLIMATE-CHANGE; ANTARCTIC PENINSULA; SEA-ICE; PYGOSCELIS PENGUINS; LAURIE ISLAND; CHINSTRAP; VARIABILITY; RESPONSES; SUCCESS; CENSUS</t>
  </si>
  <si>
    <t>We report long-term changes in population size of three species of sympatrically breeding pygoscelid penguins: Ade A lie (Pygoscelis adeliae), chinstrap (Pygoscelis antarctica) and gentoo (Pygoscelis papua ellsworthii) over a 38 year period at Signy Island, South Orkney Islands, based on annual counts from selected colonies and decadal all-island systematic counts of occupied nests. Comparing total numbers of breeding pairs over the whole island from 1978/79 to 2015/16 revealed varying fortunes: gentoo penguin pairs increased by 255%, (3.5% per annum), chinstrap penguins declined by 68% (-3.6% per annum) and Ade A lie penguins declined by 42% (-1.5% per annum). The chinstrap population has declined steadily over the last four decades. In contrast, Ade A lie and gentoo penguins have experienced phases of population increase and decline. Annual surveys of selected chinstrap and Ade A lie colonies produced similar trends from those revealed by island-wide surveys, allowing total island population trends to be inferred relatively well. However, while the annual colony counts of chinstrap and Ade A lie penguins showed a trend consistent in direction with the results from all-island surveys, the magnitude of estimated population change was markedly different between colony wide and all island counts. Annual population patterns suggest that pair numbers in the study areas partly reflect immigration and emigration of nesting birds between different parts of the island. Breeding success for all three species remained broadly stable over time in the annually monitored colonies. Breeding success rates in gentoo and chinstrap penguins were strongly correlated, despite the differing trends in population size. This study shows the importance of effective, standardised monitoring to accurately determine long-term population trajectories. Our results indicate significant declines in the Ade A lie and chinstrap penguin populations at Signy Island over the last five decades, and a gradual increase in gentoo breeding pairs.</t>
  </si>
  <si>
    <t>[Dunn, Michael J.; Jackson, Jennifer A.; Adlard, Stacey; Briggs, Dirk R.; Fox, Derren; Waluda, Claire M.] British Antarctic Survey, Nat Environm Res Council, Madingley Rd, Cambridge CB3 0ET, England; [Lynnes, Amanda S.] Int Assoc Antarct Tour Operators, 320 Thames St,Suite 264, Newport, RI 02840 USA</t>
  </si>
  <si>
    <t>UK Research &amp; Innovation (UKRI); Natural Environment Research Council (NERC); NERC British Antarctic Survey</t>
  </si>
  <si>
    <t>Dunn, MJ (corresponding author), British Antarctic Survey, Nat Environm Res Council, Madingley Rd, Cambridge CB3 0ET, England.</t>
  </si>
  <si>
    <t>mdunn@bas.ac.uk</t>
  </si>
  <si>
    <t>Jackson, Jennifer A/E-7997-2013</t>
  </si>
  <si>
    <t>Jackson, Jennifer/0000-0003-4158-1924; Dunn, Michael/0000-0003-4633-5466</t>
  </si>
  <si>
    <t>Natural Environment Research Council; Natural Environment Research Council [bas0100035] Funding Source: researchfish; NERC [bas0100035]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</si>
  <si>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</si>
  <si>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part of the Ecosystems component of the British Antarctic Survey Polar Science for Planet Earth Programme, funded by the Natural Environment Research Council.; We thank all the members of the Signy Island Research Station, British Antarctic Survey (BAS) who have contributed to and supported the long-term penguin monitoring programme. We also thank Laura Gerrish for her mapping assistance, Dr Richard Phillips and two anonymous reviewers for their helpful advice and comments. This study is part of the Ecosystems component of the British Antarctic Survey Polar Science for Planet Earth Programme, funded by The Natural Environment Research Council.</t>
  </si>
  <si>
    <t>e0164025</t>
  </si>
  <si>
    <t>10.1371/journal.pone.0164025</t>
  </si>
  <si>
    <t>EE4VE</t>
  </si>
  <si>
    <t>gold, Green Published, Green Submitted, Green Accepted</t>
  </si>
  <si>
    <t>WOS:000389602800024</t>
  </si>
  <si>
    <t>Philippe, M; Tison, JL; Fjosne, K; Hubbard, B; Kjær, HA; Lenaerts, JTM; Drews, R; Sheldon, SG; De Bondt, K; Claeys, P; Pattyn, F</t>
  </si>
  <si>
    <t>Philippe, Morgane; Tison, Jean-Louis; Fjosne, Karen; Hubbard, Bryn; Kjaer, Helle A.; Lenaerts, Jan T. M.; Drews, Reinhard; Sheldon, Simon G.; De Bondt, Kevin; Claeys, Philippe; Pattyn, Frank</t>
  </si>
  <si>
    <t>Ice core evidence for a 20th century increase in surface mass balance in coastal Dronning Maud Land, East Antarctica</t>
  </si>
  <si>
    <t>SHALLOW FIRN CORES; SNOW ACCUMULATION; WEST ANTARCTICA; SPATIOTEMPORAL VARIABILITY; TEMPORAL VARIABILITY; CLIMATE-CHANGE; DOME FUJI; PRECIPITATION; AMUNDSENISEN; TEMPERATURE</t>
  </si>
  <si>
    <t>Ice cores provide temporal records of surface mass balance (SMB). Coastal areas of Antarctica have relatively high and variable SMB, but are under-represented in records spanning more than 100 years. Here we present SMB reconstruction from a 120 m-long ice core drilled in 2012 on the Derwael Ice Rise, coastal Dronning Maud Land, East Antarctica. Water stable isotope (delta O-18 and delta D) stratigraphy is supplemented by discontinuous major ion profiles and continuous electrical conductivity measurements. The base of the ice core is dated to AD1759 +/- 16, providing a climate proxy for the past similar to 250 years. The core's annual layer thickness history is combined with its gravimetric density profile to reconstruct the site's SMB history, corrected for the influence of ice deformation. The mean SMB for the core's entire history is 0.47 +/- 0.02m water equivalent (w.e.) a(-1). The time series of reconstructed annual SMB shows high variability, but a general increase beginning in the 20th century. This increase is particularly marked during the last 50 years (1962-2011), which yields mean SMB of 0.61 +/- 0.01m w.e. a(-1). This trend is compared with other reported SMB data in Antarctica, generally showing a high spatial variability. Output of the fully coupled Community Earth System Model (CESM) suggests that, although atmospheric circulation is the main factor influencing SMB, variability in sea surface temperatures and sea ice cover in the precipitation source region also explain part of the variability in SMB. Local snow redistribution can also influence interannual variability but is unlikely to influence long-term trends significantly. This is the first record from a coastal ice core in East Antarctica to show an increase in SMB beginning in the early 20th century and particularly marked during the last 50 years.</t>
  </si>
  <si>
    <t>[Philippe, Morgane; Tison, Jean-Louis; Fjosne, Karen; Pattyn, Frank] Univ Libre Bruxelles, Lab Glaciol, Dept Geosci Environm &amp; Soc, B-1050 Brussels, Belgium; [Hubbard, Bryn] Aberystwyth Univ, Dept Geog &amp; Earth Sci, Ctr Glaciol, Aberystwyth SY23 3DB, Dyfed, Wales; [Kjaer, Helle A.; Sheldon, Simon G.] Univ Copenhagen, Niels Bohr Inst, Ctr Ice &amp; Climate, Juliane Maries Vej 30, DK-2100 Copenhagen, Denmark; [Lenaerts, Jan T. M.] Univ Utrecht, Inst Marine &amp; Atmospher Res Utrecht, Princetonpl 5, NL-3584 CC Utrecht, Netherlands; [Drews, Reinhard] Bavarian Acad Sci &amp; Humanities, Alfons Goppel Str 11, D-80539 Munich, Germany; [De Bondt, Kevin; Claeys, Philippe] Vrije Univ Brussel, Dept Analyt Environm &amp; Geochem, Pl Laan 2, B-1050 Brussels, Belgium</t>
  </si>
  <si>
    <t>Universite Libre de Bruxelles; Aberystwyth University; University of Copenhagen; Niels Bohr Institute; Utrecht University; Vrije Universiteit Brussel</t>
  </si>
  <si>
    <t>Philippe, M (corresponding author), Univ Libre Bruxelles, Lab Glaciol, Dept Geosci Environm &amp; Soc, B-1050 Brussels, Belgium.</t>
  </si>
  <si>
    <t>mophilip@ulb.ac.be</t>
  </si>
  <si>
    <t>Kjær, Helle Astrid/HGC-7941-2022; (VUB), VRIJE UNIVERSITEIT BRUSSEL/B-4895-2008; Lenaerts, Jan/D-9423-2012; Pattyn, Frank/AAA-9640-2019; Drews, reinhard/AAP-4134-2021</t>
  </si>
  <si>
    <t>Kjær, Helle Astrid/0000-0002-3781-9509; (VUB), VRIJE UNIVERSITEIT BRUSSEL/0000-0002-4585-7687; Lenaerts, Jan/0000-0003-4309-4011; Pattyn, Frank/0000-0003-4805-5636; Drews, reinhard/0000-0002-2328-294X; Hubbard, Bryn/0000-0002-3565-3875</t>
  </si>
  <si>
    <t>Belgian Research Programme on the Antarctic (Belgian Federal Science Policy Office) [SD/SA/06A]; Fonds David et Alice Van Buuren; Utrecht University; Netherlands Earth System Science Centre (NESSC); Ministry of Education, Culture and Science (OCW); Hercules Foundation; Deutsche Forschungsgemeinschaft (DFG); European Research Council under the European Community as part of the Ice2Ice project [610055]; NERC [NE/J013544/1]; [MA 3347/10-1]</t>
  </si>
  <si>
    <t>Belgian Research Programme on the Antarctic (Belgian Federal Science Policy Office); Fonds David et Alice Van Buuren; Utrecht University; Netherlands Earth System Science Centre (NESSC); Ministry of Education, Culture and Science (OCW)(Ministry of Education, Culture, Sports, Science and Technology, Japan (MEXT)); Hercules Foundation; Deutsche Forschungsgemeinschaft (DFG)(German Research Foundation (DFG)); European Research Council under the European Community as part of the Ice2Ice project; NERC(UK Research &amp; Innovation (UKRI)Natural Environment Research Council (NERC));</t>
  </si>
  <si>
    <t>This paper forms a contribution to the Belgian Research Programme on the Antarctic (Belgian Federal Science Policy Office), Project SD/SA/06A Constraining ice mass changes in Antarctica (IceCon). The authors wish to thank the International Polar Foundation for logistic support in the field. Morgane Philippe is partly funded by a grant from Fonds David et Alice Van Buuren. Jan T. M. Lenaerts is funded by Utrecht University through its strategic theme Sustainability, sub-theme Water, Climate and Ecosystems, and the programme of the Netherlands Earth System Science Centre (NESSC), financially supported by the Ministry of Education, Culture and Science (OCW). Philippe Claeys thanks the Hercules Foundation (www.herculesstichting.be/) for financing the upgrade of the stable isotope laboratory. Reinhard Drews was supported by the Deutsche Forschungsgemeinschaft (DFG) in the framework of the priority programme Antarctic Research with comparative investigations in Arctic ice areas by the grant MA 3347/10-1. The research leading to these results received funding from the European Research Council under the European Community's Seventh Framework Programme (FP7/2007-2013)/ERC grant agreement 610055 as part of the Ice2Ice project. Ice coring equipment benefitted from an Aberystwyth University Capital Infrastructure grant and the optical televiewer data from NERC grant NE/J013544/1. The authors thank Irina Gorodetskaya for her helpful comments and the Norwegian Polar Institute for developing Quantarctica and making this GIS package for Antarctica freely available. The initial version of the article benefited from the very constructive comments and corrections of the two anonymous referees and the editor.</t>
  </si>
  <si>
    <t>OCT 25</t>
  </si>
  <si>
    <t>10.5194/tc-10-2501-2016</t>
  </si>
  <si>
    <t>EB0VV</t>
  </si>
  <si>
    <t>gold, Green Submitted, Green Published</t>
  </si>
  <si>
    <t>WOS:000387065300001</t>
  </si>
  <si>
    <t>Li, Y; Müller, MN; Paull, B; Nesterenko, PN</t>
  </si>
  <si>
    <t>Li, Yan; Mueller, Marius N.; Paull, Brett; Nesterenko, Pavel N.</t>
  </si>
  <si>
    <t>Precise and fast determination of inorganic magnesium in coccolithophore calcite</t>
  </si>
  <si>
    <t>CHEMICAL GEOLOGY</t>
  </si>
  <si>
    <t>Phytoplankton; Coccolithophore; Calcite; Magnesium; Strontium; Determination</t>
  </si>
  <si>
    <t>SR/CA RATIOS; FORAMINIFERAL MG/CA; EMILIANIA-HUXLEYI; CARBONATE; SEAWATER; PALEOCEANOGRAPHY; TEMPERATURES; PROXIES; ACID; SEA</t>
  </si>
  <si>
    <t>Coccolithophores are calcifying marine phytoplankton playing a pivotal role in the production of calcium carbonate deposits. During the formation of calcium carbonate phase, calcium ions may be replaced by other divalent cations (e.g. Sr2+ and Mg2+) which results in a unique elemental signature showing environmental and, in case of biogenic precipitates, physiological conditions of its formation. It was shown that the ratio between magnesium and calcium is strongly correlated with surface sea temperature variation and can be used in paleoceanographic studies to reconstruct past environmental conditions and to understand biogeochemical cycles. The determination of the coccolithophore calcite Mg/Ca ratio, however, requires the efficient removal or quantification of organically bound magnesium, which is up to 400 times more abundant than the magnesium incorporated within the inorganic calcite. Classical methods, using oxidation to remove organic matter, are time consuming and require a considerable amount of sample material. So, the aim of our investigation is the development of a new reliable method for determination of inorganic magnesium and the Mg/Ca ratio in coccolithophore calcite. For this purpose, labile organic bound magnesium is replaced by the incubation with added Cu2+ for 10 min, and the released Mg2+ is determined via high performance chelation ion chromatography (HPCIC). This method enabled the determination of the coccolithophore calcite Mg/Ca ratio within 1 h using &lt;5 mg dry coccolithophore sample material. The method has been successfully tested with laboratory cultured calcifying and non-calcifying coccolithophores samples. The portable HPCIC instrumentation can be easily mounted on-board scientific research vessels and thus potentially represent a new tool for in-situ calcite analysis of coccolithophore surface bloom situations. However, a further work is required to make this method suitable for analysis of pelagic sediments and sediment traps, which may contain residues of Mg-rich clays. (C) 2016 Elsevier B.V. All rights reserved.</t>
  </si>
  <si>
    <t>[Li, Yan; Paull, Brett; Nesterenko, Pavel N.] Univ Tasmania, Sch Phys Sci, Australian Ctr Res Separat Sci, Private Bag 129, Hobart, Tas 7001, Australia; [Mueller, Marius N.] Univ Tasmania, Inst Marine &amp; Antarctic Studies IMAS, Private Bag 129, Hobart, Tas 7001, Australia; [Mueller, Marius N.] Univ Sao Paulo, Oceanog Inst, Praca Oceanog 191, BR-05508120 Sao Paulo, SP, Brazil</t>
  </si>
  <si>
    <t>University of Tasmania; University of Tasmania; Universidade de Sao Paulo</t>
  </si>
  <si>
    <t>Nesterenko, PN (corresponding author), Univ Tasmania, Sch Phys Sci, Australian Ctr Res Separat Sci, Private Bag 129, Hobart, Tas 7001, Australia.</t>
  </si>
  <si>
    <t>Pavel.Nesterenko@utas.edu.au</t>
  </si>
  <si>
    <t>paull, brett/AAO-8366-2020; Nesterenko, Pavel N./A-4766-2012; Muller, Marius N./N-9338-2014</t>
  </si>
  <si>
    <t>paull, brett/0000-0001-6373-6582; Nesterenko, Pavel N./0000-0002-9997-0650; Muller, Marius N./0000-0003-4765-3933</t>
  </si>
  <si>
    <t>Australian Research Council [DP1093801, DP130101518]; Conselho Nacional de Desenvolvimento Cientifico e Tecnologico Brasil (CNPq) [405585/2013-6]; Australian Research Council [DP1093801] Funding Source: Australian Research Council</t>
  </si>
  <si>
    <t>Australian Research Council(Australian Research Council); Conselho Nacional de Desenvolvimento Cientifico e Tecnologico Brasil (CNPq)(Conselho Nacional de Desenvolvimento Cientifico e Tecnologico (CNPQ)); Australian Research Council(Australian Research Council)</t>
  </si>
  <si>
    <t>The work was funded by the Australian Research Council (DP1093801 and DP130101518) and the Conselho Nacional de Desenvolvimento Cientifico e Tecnologico Brasil (CNPq, Processo: 405585/2013-6).</t>
  </si>
  <si>
    <t>0009-2541</t>
  </si>
  <si>
    <t>1872-6836</t>
  </si>
  <si>
    <t>CHEM GEOL</t>
  </si>
  <si>
    <t>Chem. Geol.</t>
  </si>
  <si>
    <t>10.1016/j.chemgeo.2016.05.010</t>
  </si>
  <si>
    <t>DQ1BW</t>
  </si>
  <si>
    <t>WOS:000378936800001</t>
  </si>
  <si>
    <t>Torres-Díaz, C; Gallardo-Cerda, J; Lavin, P; Oses, R; Carrasco-Urra, F; Atala, C; Acuña-Rodríguez, IS; Convey, P; Molina-Montenegro, MA</t>
  </si>
  <si>
    <t>Torres-Diaz, Cristian; Gallardo-Cerda, Jorge; Lavin, Paris; Oses, Romulo; Carrasco-Urra, Fernando; Atala, Cristian; Acuna-Rodriguez, Ian S.; Convey, Peter; Molina-Montenegro, Marco A.</t>
  </si>
  <si>
    <t>Biological Interactions and Simulated Climate Change Modulates the Ecophysiological Performance of Colobanthus quitensis in the Antarctic Ecosystem</t>
  </si>
  <si>
    <t>VASCULAR PLANTS; DESCHAMPSIA-ANTARCTICA; PHENOTYPIC PLASTICITY; GLOBAL CHANGE; WATER-STRESS; RESPONSES; TEMPERATURE; MARITIME; CARYOPHYLLACEAE; POPULATIONS</t>
  </si>
  <si>
    <t>Most climate and environmental change models predict significant increases in temperature and precipitation by the end of the 21(st) Century, for which the current functional output of certain symbioses may also be altered. In this context we address the following questions: 1) How the expected changes in abiotic factors (temperature, and water) differentially affect the ecophysiological performance of the plant Colobanthus quitensis? and 2) Will this environmental change indirectly affect C. quitensis photochemical performance and biomass accumulation by modifying its association with fungal endophytes? Plants of C. quitensis from King George Island in the South Shetland archipelago (62 degrees 09' S), and Lagotellerie Island in the Antarctic Peninsula (65 degrees 53' S) were put under simulated abiotic conditions in growth chambers following predictive models of global climate change (GCC). The indirect effect of GCC on the interaction between C. quitensis and fungal endophytes was assessed in a field experiment carried out in the Antarctica, in which we eliminated endophytes under contemporary conditions and applied experimental watering to simulate increased precipitation input. We measured four proxies of plant performance. First, we found that warming (+W) significantly increased plant performance, however its effect tended to be less than watering (+W) and combined warming and watering (+T degrees +W). Second, the presence of fungal endophytes improved plant performance, and its effect was significantly decreased under experimental watering. Our results indicate that both biotic and abiotic factors affect ecophysiological performance, and the directions of these influences will change with climate change. Our findings provide valuable information that will help to predict future population spread and evolution through using ecological niche models under different climatic scenarios.</t>
  </si>
  <si>
    <t>[Torres-Diaz, Cristian; Gallardo-Cerda, Jorge] Univ Bio Bio, Dept Ciencias Basicas, LGB, Chillan, Chile; [Lavin, Paris] Univ Antofagasta, Inst Antofagasta, Lab Complejidad Microbiana &amp; Ecol Func, Antofagasta, Chile; [Oses, Romulo; Molina-Montenegro, Marco A.] Univ Catolica Norte, Fac Ciencias Mar, Ctr Estudios Avanzados Zonas Aridas CEAZA, Coquimbo, Chile; [Carrasco-Urra, Fernando] Univ Concepcion, Fac Ciencias Nat &amp; Oceanog, Dept Bot, Concepcion, Chile; [Atala, Cristian] Pontificia Univ Catolica Valparaiso, Fac Ciencias, Inst Biol, Lab Anat &amp; Ecol Func Plantas AEF, Valparaiso, Chile; [Acuna-Rodriguez, Ian S.; Molina-Montenegro, Marco A.] Univ Talca, Inst Ciencias Biol, Ctr Ecol Mol &amp; Aplicac Evolut Agroecosistemas CEM, Talca, Chile; [Convey, Peter] British Antarctic Survey, NERC, High Cross, Cambridge, England; [Molina-Montenegro, Marco A.] Univ Talca, Res Program Adaptat Agr Climate Change PIEI A2C2, Talca, Chile</t>
  </si>
  <si>
    <t>Universidad del Bio-Bio; Universidad de Antofagasta; Universidad Catolica del Norte; Universidad de Concepcion; Pontificia Universidad Catolica de Valparaiso; Universidad de Talca; UK Research &amp; Innovation (UKRI); Natural Environment Research Council (NERC); NERC British Antarctic Survey; Universidad de Talca</t>
  </si>
  <si>
    <t>Molina-Montenegro, MA (corresponding author), Univ Catolica Norte, Fac Ciencias Mar, Ctr Estudios Avanzados Zonas Aridas CEAZA, Coquimbo, Chile.;Molina-Montenegro, MA (corresponding author), Univ Talca, Inst Ciencias Biol, Ctr Ecol Mol &amp; Aplicac Evolut Agroecosistemas CEM, Talca, Chile.;Molina-Montenegro, MA (corresponding author), Univ Talca, Res Program Adaptat Agr Climate Change PIEI A2C2, Talca, Chile.</t>
  </si>
  <si>
    <t>marco.molina@utalca.cl</t>
  </si>
  <si>
    <t>Lavin, Paris/AAI-9053-2020; Convey, Peter/AAV-5728-2020</t>
  </si>
  <si>
    <t>Convey, Peter/0000-0001-8497-9903; Oses-Pedraza, Romulo/0000-0003-2310-3339; Lavin, Paris/0000-0002-8893-526X; Torres Diaz, Cristian/0000-0002-5741-5288; Molina-Montenegro, Marco/0000-0001-6801-8942; Atala, Cristian/0000-0003-1337-9534</t>
  </si>
  <si>
    <t>Chilean Antarctic Institute (INACH) [T-14-08, RT-11-13]; NERC; NERC [bas0100036] Funding Source: UKRI; Natural Environment Research Council [bas0100036] Funding Source: researchfish</t>
  </si>
  <si>
    <t>Chilean Antarctic Institute (INACH);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</si>
  <si>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the Chilean Antarctic Institute (INACH Projects: T-14-08 and RT-11-13). PC is supported by NERC core funding to the British Antarctic Survey's Biodiversity, Evolution and Adaptation program. This article contributes to the SCAR biological research programs Antarctic Thresholds Ecosystem Resilience and Adaptation (AnT-ERA) and State of the Antarctic Ecosystem (AntEco). The funders had no role in study design, data collection and analysis, decision to publish, or preparation of the manuscript.r We are grateful to Carlos Munoz-Ramirez for his valuable field assistance. This work was supported by the Chilean Antarctic Institute (INACH Projects: T-14-08 and RT-11-13). PC is supported by NERC core funding to the British Antarctic Survey's Biodiversity, Evolution and Adaptation program. This article contributes to the SCAR biological research programs Antarctic Thresholds Ecosystem Resilience and Adaptation (AnT-ERA) and State of the Antarctic Ecosystem (AntEco). The funders had no role in study design, data collection and analysis, decision to publish, or preparation of the manuscript.</t>
  </si>
  <si>
    <t>OCT 24</t>
  </si>
  <si>
    <t>e0164844</t>
  </si>
  <si>
    <t>10.1371/journal.pone.0164844</t>
  </si>
  <si>
    <t>ED7AX</t>
  </si>
  <si>
    <t>WOS:000389009200023</t>
  </si>
  <si>
    <t>Cayla, G; Cuisset, T; Silvain, J; Leclercq, F; Manzo-Silberman, S; Saint-Etienne, C; Delarche, N; Bellemain-Appaix, A; Range, G; El Mahmoud, R; Carrié, D; Belle, L; Souteyrand, G; Aubry, P; Sabouret, P; du Fretay, XH; Beygui, F; Bonnet, JL; Lattuca, B; Pouillot, C; Varenne, O; Boueri, Z; Van Belle, E; Henry, P; Motreff, P; Elhadad, S; Salem, JE; Abtan, J; Rousseau, H; Collet, JP; Vicaut, E; Montalescot, G</t>
  </si>
  <si>
    <t>Cayla, Guillaume; Cuisset, Thomas; Silvain, Johanne; Leclercq, Florence; Manzo-Silberman, Stephane; Saint-Etienne, Christophe; Delarche, Nicolas; Bellemain-Appaix, Anne; Range, Gregoire; El Mahmoud, Rami; Carrie, Didier; Belle, Loic; Souteyrand, Geraud; Aubry, Pierre; Sabouret, Pierre; du Fretay, Xavier Halna; Beygui, Farzin; Bonnet, Jean-Louis; Lattuca, Benoit; Pouillot, Christophe; Varenne, Olivier; Boueri, Ziad; Van Belle, Eric; Henry, Patrick; Motreff, Pascal; Elhadad, Simon; Salem, Joe-Elie; Abtan, Jeremie; Rousseau, Helene; Collet, Jean-Philippe; Vicaut, Eric; Montalescot, Gilles</t>
  </si>
  <si>
    <t>ANTARCTIC Investigators</t>
  </si>
  <si>
    <t>Platelet function monitoring to adjust antiplatelet therapy in elderly patients stented for an acute coronary syndrome (ANTARCTIC): an open-label, blinded-endpoint, randomised controlled superiority trial</t>
  </si>
  <si>
    <t>LANCET</t>
  </si>
  <si>
    <t>ANTITHROMBOTIC THERAPY; CLOPIDOGREL; REACTIVITY; PRASUGREL; INTERVENTION; REVASCULARIZATION; CARDIOLOGY; OUTCOMES; SOCIETY; IMPLANTATION</t>
  </si>
  <si>
    <t>Background Elderly patients are at high risk of ischaemic and bleeding events. Platelet function monitoring offers the possibility to individualise antiplatelet therapy to improve the therapeutic risk-benefit ratio. We aimed to assess the effect of platelet function monitoring with treatment adjustment in elderly patients stented for an acute coronary syndrome. Methods We did this multicentre, open-label, blinded-endpoint, randomised controlled superiority study at 35 centres in France. Patients aged 75 years or older who had undergone coronary stenting for acute coronary syndrome were randomly assigned (1: 1), via a central interactive voice-response system based on a computer-generated permutedblock randomisation schedule with randomly selected block sizes, to receive oral prasugrel 5 mg daily with dose or drug adjustment in case of inadequate response (monitoring group) or oral prasugrel 5 mg daily with no monitoring or treatment adjustment (conventional group). Randomisation was stratified by centre. Platelet function testing was done 14 days after randomisation and repeated 14 days after treatment adjustment in patients in the monitoring group. Study investigators and patients were not masked to treatment allocation, but allocation was concealed from an independent clinical events committee responsible for endpoint adjudication. The primary endpoint was a composite of cardiovascular death, myocardial infarction, stroke, stent thrombosis, urgent revascularisation, and Bleeding Academic Research Consortium-defined bleeding complications (types 2, 3, or 5) at 12 months' follow-up. We did analysis by intention to treat. This trial is registered with ClinicalTrials. gov, number NCT01538446. Findings Between March 27, 2012, and May 19, 2015, we randomly assigned 877 patients to the monitoring group (n=442) or the conventional group (n=435). The primary endpoint occurred in 120 (28%) patients in the monitoring group compared with 123 (28%) patients in the conventional group (hazard ratio [HR], 1.003, 95% CI 0.78-1.29; p=0.98). Rates of bleeding events did not differ significantly between groups. Interpretation Platelet function monitoring with treatment adjustment did not improve the clinical outcome of elderly patients treated with coronary stenting for an acute coronary syndrome. Platelet function testing is still being used in many centres and international guidelines still recommend platelet function testing in high-risk situations. Our study does not support this practice or these recommendations. Funding Eli Lilly and Company, Daiichi Sankyo, Stentys, Accriva Diagnostics, Medtronic, and Fondation Coeur et Recherche.</t>
  </si>
  <si>
    <t>[Cayla, Guillaume; Lattuca, Benoit] Univ Montpellier, Ctr Hosp Univ Nimes, Serv Cardiol, ACTION Study Grp, Nimes, France; [Cuisset, Thomas; Bonnet, Jean-Louis] Ctr Hosp Univ Timone, Dept Cardiol, Marseille, France; [Cuisset, Thomas; Bonnet, Jean-Louis] Aix Marseille Univ, Fac Med, INSERM, INRA UMR1260,UMR1062,Nutr Obes &amp; Risk Thrombosis, Marseille, France; [Silvain, Johanne; Sabouret, Pierre; Collet, Jean-Philippe; Montalescot, Gilles] Univ Paris 06, Hop Pitie Salpetriere, AP HP, Inst Cardiol,INSERM,ACT Study Grp,UMRS 1166, Paris, France; [Leclercq, Florence] Ctr Hosp Univ Montpellier, Dept Cardiol, Montpellier, France; [Manzo-Silberman, Stephane; Henry, Patrick] Hop Lariboisiere, Serv Cardiol, F-75475 Paris, France; [Saint-Etienne, Christophe] Ctr Hosp Univ Tours, Serv Cardiol, Tours, France; [Delarche, Nicolas] Hop Francois Mitterrand, Ctr Hosp Pau, Pau, France; [Bellemain-Appaix, Anne] Ctr Hosp Antibes Juans Les Pins, Serv Cardiol, ACT Study Grp, Antibes, France; [Range, Gregoire] Hop Chartres, Serv Cardiol, Chartres, France; [El Mahmoud, Rami] Hop Ambroise Pare, Boulogne, France; [Carrie, Didier] Ctr Hosp Univ Toulouse, Serv Cardiol, Toulouse, France; [Belle, Loic] Ctr Hosp Annecy, Serv Cardiol, Annecy, France; [Souteyrand, Geraud; Motreff, Pascal] Ctr Hosp Univ Clermont Ferrand, Serv Cardiol, Clermont Ferrand, France; [Aubry, Pierre; du Fretay, Xavier Halna; Abtan, Jeremie] Hop Bichat Claude Bernard, Serv Cardiol, F-75877 Paris 18, France; [Beygui, Farzin] Ctr Hosp Univ Caen, Serv Cardiol, ACT Study Grp, Caen, France; [Pouillot, Christophe] St Denis La Reunion, Clin Sainte Clotilde, La Reunion, France; [Varenne, Olivier] Hop Cochin, Serv Cardiol, Paris, France; [Boueri, Ziad] Ctr Hosp Bastia, Serv Cardiol Bastia, Bastia, France; [Van Belle, Eric] Ctr Hosp Univ Lille, Serv Cardiol, Lille, France; [Elhadad, Simon] Ctr Hosp Lagny Marne Vallee, Jossigny, France; [Salem, Joe-Elie] Hop La Pitie Salpetriere, AP HP, INSERM, ICAN,Dept Pharmacol,CIC 1421,U1166, Paris, France; [Rousseau, Helene; Vicaut, Eric] ACT Study Grp, Unite Rech Clin Lariboisiere, Paris, France</t>
  </si>
  <si>
    <t>Universite de Montpellier; CHU de Nimes; Aix-Marseille Universite; Assistance Publique-Hopitaux de Marseille; Aix-Marseille Universite; Institut National de la Sante et de la Recherche Medicale (Inserm); INRAE; Institut National de la Sante et de la Recherche Medicale (Inserm); Assistance Publique Hopitaux Paris (APHP); Hopital Universitaire Pitie-Salpetriere - APHP; Sorbonne Universite; Universite de Montpellier; CHU de Montpellier; Universite Paris Cite; Assistance Publique Hopitaux Paris (APHP); Hopital Universitaire Lariboisiere-Fernand-Widal - APHP; CHU Tours; Centre Hospitalier de Pau; Assistance Publique Hopitaux Paris (APHP); Hopital Universitaire Ambroise-Pare - APHP; CHU de Toulouse; Centre Hospitalier Annecy Genevois; CHU Clermont Ferrand; Assistance Publique Hopitaux Paris (APHP); Universite Paris Cite; Hopital Universitaire Bichat-Claude Bernard - APHP; CHU de Caen NORMANDIE; Universite de Caen Normandie; Assistance Publique Hopitaux Paris (APHP); Universite Paris Cite; Hopital Universitaire Cochin - APHP; Universite de Lille; CHU Lille; Assistance Publique Hopitaux Paris (APHP); Hopital Universitaire Pitie-Salpetriere - APHP; Institut National de la Sante et de la Recherche Medicale (Inserm); Sorbonne Universite; Assistance Publique Hopitaux Paris (APHP); Universite Paris Cite; Hopital Universitaire Lariboisiere-Fernand-Widal - APHP</t>
  </si>
  <si>
    <t>Montalescot, G (corresponding author), Hop La Pitie Salpetriere, Inst Cardiol, ACT Study Grp, F-75013 Paris, France.</t>
  </si>
  <si>
    <t>gilles.montalescot@aphp.fr</t>
  </si>
  <si>
    <t>Sabouret, Pierre/AAE-3459-2020; Manzo-Silberman, Stéphane/ABB-9864-2021; Carrie, Didier/M-5781-2014; Aubry, Pierre/ABF-1167-2021</t>
  </si>
  <si>
    <t>Sabouret, Pierre/0000-0002-0243-3673; Salem, Joe-Elie/0000-0002-0331-3307; VAN BELLE, ERIC/0000-0001-6509-443X; CARRIE, didier/0000-0003-2479-8144; Manzo-Silberman, stephane/0000-0003-0009-9525</t>
  </si>
  <si>
    <t>Eli Lilly and Company; Daiichi Sankyo; Stentys; Accriva Diagnostics; Medtronic; Fondation Coeur et Recherche; Assistance Publique des Hopitaux de Paris (Paris, France)</t>
  </si>
  <si>
    <t>Eli Lilly and Company(Eli Lilly); Daiichi Sankyo(Daiichi Sankyo Company Limited); Stentys; Accriva Diagnostics; Medtronic(Medtronic); Fondation Coeur et Recherche; Assistance Publique des Hopitaux de Paris (Paris, France)</t>
  </si>
  <si>
    <t>Eli Lilly and Company, Daiichi Sankyo, Stentys, Accriva Diagnostics, Medtronic, and Fondation Coeur et Recherche.r The study was led by the academic research organisation Allies in Cardiovascular Trials, Initiatives, and Organized Networks (ACTION), sponsored by the Assistance Publique des Hopitaux de Paris (Paris, France), and funded by Eli Lilly, Daiichi Sankyo, Stentys, Accriva Diagnostics, Medtronic, Fondation Coeur et Recherche. We thank Karine Brochard, Nabil Brouk, Delphine Brugier, Veronique Jouis, Nathalie Kingue-Elessa, Walid Makhlouf, Luminata Neculaita, and Yannick Vacher for their help and assistance.</t>
  </si>
  <si>
    <t>ELSEVIER SCIENCE INC</t>
  </si>
  <si>
    <t>STE 800, 230 PARK AVE, NEW YORK, NY 10169 USA</t>
  </si>
  <si>
    <t>0140-6736</t>
  </si>
  <si>
    <t>1474-547X</t>
  </si>
  <si>
    <t>Lancet</t>
  </si>
  <si>
    <t>OCT 22</t>
  </si>
  <si>
    <t>10.1016/S0140-6736(16)31323-X</t>
  </si>
  <si>
    <t>Medicine, General &amp; Internal</t>
  </si>
  <si>
    <t>General &amp; Internal Medicine</t>
  </si>
  <si>
    <t>DZ6EQ</t>
  </si>
  <si>
    <t>Y</t>
  </si>
  <si>
    <t>N</t>
  </si>
  <si>
    <t>WOS:000385954800031</t>
  </si>
  <si>
    <t>Yang, CY; Liu, JP; Hu, YY; Horton, RM; Chen, LQ; Cheng, X</t>
  </si>
  <si>
    <t>Yang, Chao-Yuan; Liu, Jiping; Hu, Yongyun; Horton, Radley M.; Chen, Liqi; Cheng, Xiao</t>
  </si>
  <si>
    <t>Assessment of Arctic and Antarctic sea ice predictability in CMIP5 decadal hindcasts</t>
  </si>
  <si>
    <t>MERIDIONAL OVERTURNING CIRCULATION; SOUTHERN-OCEAN; CLIMATE; VARIABILITY; PREDICTION; TRENDS; TEMPERATURE; PROJECTIONS; TIMESCALES; ENSEMBLE</t>
  </si>
  <si>
    <t>This paper examines the ability of coupled global climate models to predict decadal variability of Arctic and Antarctic sea ice. We analyze decadal hindcasts/predictions of 11 Coupled Model Intercomparison Project Phase 5 (CMIP5) models. Decadal hindcasts exhibit a large multimodel spread in the simulated sea ice extent, with some models deviating significantly from the observations as the predicted ice extent quickly drifts away from the initial constraint. The anomaly correlation analysis between the decadal hindcast and observed sea ice suggests that in the Arctic, for most models, the areas showing significant predictive skill become broader associated with increasing lead times. This area expansion is largely because nearly all the models are capable of predicting the observed decreasing Arctic sea ice cover. Sea ice extent in the North Pacific has better predictive skill than that in the North Atlantic (particularly at a lead time of 3-7 years), but there is a reemerging predictive skill in the North Atlantic at a lead time of 6-8 years. In contrast to the Arctic, Antarctic sea ice decadal hindcasts do not show broad predictive skill at any timescales, and there is no obvious improvement linking the areal extent of significant predictive skill to lead time increase. This might be because nearly all the models predict a retreating Antarctic sea ice cover, opposite to the observations. For the Arctic, the predictive skill of the multi-model ensemble mean outperforms most models and the persistence prediction at longer timescales, which is not the case for the Antarctic. Overall, for the Arctic, initialized decadal hindcasts show improved predictive skill compared to uninitialized simulations, although this improvement is not present in the Antarctic.</t>
  </si>
  <si>
    <t>[Yang, Chao-Yuan; Liu, Jiping] SUNY Albany, Dept Atmospher &amp; Environm Sci, Albany, NY 12222 USA; [Hu, Yongyun] Peking Univ, Sch Phys, Dept Atmospher &amp; Ocean Sci, Beijing, Peoples R China; [Horton, Radley M.] Columbia Univ, Ctr Climate Syst Res, New York, NY USA; [Horton, Radley M.] NASA Goddard Inst Space Studies, New York, NY USA; [Chen, Liqi] SOA, Inst Oceanog 3, Key Lab Global Change &amp; Marine Atmospher Chem, Xiamen, Peoples R China; [Cheng, Xiao] Beijing Normal Univ, Coll Global Change &amp; Earth Syst Sci, Beijing, Peoples R China</t>
  </si>
  <si>
    <t>State University of New York (SUNY) System; State University of New York (SUNY) Albany; Peking University; Columbia University; National Aeronautics &amp; Space Administration (NASA); NASA Goddard Space Flight Center; Goddard Institute for Space Studies; Third Institute of Oceanography, Ministry of Natural Resources; Beijing Normal University</t>
  </si>
  <si>
    <t>Yang, CY (corresponding author), SUNY Albany, Dept Atmospher &amp; Environm Sci, Albany, NY 12222 USA.</t>
  </si>
  <si>
    <t>cyang4@albany.edu</t>
  </si>
  <si>
    <t>Hu, Yongyun/B-6786-2016</t>
  </si>
  <si>
    <t>Hu, Yongyun/0000-0002-4003-4630; Horton, Radley/0000-0002-5574-9962</t>
  </si>
  <si>
    <t>NOAA Climate Program Office [NA15OAR4310163, NA14OAR4310216]; NSFC [41676185]</t>
  </si>
  <si>
    <t>NOAA Climate Program Office(National Oceanic Atmospheric Admin (NOAA) - USA); NSFC(National Natural Science Foundation of China (NSFC))</t>
  </si>
  <si>
    <t>This research is supported by the NOAA Climate Program Office (NA15OAR4310163 and NA14OAR4310216) and the NSFC (41676185).</t>
  </si>
  <si>
    <t>OCT 21</t>
  </si>
  <si>
    <t>10.5194/tc-10-2429-2016</t>
  </si>
  <si>
    <t>EA6YI</t>
  </si>
  <si>
    <t>Green Submitted, gold</t>
  </si>
  <si>
    <t>WOS:000386774700001</t>
  </si>
  <si>
    <t>Punsly, B; Marziani, P; Zhang, SH; Muzahid, S; O'Dea, CP</t>
  </si>
  <si>
    <t>Punsly, Brian; Marziani, Paola; Zhang, Shaohua; Muzahid, Sowgat; O'Dea, Christopher P.</t>
  </si>
  <si>
    <t>THE EXTREME ULTRAVIOLET VARIABILITY OF QUASARS</t>
  </si>
  <si>
    <t>ASTROPHYSICAL JOURNAL</t>
  </si>
  <si>
    <t>accretion, accretion disks; black hole physics; galaxies: active; galaxies: jets; magnetohydrodynamics (MHD)</t>
  </si>
  <si>
    <t>ACTIVE GALACTIC NUCLEI; BLACK-HOLE MASS; ACCRETION DISKS; MAGNETIC-FLUX; SPECTRUM; SPECTROGRAPH; SIMULATIONS; MODELS; VALUES; ATLAS</t>
  </si>
  <si>
    <t>We study the extreme ultraviolet (EUV) variability (rest frame wavelengths 500-920 angstrom) of high-luminosity quasars using Hubble Space Telescope (HST) (low to intermediate redshift sample) and Sloan Digital sky Survey (SDSS) (high redshift sample) archives. The combined HST and SDSS data indicates a much more pronounced variability when the sampling time between observations in the quasar rest frame is &gt;2 x 10(7) s compared to &lt;1.5 x 10(7) s. Based on an excess variance analysis, for time intervals &lt;2 x 10(7) s in the quasar rest frame, 10% of the quasars (4/40) show evidence of EUV variability. Similarly, for time intervals &gt;2 x 10(7) s in the quasar rest frame, 55% of the quasars (21/38) show evidence of EUV variability. The propensity for variability does not show any statistically significant change between 2.5 x 10(7) s and 3.16 x 10(7) s (1 year). The temporal behavior is one of a threshold time interval for significant variability as opposed to a gradual increase on these timescales. A threshold timescale can indicate a characteristic spatial dimension of the EUV region. We explore this concept in the context of the slim disk models of accretion. We find that for rapidly spinning black holes, the radial infall time to the plunge region of the optically thin surface layer of the slim disk that is responsible for the preponderance of the EUV flux emission (primarily within 0-7 black hole radii from the inner edge of the disk) is consistent with the empirically determined variability timescale.</t>
  </si>
  <si>
    <t>[Punsly, Brian] 1415 Granvia Altamira, Palos Verdes Estates, CA 90274 USA; [Punsly, Brian] ICRANet, Piazza Repubbl 10, I-65100 Pescara, Italy; [Marziani, Paola] Osserv Astron Padova, INAF, I-35122 Padua, Italy; [Zhang, Shaohua] Polar Res Inst China, Antarctic Astron Div, 451 Jinqiao Rd, Shanghai, Peoples R China; [Muzahid, Sowgat] Penn State Univ, State Coll, PA 16802 USA; [O'Dea, Christopher P.] Univ Manitoba, Dept Phys &amp; Astron, Winnipeg, MB R3T 2N2, Canada; [O'Dea, Christopher P.] Rochester Inst Technol, Sch Phys &amp; Astron, Rochester, NY 14623 USA</t>
  </si>
  <si>
    <t>University of Padua; Istituto Nazionale Astrofisica (INAF); Polar Research Institute of China; Pennsylvania Commonwealth System of Higher Education (PCSHE); Pennsylvania State University; University of Manitoba; Rochester Institute of Technology</t>
  </si>
  <si>
    <t>Punsly, B (corresponding author), 1415 Granvia Altamira, Palos Verdes Estates, CA 90274 USA.;Punsly, B (corresponding author), ICRANet, Piazza Repubbl 10, I-65100 Pescara, Italy.</t>
  </si>
  <si>
    <t>brian.punsly@cox.net</t>
  </si>
  <si>
    <t>; ZHANG, Shaohua/O-8150-2015</t>
  </si>
  <si>
    <t>Muzahid, Sowgat/0000-0003-3938-8762; ZHANG, Shaohua/0000-0001-8485-2814; Marziani, Paola/0000-0002-6058-4912; O'Dea, Christopher/0000-0001-6421-054X; Punsly, Brian/0000-0002-9448-2527</t>
  </si>
  <si>
    <t>ICRANet</t>
  </si>
  <si>
    <t>We are indebted to Aleksander Sadowski for sharing his slim disk results. We would like to thank Ian Evans for teaching us about the limitations of FOS absolute flux measurements. We also benefited from valuable information on COS flux calibrations from Todd Tripp and Blair Savage. Todd Tripp also provided valuable insight into the use of STIS spectra for flux measurements. We also were the beneficiary of consult with Jack Brandt and David Soderblom on the absolute flux calibration of HRS. B.P. notes that this research was supported by ICRANet.</t>
  </si>
  <si>
    <t>IOP PUBLISHING LTD</t>
  </si>
  <si>
    <t>BRISTOL</t>
  </si>
  <si>
    <t>TEMPLE CIRCUS, TEMPLE WAY, BRISTOL BS1 6BE, ENGLAND</t>
  </si>
  <si>
    <t>0004-637X</t>
  </si>
  <si>
    <t>1538-4357</t>
  </si>
  <si>
    <t>ASTROPHYS J</t>
  </si>
  <si>
    <t>Astrophys. J.</t>
  </si>
  <si>
    <t>OCT 20</t>
  </si>
  <si>
    <t>10.3847/0004-637X/830/2/104</t>
  </si>
  <si>
    <t>EA3FZ</t>
  </si>
  <si>
    <t>Green Submitted, Bronze</t>
  </si>
  <si>
    <t>WOS:000386488200007</t>
  </si>
  <si>
    <t>Latip, W; Abd Rahman, RNZR; Leow, ATC; Shariff, FM; Ali, MSM</t>
  </si>
  <si>
    <t>Latip, Wahhida; Abd Rahman, Raja Noor Zaliha Raja; Leow, Adam Thean Chor; Shariff, Fairolniza Mohd; Ali, Mohd Shukuri Mohamad</t>
  </si>
  <si>
    <t>Expression and characterization of thermotolerant lipase with broad pH profiles isolated from an Antarctic Pseudomonas sp strain AMS3</t>
  </si>
  <si>
    <t>PEERJ</t>
  </si>
  <si>
    <t>Thermotolerant lipase; Expression and characterization</t>
  </si>
  <si>
    <t>ORGANIC-SOLVENT-TOLERANT; COLD-ADAPTED LIPASE; GENE CLONING; EXTRACELLULAR LIPASE; MICROBIAL LIPASES; PURIFICATION; ACTIVATION</t>
  </si>
  <si>
    <t>A gene encoding a thermotolerant lipase with broad pH was isolated from an Antarctic Pseudomonas strain AMS3. The recombinant lipase AMS3 was purified by single-step purification using affinity chromatography, yielding a purification fold of approximately 1.52 and a recovery of 50%. The molecular weight was approximately similar to 60 kDa including the strep and affinity tags. Interestingly, the purified Antarctic AMS3 lipase exhibited broad temperature profile from 10-70 degrees C and stable over a broad pH range from 5.0 to pH 10.0. Various mono and divalent metal ions increased the activity of the AMS3 lipase but Ni2+ decreased its activity. The purified lipase exhibited the highest activity in the presence of sunflower oil. In addition, the enzyme activity in 25% v/v solvents at 50 degrees C particularly to n-hexane, DMSO and methanol could be useffil for catalysis reaction in organic solvent and at broad temperature.</t>
  </si>
  <si>
    <t>[Latip, Wahhida; Abd Rahman, Raja Noor Zaliha Raja; Leow, Adam Thean Chor; Shariff, Fairolniza Mohd; Ali, Mohd Shukuri Mohamad] Univ Putra Malaysia, Enzyme &amp; Microbial Technol Res Ctr, Serdang, Selangor, Malaysia; [Abd Rahman, Raja Noor Zaliha Raja; Shariff, Fairolniza Mohd] Univ Putra Malaysia, Fac Biotechnol &amp; Biomol Sci, Dept Microbiol, Serdang, Selangor, Malaysia; [Leow, Adam Thean Chor] Univ Putra Malaysia, Fac Biotechnol &amp; Biomol Sci, Dept Cell &amp; Mol Biol, Upm Serdang, Selangor, Malaysia; [Ali, Mohd Shukuri Mohamad] Univ Putra Malaysia, Fac Biotechnol &amp; Biomol Sci, Dept Biochem, Serdang, Selangor, Malaysia</t>
  </si>
  <si>
    <t>Universiti Putra Malaysia; Universiti Putra Malaysia; Universiti Putra Malaysia; Universiti Putra Malaysia</t>
  </si>
  <si>
    <t>Abd Rahman, RNZR (corresponding author), Univ Putra Malaysia, Enzyme &amp; Microbial Technol Res Ctr, Serdang, Selangor, Malaysia.;Abd Rahman, RNZR (corresponding author), Univ Putra Malaysia, Fac Biotechnol &amp; Biomol Sci, Dept Microbiol, Serdang, Selangor, Malaysia.</t>
  </si>
  <si>
    <t>rnzaliha@upm.edu.my</t>
  </si>
  <si>
    <t>ALI, MOHD/IUM-6916-2023; Shariff, Fairolniza Mohd/IYJ-2362-2023; latip, wahhida/AAG-5438-2021; Shariff, Fairolniza Mohd/AAL-2880-2020; Ali, Mohd Shukuri Mohamad/AAG-5453-2021; latip, wahhida/AAK-3734-2020; Rahman, Raja Noor Zaliha Raja Abd/I-5556-2019</t>
  </si>
  <si>
    <t>latip, wahhida/0000-0002-6241-7528; Ali, Mohd Shukuri Mohamad/0000-0003-2751-9649; Rahman, Raja Noor Zaliha Raja Abd/0000-0002-6316-6177; Leow, Adam [Thean Chor]/0000-0002-0280-7735; Mohd Shariff, Fairolniza/0000-0001-7586-4784</t>
  </si>
  <si>
    <t>University Putra Malaysia [GP-IPS/2016/9479200]</t>
  </si>
  <si>
    <t>University Putra Malaysia</t>
  </si>
  <si>
    <t>This research was supported by research grant University Putra Malaysia. GP-IPS/2016/9479200. The funders had no role in study design, data collection and analysis, decision to publish, or preparation of the manuscript.</t>
  </si>
  <si>
    <t>PEERJ INC</t>
  </si>
  <si>
    <t>341-345 OLD ST, THIRD FLR, LONDON, EC1V 9LL, ENGLAND</t>
  </si>
  <si>
    <t>2167-8359</t>
  </si>
  <si>
    <t>PeerJ</t>
  </si>
  <si>
    <t>e2420</t>
  </si>
  <si>
    <t>10.7717/peerj.2420</t>
  </si>
  <si>
    <t>DZ4IE</t>
  </si>
  <si>
    <t>Green Submitted, gold, Green Published</t>
  </si>
  <si>
    <t>WOS:000385821100001</t>
  </si>
  <si>
    <t>Aartsen, MG; Abraham, K; Ackermann, M; Adams, J; Aguilar, JA; Ahlers, M; Ahrens, M; Altmann, D; Andeen, K; Anderson, T; Ansseau, I; Anton, G; Archinger, M; Argüelles, C; Auffenberg, J; Axani, S; Bai, X; Barwick, SW; Baum, V; Bay, R; Beatty, JJ; Tjus, JB; Becker, KH; BenZvi, S; Berghaus, P; Berley, D; Bernardini, E; Bernhard, A; Besson, DZ; Binder, G; Bindig, D; Bissok, M; Blaufuss, E; Blot, S; Bohm, C; Börner, M; Bos, F; Bose, D; Boeser, S; Botner, O; Braun, J; Brayeur, L; Bretz, HP; Burgman, A; Carver, T; Casier, M; Cheung, E; Chirkin, D; Christov, A; Clark, K; Classen, L; Coenders, S; Collin, GH; Conrad, JM; Cowen, DF; Cross, R; Day, M; de André, JPAM; De Clercq, C; Rosendo, ED; Dembinski, H; De Ridder, S; Desiati, P; de Vries, KD; de Wasseige, G; de With, M; Deyoung, T; Díaz-Vélez, JC; di Lorenzo, V; Dujmovic, H; Dumm, JP; Dunkman, M; Eberhardt, B; Ehrhardt, T; Eichmann, B; Eller, P; Euler, S; Evenson, PA; Fahey, S; Fazely, AR; Feintzeig, J; Felde, J; Filimonov, K; Finley, C; Flis, S; Fösig, CC; Franckowiak, A; Friedman, E; Fuchs, T; Gaisser, TK; Gallagher, J; Gerhardt, L; Ghorbani, K; Giang, W; Gladstone, L; Glagla, M; Glüsenkamp, T; Goldschmidt, A; Golup, G; Gonzalez, JG; Grant, D; Griffith, Z; Haack, C; Ismail, AH; Hallgren, A; Halzen, F; Hansen, E; Hansmann, B; Hansmann, T; Hanson, K; Hebecker, D; Heereman, D; Helbing, K; Hellauer, R; Hickford, S; Hignight, J; Hill, GC; Hoffman, KD; Hoffmann, R; Holzapfel, K; Hoshina, K; Huang, F; Huber, M; Hultqvist, K; In, S; Ishihara, A; Jacobi, E; Japaridze, GS; Jeong, M; Jero, K; Jones, BJP; Jurkovic, M; Kappes, A; Karg, T; Karle, A; Katz, U; Kauer, M; Keivani, A; Kelley, JL; Kemp, J; Kheirandish, A; Kim, M; Kintscher, T; Kiryluk, J; Kittler, T; Klein, SR; Kohnen, G; Koirala, R; Kolanoski, H; Konietz, R; Köpke, L; Kopper, C; Kopper, S; Koskinen, DJ; Kowalski, M; Krings, K; Kroll, M; Krückl, G; Kruger, C; Kunnen, J; Kunwar, S; Kurahashi, N; Kuwabara, T; Labare, M; Lanfranchi, JL; Larson, MJ; Lauber, F; Lennarz, D; Lesiak-Bzdak, M; Leuermann, M; Leuner, J; Lu, L; Lünemann, J; Madsen, J; Maggi, G; Mahn, KBM; Mancina, S; Mandelartz, M; Maruyama, R; Mase, K; Maunu, R; McNally, F; Meagher, K; Medici, M; Meier, M; Meli, A; Menne, T; Merino, G; Meures, T; Miarecki, S; Mohrmann, L; Montaruli, T; Moulai, M; Nahnhauer, R; Naumann, U; Neer, G; Niederhausen, H; Nowicki, SC; Nygren, DR; Pollmann, AO; Olivas, A; O'Murchadha, A; Palczewski, T; Pandya, H; Pankova, DV; Penek, Ö; Pepper, JA; Heros, CPD; Pieloth, D; Pinat, E; Price, PB; Przybylski, GT; Quinnan, M; Raab, C; Rädel, L; Rameez, M; Rawlins, K; Reimann, R; Relethford, B; Relich, M; Resconi, E; Rhode, W; Richman, M; Riedel, B; Robertson, S; Rongen, M; Rott, C; Ruhe, T; Ryckbosch, D; Rysewyk, D; Sabbatini, L; Herrera, SES; Sandrock, A; Sandroos, J; Sarkar, S; Satalecka, K; Schimp, M; Schlunder, P; Schmidt, T; Schoenen, S; Schöneberg, S; Schumacher, L; Seckel, D; Seunarine, S; Soldin, D; Song, M; Spiczak, GM; Spiering, C; Stahlberg, M; Stanev, T; Stasik, A; Steuer, A; Stezelberger, T; Stokstad, RG; Stössl, A; Ström, R; Strotjohann, NL; Sullivan, GW; Sutherland, M; Taavola, H; Taboada, I; Tatar, J; Tenholt, F; Ter-Antonyan, S; Terliuk, A; Tesic, G; Tilav, S; Toale, PA; Tobin, MN; Toscano, S; Tosi, D; Tselengidou, M; Turcati, A; Unger, E; Usner, M; Vandenbroucke, J; van Eijndhoven, N; Vanheule, S; van Rossem, M; van Santen, J; Veenkamp, J; Vehring, M; Voge, M; Vraeghe, M; Walck, C; Wallace, A; Wallraff, M; Wandkowsky, N; Weaver, C; Weiss, MJ; Wendt, C; Westerhoff, S; Whelan, BJ; Wickmann, S; Wiebe, K; Wiebusch, CH; Wille, L; Williams, DR; Wills, L; Wolf, M; Wood, TR; Woolsey, E; Woschnagg, K; Xu, DL; Xu, XW; Xu, Y; Yanez, JP; Yodh, G; Yoshida, S; Zoll, M</t>
  </si>
  <si>
    <t>Aartsen, M. G.; Abraham, K.; Ackermann, M.; Adams, J.; Aguilar, J. A.; Ahlers, M.; Ahrens, M.; Altmann, D.; Andeen, K.; Anderson, T.; Ansseau, I.; Anton, G.; Archinger, M.; Arguelles, C.; Auffenberg, J.; Axani, S.; Bai, X.; Barwick, S. W.; Baum, V.; Bay, R.; Beatty, J. J.; Tjus, J. Becker; Becker, K. -H.; BenZvi, S.; Berghaus, P.; Berley, D.; Bernardini, E.; Bernhard, A.; Besson, D. Z.; Binder, G.; Bindig, D.; Bissok, M.; Blaufuss, E.; Blot, S.; Bohm, C.; Boerner, M.; Bos, F.; Bose, D.; Boeser, S.; Botner, O.; Braun, J.; Brayeur, L.; Bretz, H. -P.; Burgman, A.; Carver, T.; Casier, M.; Cheung, E.; Chirkin, D.; Christov, A.; Clark, K.; Classen, L.; Coenders, S.; Collin, G. H.; Conrad, J. M.; Cowen, D. F.; Cross, R.; Day, M.; de Andre, J. P. A. M.; De Clercq, C.; Rosendo, E. del Pino; Dembinski, H.; De Ridder, S.; Desiati, P.; de Vries, K. D.; de Wasseige, G.; de With, M.; deYoung, T.; Diaz-Velez, J. C.; di Lorenzo, V.; Dujmovic, H.; Dumm, J. P.; Dunkman, M.; Eberhardt, B.; Ehrhardt, T.; Eichmann, B.; Eller, P.; Euler, S.; Evenson, P. A.; Fahey, S.; Fazely, A. R.; Feintzeig, J.; Felde, J.; Filimonov, K.; Finley, C.; Flis, S.; Foesig, C. -C.; Franckowiak, A.; Friedman, E.; Fuchs, T.; Gaisser, T. K.; Gallagher, J.; Gerhardt, L.; Ghorbani, K.; Giang, W.; Gladstone, L.; Glagla, M.; Gluesenkamp, T.; Goldschmidt, A.; Golup, G.; Gonzalez, J. G.; Grant, D.; Griffith, Z.; Haack, C.; Ismail, A. Haj; Hallgren, A.; Halzen, F.; Hansen, E.; Hansmann, B.; Hansmann, T.; Hanson, K.; Hebecker, D.; Heereman, D.; Helbing, K.; Hellauer, R.; Hickford, S.; Hignight, J.; Hill, G. C.; Hoffman, K. D.; Hoffmann, R.; Holzapfel, K.; Hoshina, K.; Huang, F.; Huber, M.; Hultqvist, K.; In, S.; Ishihara, A.; Jacobi, E.; Japaridze, G. S.; Jeong, M.; Jero, K.; Jones, B. J. P.; Jurkovic, M.; Kappes, A.; Karg, T.; Karle, A.; Katz, U.; Kauer, M.; Keivani, A.; Kelley, J. L.; Kemp, J.; Kheirandish, A.; Kim, M.; Kintscher, T.; Kiryluk, J.; Kittler, T.; Klein, S. R.; Kohnen, G.; Koirala, R.; Kolanoski, H.; Konietz, R.; Koepke, L.; Kopper, C.; Kopper, S.; Koskinen, D. J.; Kowalski, M.; Krings, K.; Kroll, M.; Krueckl, G.; Kruger, C.; Kunnen, J.; Kunwar, S.; Kurahashi, N.; Kuwabara, T.; Labare, M.; Lanfranchi, J. L.; Larson, M. J.; Lauber, F.; Lennarz, D.; Lesiak-Bzdak, M.; Leuermann, M.; Leuner, J.; Lu, L.; Lunemann, J.; Madsen, J.; Maggi, G.; Mahn, K. B. M.; Mancina, S.; Mandelartz, M.; Maruyama, R.; Mase, K.; Maunu, R.; McNally, F.; Meagher, K.; Medici, M.; Meier, M.; Meli, A.; Menne, T.; Merino, G.; Meures, T.; Miarecki, S.; Mohrmann, L.; Montaruli, T.; Moulai, M.; Nahnhauer, R.; Naumann, U.; Neer, G.; Niederhausen, H.; Nowicki, S. C.; Nygren, D. R.; Pollmann, A. Obertacke; Olivas, A.; O'Murchadha, A.; Palczewski, T.; Pandya, H.; Pankova, D. V.; Penek, O.; Pepper, J. A.; Heros, C. Perez de los; Pieloth, D.; Pinat, E.; Price, P. B.; Przybylski, G. T.; Quinnan, M.; Raab, C.; Raedel, L.; Rameez, M.; Rawlins, K.; Reimann, R.; Relethford, B.; Relich, M.; Resconi, E.; Rhode, W.; Richman, M.; Riedel, B.; Robertson, S.; Rongen, M.; Rott, C.; Ruhe, T.; Ryckbosch, D.; Rysewyk, D.; Sabbatini, L.; Herrera, S. E. Sanchez; Sandrock, A.; Sandroos, J.; Sarkar, S.; Satalecka, K.; Schimp, M.; Schlunder, P.; Schmidt, T.; Schoenen, S.; Schoeneberg, S.; Schumacher, L.; Seckel, D.; Seunarine, S.; Soldin, D.; Song, M.; Spiczak, G. M.; Spiering, C.; Stahlberg, M.; Stanev, T.; Stasik, A.; Steuer, A.; Stezelberger, T.; Stokstad, R. G.; Stoessl, A.; Strom, R.; Strotjohann, N. L.; Sullivan, G. W.; Sutherland, M.; Taavola, H.; Taboada, I.; Tatar, J.; Tenholt, F.; Ter-Antonyan, S.; Terliuk, A.; Tesic, G.; Tilav, S.; Toale, P. A.; Tobin, M. N.; Toscano, S.; Tosi, D.; Tselengidou, M.; Turcati, A.; Unger, E.; Usner, M.; Vandenbroucke, J.; van Eijndhoven, N.; Vanheule, S.; van Rossem, M.; van Santen, J.; Veenkamp, J.; Vehring, M.; Voge, M.; Vraeghe, M.; Walck, C.; Wallace, A.; Wallraff, M.; Wandkowsky, N.; Weaver, Ch.; Weiss, M. J.; Wendt, C.; Westerhoff, S.; Whelan, B. J.; Wickmann, S.; Wiebe, K.; Wiebusch, C. H.; Wille, L.; Williams, D. R.; Wills, L.; Wolf, M.; Wood, T. R.; Woolsey, E.; Woschnagg, K.; Xu, D. L.; Xu, X. W.; Xu, Y.; Yanez, J. P.; Yodh, G.; Yoshida, S.; Zoll, M.</t>
  </si>
  <si>
    <t>IceCube Collaboration</t>
  </si>
  <si>
    <t>SEARCH FOR SOURCES OF HIGH-ENERGY NEUTRONS WITH FOUR YEARS OF DATA FROM THE ICETOP DETECTOR</t>
  </si>
  <si>
    <t>astroparticle physics; cosmic rays; methods: data analysis</t>
  </si>
  <si>
    <t>COSMIC-RAY ANISOTROPY; POINT SOURCES; GAMMA-RAYS; ARRIVAL DIRECTIONS; GALACTIC-CENTER; EEV NEUTRONS; TEV; NEUTRINOS; ASTRONOMY; ICECUBE</t>
  </si>
  <si>
    <t>IceTop is an air-shower array located on the Antarctic ice sheet at the geographic South Pole. IceTop can detect an astrophysical flux of neutrons from Galactic sources as an excess of cosmic-ray air showers arriving from the source direction. Neutrons are undeflected by the Galactic magnetic field and can typically travel 10 (E/PeV) pc before decay. Two searches are performed using 4 yr of the IceTop data set to look for a statistically significant excess of events with energies above 10 PeV (10(16) eV) arriving within a small solid angle. The all-sky search method covers from -90 degrees to approximately -50 degrees in declination. No significant excess is found. A targeted search is also performed, looking for significant correlation with candidate sources in different target sets. This search uses a higher-energy cut (100 PeV) since most target objects lie beyond 1 kpc. The target sets include pulsars with confirmed TeV energy photon fluxes and high-mass X-ray binaries. No significant correlation is found for any target set. Flux upper limits are determined for both searches, which can constrain Galactic neutron sources and production scenarios.</t>
  </si>
  <si>
    <t>[Aartsen, M. G.; Hill, G. C.; Robertson, S.; Wallace, A.; Whelan, B. J.] Univ Adelaide, Dept Phys, Adelaide, SA 5005, Australia; [Abraham, K.; Bernhard, A.; Coenders, S.; Holzapfel, K.; Huber, M.; Jurkovic, M.; Krings, K.; Resconi, E.; Turcati, A.; Veenkamp, J.] Tech Univ Munich, Dept Phys, D-85748 Garching, Germany; [Ackermann, M.; Bernardini, E.; Blot, S.; Bretz, H. -P.; Franckowiak, A.; Gluesenkamp, T.; Jacobi, E.; Karg, T.; Kintscher, T.; Kowalski, M.; Kunwar, S.; Mohrmann, L.; Nahnhauer, R.; Satalecka, K.; Spiering, C.; Stasik, A.; Stoessl, A.; Strotjohann, N. L.; Terliuk, A.; Usner, M.; van Santen, J.; Yanez, J. P.] DESY, D-15735 Zeuthen, Germany; [Adams, J.] Univ Canterbury, Dept Phys &amp; Astron, Private Bag 4800, Christchurch, New Zealand; [Aguilar, J. A.; Ansseau, I.; Heereman, D.; Meagher, K.; Meures, T.; O'Murchadha, A.; Pinat, E.; Raab, C.] Univ Libre Bruxelles, Sci Fac CP230, B-1050 Brussels, Belgium; [Ahlers, M.; Braun, J.; Chirkin, D.; Day, M.; Desiati, P.; Diaz-Velez, J. C.; Fahey, S.; Feintzeig, J.; Ghorbani, K.; Gladstone, L.; Griffith, Z.; Halzen, F.; Hanson, K.; Hoshina, K.; Jero, K.; Karle, A.; Kauer, M.; Kelley, J. L.; Kheirandish, A.; Kruger, C.; Mancina, S.; McNally, F.; Merino, G.; Sabbatini, L.; Tobin, M. N.; Tosi, D.; Vandenbroucke, J.; van Rossem, M.; Wandkowsky, N.; Wendt, C.; Westerhoff, S.; Wille, L.; Xu, D. L.] Univ Wisconsin, Dept Phys, Madison, WI 53706 USA; [Ahlers, M.; Braun, J.; Chirkin, D.; Day, M.; Desiati, P.; Diaz-Velez, J. C.; Fahey, S.; Feintzeig, J.; Ghorbani, K.; Gladstone, L.; Griffith, Z.; Halzen, F.; Hanson, K.; Hoshina, K.; Jero, K.; Karle, A.; Kauer, M.; Kelley, J. L.; Kheirandish, A.; Kruger, C.; Mancina, S.; McNally, F.; Merino, G.; Sabbatini, L.; Tobin, M. N.; Tosi, D.; Vandenbroucke, J.; van Rossem, M.; Wandkowsky, N.; Wendt, C.; Westerhoff, S.; Wille, L.; Xu, D. L.] Univ Wisconsin, Wisconsin IceCube Particle Astrophys Ctr, Madison, WI 53706 USA; [Ahrens, M.; Bohm, C.; Dumm, J. P.; Finley, C.; Flis, S.; Hultqvist, K.; Walck, C.; Wolf, M.; Zoll, M.] Stockholm Univ, Oskar Klein Ctr, SE-10691 Stockholm, Sweden; [Ahrens, M.; Bohm, C.; Dumm, J. P.; Finley, C.; Flis, S.; Hultqvist, K.; Walck, C.; Wolf, M.; Zoll, M.] Stockholm Univ, Dept Phys, SE-10691 Stockholm, Sweden; [Altmann, D.; Anton, G.; Katz, U.; Kittler, T.; Tselengidou, M.] Friedrich Alexander Univ Erlangen Nurnberg, Erlangen Ctr Astroparticle Phys, D-91058 Erlangen, Germany; [Andeen, K.] Marquette Univ, Dept Phys, Milwaukee, WI 53201 USA; [Anderson, T.; Cowen, D. F.; Dunkman, M.; Eller, P.; Huang, F.; Keivani, A.; Lanfranchi, J. L.; Pankova, D. V.; Quinnan, M.; Tesic, G.; Weiss, M. J.] Penn State Univ, Dept Phys, University Pk, PA 16802 USA; [Archinger, M.; Baum, V.; Boeser, S.; Rosendo, E. del Pino; di Lorenzo, V.; Eberhardt, B.; Ehrhardt, T.; Foesig, C. -C.; Koepke, L.; Krueckl, G.; Sandroos, J.; Steuer, A.; Wiebe, K.] Johannes Gutenberg Univ Mainz, Inst Phys, Staudinger Weg 7, D-55099 Mainz, Germany; [Arguelles, C.; Axani, S.; Collin, G. H.; Conrad, J. M.; Jones, B. J. P.; Moulai, M.] MIT, Dept Phys, Cambridge, MA 02139 USA; [Auffenberg, J.; Bissok, M.; Glagla, M.; Haack, C.; Hansmann, B.; Hansmann, T.; Kemp, J.; Konietz, R.; Leuermann, M.; Leuner, J.; Penek, O.; Raedel, L.; Reimann, R.; Rongen, M.; Schimp, M.; Schoenen, S.; Schumacher, L.; Stahlberg, M.; Vehring, M.; Wallraff, M.; Wickmann, S.; Wiebusch, C. H.] Rhein Westfal TH Aachen, Phys Inst 3, D-52056 Aachen, Germany; [Bai, X.] South Dakota Sch Mines &amp; Technol, Dept Phys, Rapid City, SD 57701 USA; [Barwick, S. W.; Yodh, G.] Univ Calif Irvine, Dept Phys &amp; Astron, Irvine, CA 92697 USA; [Bay, R.; Binder, G.; Filimonov, K.; Gerhardt, L.; Klein, S. R.; Miarecki, S.; Price, P. B.; Tatar, J.; Woschnagg, K.] Univ Calif Berkeley, Dept Phys, Berkeley, CA USA; [Beatty, J. J.; Sutherland, M.] Ohio State Univ, Dept Phys, Columbus, OH 43210 USA; [Beatty, J. J.; Sutherland, M.] Ohio State Univ, Ctr Cosmol &amp; Astro Particle Phys, Columbus, OH 43210 USA; [Beatty, J. J.] Ohio State Univ, Dept Astron, Columbus, OH 43210 USA; [Tjus, J. Becker; Bos, F.; Eichmann, B.; Kroll, M.; Mandelartz, M.; Schoeneberg, S.; Tenholt, F.] Ruhr Univ Bochum, Fak Phys &amp; Astron, D-44780 Bochum, Germany; [Becker, K. -H.; Bindig, D.; Helbing, K.; Hickford, S.; Hoffmann, R.; Kopper, S.; Lauber, F.; Naumann, U.; Pollmann, A. Obertacke; Soldin, D.] Univ Wuppertal, Dept Phys, D-42119 Wuppertal, Germany; [BenZvi, S.; Cross, R.] Univ Rochester, Dept Phys &amp; Astron, Rochester, NY 14627 USA; [Berghaus, P.] Natl Res Nucl Univ MEPhI, Moscow Engn Phys Inst, Moscow, Russia; [Berley, D.; Blaufuss, E.; Cheung, E.; Felde, J.; Friedman, E.; Hellauer, R.; Hoffman, K. D.; Maunu, R.; Olivas, A.; Schmidt, T.; Song, M.; Sullivan, G. W.] Univ Maryland, Dept Phys, College Pk, MD 20742 USA; [Besson, D. Z.] Univ Kansas, Dept Phys &amp; Astron, Lawrence, KS 66045 USA; [Binder, G.; Gerhardt, L.; Goldschmidt, A.; Klein, S. R.; Miarecki, S.; Nygren, D. R.; Przybylski, G. T.; Stezelberger, T.; Stokstad, R. G.; Tatar, J.] Lawrence Berkeley Natl Lab, Berkeley, CA 94720 USA; [Boerner, M.; Fuchs, T.; Meier, M.; Menne, T.; Pieloth, D.; Rhode, W.; Ruhe, T.; Sandrock, A.; Schlunder, P.] Tech Univ Dortmund, Dept Phys, D-44221 Dortmund, Germany; [Bose, D.; Dujmovic, H.; In, S.; Jeong, M.; Kim, M.; Rott, C.] Sungkyunkwan Univ, Dept Phys, Suwon 440746, South Korea; [Botner, O.; Burgman, A.; Euler, S.; Hallgren, A.; Heros, C. Perez de los; Strom, R.; Taavola, H.; Unger, E.] Uppsala Univ, Dept Phys &amp; Astron, Box 516, S-75120 Uppsala, Sweden; [Brayeur, L.; Casier, M.; De Clercq, C.; de Vries, K. D.; de Wasseige, G.; Golup, G.; Kunnen, J.; Lunemann, J.; Maggi, G.; Toscano, S.; van Eijndhoven, N.] Vrije Univ Brussel, Dienst ELEM, B-1050 Brussels, Belgium; [Carver, T.; Christov, A.; Montaruli, T.] Univ Geneva, Dept Phys Nucl &amp; Corpusculaire, CH-1211 Geneva, Switzerland; [Clark, K.] Univ Toronto, Dept Phys, Toronto, ON M5S 1A7, Canada; [Classen, L.; Kappes, A.] Westfalische Wilhelms Univ Munster, Inst Kernphys, D-48149 Munster, Germany; [Cowen, D. F.] Penn State Univ, Dept Astron &amp; Astrophys, University Pk, PA 16802 USA; [de Andre, J. P. A. M.; deYoung, T.; Hignight, J.; Lennarz, D.; Mahn, K. B. M.; Neer, G.; Rysewyk, D.] Michigan State Univ, Dept Phys &amp; Astron, E Lansing, MI USA; [Dembinski, H.; Evenson, P. A.; Gaisser, T. K.; Gonzalez, J. G.; Koirala, R.; Pandya, H.; Seckel, D.; Stanev, T.; Tilav, S.] Univ Delaware, Bartol Res Inst, Newark, DE 19716 USA; [Dembinski, H.; Evenson, P. A.; Gaisser, T. K.; Gonzalez, J. G.; Koirala, R.; Pandya, H.; Seckel, D.; Stanev, T.; Tilav, S.] Univ Delaware, Dept Phys &amp; Astron, Newark, DE 19716 USA; [De Ridder, S.; Ismail, A. Haj; Labare, M.; Meli, A.; Ryckbosch, D.; Vanheule, S.; Vraeghe, M.] Univ Ghent, Dept Phys &amp; Astron, B-9000 Ghent, Belgium; [de With, M.; Hebecker, D.; Kolanoski, H.; Kowalski, M.] Humboldt Univ, Inst Phys, D-12489 Berlin, Germany; [Fazely, A. R.; Ter-Antonyan, S.; Xu, X. W.] Southern Univ, Dept Phys, Baton Rouge, LA 70813 USA; [Gallagher, J.] Univ Wisconsin, Dept Astron, Madison, WI 53706 USA; [Giang, W.; Grant, D.; Kopper, C.; Nowicki, S. C.; Riedel, B.; Herrera, S. E. Sanchez; Weaver, Ch.; Wood, T. R.; Woolsey, E.] Univ Alberta, Dept Phys, Edmonton, AB T6G 2E1, Canada; [Hansen, E.; Koskinen, D. J.; Larson, M. J.; Medici, M.; Rameez, M.; Sarkar, S.] Univ Copenhagen, Niels Bohr Inst, DK-2100 Copenhagen, Denmark; [Hoshina, K.] Univ Tokyo, Earthquake Res Inst, Tokyo 1130032, Japan; [Ishihara, A.; Kuwabara, T.; Lu, L.; Mase, K.; Relich, M.; Yoshida, S.] Chiba Univ, Dept Phys, Chiba 2638522, Japan; [Japaridze, G. S.] Clark Atlanta Univ, CTSPS, Atlanta, GA 30314 USA; [Kiryluk, J.; Lesiak-Bzdak, M.; Niederhausen, H.; Xu, Y.] SUNY Stony Brook, Dept Phys &amp; Astron, Stony Brook, NY 11794 USA; [Kohnen, G.] Univ Mons, B-7000 Mons, Belgium; [Kurahashi, N.; Relethford, B.; Richman, M.; Wills, L.] Drexel Univ, Dept Phys, 3141 Chestnut St, Philadelphia, PA 19104 USA; [Madsen, J.; Seunarine, S.; Spiczak, G. M.] Univ Wisconsin, Dept Phys, River Falls, WI 54022 USA; [Maruyama, R.] Yale Univ, Dept Phys, New Haven, CT 06520 USA; [Palczewski, T.; Pepper, J. A.; Toale, P. A.; Williams, D. R.] Univ Alabama, Dept Phys &amp; Astron, Tuscaloosa, AL 35487 USA; [Rawlins, K.] Univ Alaska Anchorage, Dept Phys &amp; Astron, 3211 Providence Dr, Anchorage, AK 99508 USA; [Sarkar, S.] Univ Oxford, Dept Phys, 1 Keble Rd, Oxford OX1 3NP, England; [Taboada, I.] Georgia Inst Technol, Sch Phys, Atlanta, GA 30332 USA; [Taboada, I.] Georgia Inst Technol, Ctr Relativist Astrophys, Atlanta, GA 30332 USA; [Voge, M.] Univ Bonn, Phys Inst, Nussallee 12, D-53115 Bonn, Germany</t>
  </si>
  <si>
    <t>University of Adelaide; Technical University of Munich; Helmholtz Association; Deutsches Elektronen-Synchrotron (DESY); University of Canterbury; Universite Libre de Bruxelles; University of Wisconsin System; University of Wisconsin Madison; University of Wisconsin System; University of Wisconsin Madison; Oskar Klein Centre; Stockholm University; Stockholm University; University of Erlangen Nuremberg; Marquette University; Pennsylvania Commonwealth System of Higher Education (PCSHE); Pennsylvania State University; Pennsylvania State University - University Park; Johannes Gutenberg University of Mainz; Massachusetts Institute of Technology (MIT); RWTH Aachen University; South Dakota School Mines &amp; Technology; University of California System; University of California Irvine; University of California System; University of California Berkeley; University System of Ohio; Ohio State University; University System of Ohio; Ohio State University; University System of Ohio; Ohio State University; Ruhr University Bochum; University of Wurzburg; University of Wuppertal; University of Rochester; National Research Nuclear University MEPhI (Moscow Engineering Physics Institute); University System of Maryland; University of Maryland College Park; University of Kansas; United States Department of Energy (DOE); Lawrence Berkeley National Laboratory; Dortmund University of Technology; Sungkyunkwan University (SKKU); Uppsala University; Vrije Universiteit Brussel; University of Geneva; University of Toronto; University of Munster; Pennsylvania Commonwealth System of Higher Education (PCSHE); Pennsylvania State University; Pennsylvania State University - University Park; Michigan State University; University of Delaware; University of Delaware; Ghent University; Humboldt University of Berlin; Southern University System; Southern University &amp; A&amp;M College; University of Wisconsin System; University of Wisconsin Madison; University of Alberta; University of Copenhagen; Niels Bohr Institute; University of Tokyo; Chiba University; Clark Atlanta University; State University of New York (SUNY) System; State University of New York (SUNY) Stony Brook; University of Mons; Drexel University; University of Wisconsin System; Yale University; University of Alabama System; University of Alabama Tuscaloosa; University of Alaska System; University of Alaska Anchorage; University of Oxford; University System of Georgia; Georgia Institute of Technology; University System of Georgia; Georgia Institute of Technology; University of Bonn</t>
  </si>
  <si>
    <t>Aartsen, MG (corresponding author), Univ Adelaide, Dept Phys, Adelaide, SA 5005, Australia.</t>
  </si>
  <si>
    <t>xu, ye/JYO-6282-2024; Reimann, René/AAS-8239-2020; Rott, Carsten/ABB-1304-2021; Katz, Uli F/E-1925-2013; Kauer, Matt/AAY-7581-2020; lu, lu/HII-7530-2022; Williams, David/HKN-3732-2023; Maruyama, Reina H/A-1064-2013; Kopper, Claudio/N-5824-2019; Sandrock, Alexander/AAT-1285-2020; sanchez, juan/GSD-8167-2022; Tjus, Julia/G-8145-2012; Gonzalez, Javier G/G-2520-2017; LU, LU/JEZ-4760-2023; HAJ ISMAIL, ABD AL KARIM/AAD-9991-2019; Anton, Gisela/C-4840-2013; Díaz Vélez, Juan Carlos/AAD-5211-2022; xu, ye/GQO-8972-2022; Strotjohann, Nora Linn/GPX-7122-2022; Kowalski, Marek P/G-5546-2012; Merino, Gonzalo/R-5339-2019; Beatty, James/D-9310-2011; Bose, Debanjan/IQT-3805-2023; Huang, Feifei/AAX-2156-2020; lu, lu/HGA-0894-2022; Bernardini, Elisa/AAA-4810-2020; Sarkar, Subir/GPT-4902-2022; Sarkar, Subir/G-5978-2011; Satalecka, Konstancja/AAT-1309-2020; Taavola, Henric/B-4497-2011; Wiebusch, Christopher H.V./G-6490-2012; DeYoung, Tyce/O-6895-2019; Christov, Asen/S-4508-2018; Resconi, Elisa/I-3874-2016; Rameez, Mohamed/N-1671-2016; Aguilar Sanchez, Juan Antonio/H-4467-2015; Ahlers, Markus/V-8757-2017; Koskinen, David/G-3236-2014</t>
  </si>
  <si>
    <t>Reimann, René/0000-0002-1983-8271; Rott, Carsten/0000-0002-6958-6033; Kauer, Matt/0000-0003-1830-9076; Maruyama, Reina H/0000-0003-2794-512X; Sandrock, Alexander/0000-0002-6779-1172; Tjus, Julia/0000-0002-1748-7367; Gonzalez, Javier G/0000-0001-8746-2846; HAJ ISMAIL, ABD AL KARIM/0000-0003-4941-5154; Anton, Gisela/0000-0003-2039-4724; Díaz Vélez, Juan Carlos/0000-0002-0087-0693; Merino, Gonzalo/0000-0002-9540-5742; Beatty, James/0000-0003-0481-4952; Huang, Feifei/0000-0002-6014-5928; Bernardini, Elisa/0000-0003-3108-1141; Sarkar, Subir/0000-0002-3542-858X; Satalecka, Konstancja/0000-0002-7669-266X; Taavola, Henric/0000-0002-2604-2810; Wiebusch, Christopher H.V./0000-0002-6418-3008; DeYoung, Tyce/0000-0003-4873-3783; Christov, Asen/0000-0001-8121-5860; Resconi, Elisa/0000-0003-0705-2770; Jones, Benjamin/0000-0003-3400-8986; Mohrmann, Lars/0000-0002-9667-8654; Ter-Antonyan, Samvel/0000-0002-5788-1369; Montaruli, Teresa/0000-0001-5014-2152; Kim, Myoungchul/0000-0002-8624-5564; Keivani, Azadeh/0000-0001-7197-2788; Kappes, Alexander/0000-0003-1315-3711; Penek, Omer/0000-0003-3421-1415; Kolanoski, Hermann/0000-0003-0435-2524; Meagher, Kevin/0000-0003-3967-1533; Rameez, Mohamed/0000-0001-5023-5631; Ruhe, Tim/0000-0002-4080-9563; Karg, Timo/0000-0003-3251-2126; Klein, Spencer/0000-0003-2841-6553; van Eijndhoven, Nick/0000-0001-5558-3328; Rhode, Wolfgang/0000-0003-2636-5000; Kunwar, Samridha/0000-0003-4735-6103; Conrad, Janet/0000-0002-6393-0438; Meier, Maximilian/0000-0002-9483-9450; Brottmann Hansen, Eva/0000-0002-5019-1648; Helbing, Klaus/0000-0003-2072-4172; Franckowiak, Anna/0000-0002-5605-2219; Kruger, Christian J./0000-0003-2672-2055; Aguilar Sanchez, Juan Antonio/0000-0003-2252-9514; Blot, Summer/0000-0003-1089-3001; Hill, Gary/0000-0001-8881-6802; Spiczak, Glenn/0000-0002-0030-0519; Lu, Lu/0000-0003-3175-7770; Strotjohann, Nora Linn/0000-0002-4667-6730; Yoshida, Shigeru/0000-0003-2480-5105; De Clercq, Catherine/0000-0001-5266-7059; Stasik, Alexander/0000-0003-1646-2472; Mancina, Sarah/0009-0003-9879-3896; Arguelles-Delgado, Carlos/0000-0003-4186-4182; Desiati, Paolo/0000-0001-9768-1858; Haack, Christian/0000-0003-3932-2448; Ackermann, Markus/0000-0001-8952-588X; Ahlers, Markus/0000-0003-0709-5631; Dembinski, Hans/0000-0003-3337-3850; Stahlberg, Martin/0000-0003-4201-071X; Sutherland, Michael/0000-0001-5204-1873; Schumacher, Lisa Johanna/0000-0001-8945-6722; Athayde Marcondes de Andre, Joao Pedro/0000-0002-8905-1351; De Wasseige, Gwenhael/0000-0002-1010-5100; Pollmann, Anna/0000-0002-2492-043X; Koskinen, David/0000-0002-0514-5917; Strom, Rickard/0000-0002-4496-1626; BenZvi, Segev/0000-0001-5537-4710; Lennarz, Dirk/0000-0002-0614-7359; Bose, Debanjan/0000-0003-1071-5854; Toscano, Simona/0000-0002-1860-2240; Lauber, Frederik/0000-0001-5648-5930; Taboada, Ignacio/0000-0003-3509-3457; /0000-0001-7909-5812; Andeen, Karen/0000-0001-9394-0007; Rongen, Martin/0000-0002-7057-1007; de Vries, Krijn/0000-0002-9842-4068</t>
  </si>
  <si>
    <t>US National Science Foundation-Office of Polar Programs; US National Science Foundation-Physics Division; University of Wisconsin Alumni Research Foundation; Grid Laboratory Of Wisconsin (GLOW) grid infrastructure at the University of Wisconsin-Madison; Open Science Grid (OSG); US Department of Energy; National Energy Research Scientific Computing Center; Louisiana Optical Network Initiative (LONI) grid computing resources; Natural Sciences and Engineering Research Council of Canada; WestGrid; Compute/Calcul Canada; Swedish Research Council; Swedish Polar Research Secretariat; Swedish National Infrastructure for Computing (SNIC); Knut and Alice Wallenberg Foundation, Sweden; German Ministry for Education and Research (BMBF), Germany; Deutsche Forschungsgemeinschaft (DFG), Germany; Helmholtz Alliance for Astroparticle Physics (HAP), Germany; Research Department of Plasmas with Complex Interactions (Bochum), Germany; Scientific Research (FNRS-FWO); FWO Odysseus program; Flanders Institute to encourage scientific and technological research in industry (IWT); Belgian Federal Science Policy Office (Belspo); University of Oxford, United Kingdom; Marsden Fund, New Zealand; Australian Research Council; Japan Society for Promotion of Science (JSPS); Swiss National Science Foundation (SNSF), Switzerland; National Research Foundation of Korea (NRF); Villum Fonden, Denmark; Danish National Research Foundation (DNRF), Denmark; STFC [ST/J000507/1, ST/L000474/1] Funding Source: UKRI; Science and Technology Facilities Council [ST/L000474/1, ST/J000507/1] Funding Source: researchfish; Villum Fonden [00013161] Funding Source: researchfish; Division Of Physics; Direct For Mathematical &amp; Physical Scien [1505594, 1505230, 1403586] Funding Source: National Science Foundation; Division Of Physics; Direct For Mathematical &amp; Physical Scien [1505296] Funding Source: National Science Foundation</t>
  </si>
  <si>
    <t>US National Science Foundation-Office of Polar Programs(National Science Foundation (NSF)); US National Science Foundation-Physics Division(National Science Foundation (NSF)); University of Wisconsin Alumni Research Foundation; Grid Laboratory Of Wisconsin (GLOW) grid infrastructure at the University of Wisconsin-Madison; Open Science Grid (OSG); US Department of Energy(United States Department of Energy (DOE)); National Energy Research Scientific Computing Center; Louisiana Optical Network Initiative (LONI) grid computing resources; Natural Sciences and Engineering Research Council of Canada(Natural Sciences and Engineering Research Council of Canada (NSERC)CGIAR); WestGrid; Compute/Calcul Canada; Swedish Research Council(Swedish Research Council); Swedish Polar Research Secretariat; Swedish National Infrastructure for Computing (SNIC); Knut and Alice Wallenberg Foundation, Sweden(Knut &amp; Alice Wallenberg Foundation); German Ministry for Education and Research (BMBF), Germany(Federal Ministry of Education &amp; Research (BMBF)); Deutsche Forschungsgemeinschaft (DFG), Germany(German Research Foundation (DFG)); Helmholtz Alliance for Astroparticle Physics (HAP), Germany; Research Department of Plasmas with Complex Interactions (Bochum), Germany; Scientific Research (FNRS-FWO)(FWOFonds de la Recherche Scientifique - FNRS); FWO Odysseus program; Flanders Institute to encourage scientific and technological research in industry (IWT)(Institute for the Promotion of Innovation by Science and Technology in Flanders (IWT)); Belgian Federal Science Policy Office (Belspo)(Belgian Federal Science Policy Office); University of Oxford, United Kingdom; Marsden Fund, New Zealand(Royal Society of New ZealandMarsden Fund (NZ)); Australian Research Council(Australian Research Council); Japan Society for Promotion of Science (JSPS)(Ministry of Education, Culture, Sports, Science and Technology, Japan (MEXT)Japan Society for the Promotion of Science); Swiss National Science Foundation (SNSF), Switzerland(Swiss National Science Foundation (SNSF)); National Research Foundation of Korea (NRF)(National Research Foundation of Korea); Villum Fonden, Denmark(Villum Fonden); Danish National Research Foundation (DNRF), Denmark; STFC(UK Research &amp; Innovation (UKRI)Science &amp; Technology Facilities Council (STFC)); Science and Technology Facilities Council(UK Research &amp; Innovation (UKRI)Science &amp; Technology Facilities Council (STFC)); Villum Fonden(Villum Fonden); Division Of Physics; Direct For Mathematical &amp; Physical Scien(National Science Foundation (NSF)NSF - Directorate for Mathematical &amp; Physical Sciences (MPS)); Division Of Physics; Direct For Mathematical &amp; Physical Scien(National Science Foundation (NSF)NSF - Directorate for Mathematical &amp; Physical Sciences (MPS))</t>
  </si>
  <si>
    <t>We acknowledge the support from the following agencies: US National Science Foundation-Office of Polar Programs, US National Science Foundation-Physics Division, University of Wisconsin Alumni Research Foundation, the Grid Laboratory Of Wisconsin (GLOW) grid infrastructure at the University of Wisconsin-Madison, the Open Science Grid (OSG) grid infrastructure; US Department of Energy, and National Energy Research Scientific Computing Center, the Louisiana Optical Network Initiative (LONI) grid computing resources; Natural Sciences and Engineering Research Council of Canada, WestGrid, and Compute/Calcul Canada; Swedish Research Council, Swedish Polar Research Secretariat, Swedish National Infrastructure for Computing (SNIC), and Knut and Alice Wallenberg Foundation, Sweden; German Ministry for Education and Research (BMBF), Deutsche Forschungsgemeinschaft (DFG), Helmholtz Alliance for Astroparticle Physics (HAP), Research Department of Plasmas with Complex Interactions (Bochum), Germany; Fund for Scientific Research (FNRS-FWO), FWO Odysseus program, Flanders Institute to encourage scientific and technological research in industry (IWT), Belgian Federal Science Policy Office (Belspo); University of Oxford, United Kingdom; Marsden Fund, New Zealand; Australian Research Council; Japan Society for Promotion of Science (JSPS); the Swiss National Science Foundation (SNSF), Switzerland; National Research Foundation of Korea (NRF); Villum Fonden, Danish National Research Foundation (DNRF), Denmark.</t>
  </si>
  <si>
    <t>10.3847/0004-637X/830/2/129</t>
  </si>
  <si>
    <t>ET7JJ</t>
  </si>
  <si>
    <t>Green Published, Green Submitted</t>
  </si>
  <si>
    <t>WOS:000400471300001</t>
  </si>
  <si>
    <t>de Mendonça, RRS; Braga, CR; Echer, E; Dal Lago, A; Munakata, K; Kuwabara, T; Kozai, M; Kato, C; Rockenbach, M; Schuch, NJ; Al Jassar, HK; Sharma, MM; Tokumaru, M; Duldig, ML; Humble, JE; Evenson, P; Sabbah, I</t>
  </si>
  <si>
    <t>de Mendonca, R. R. S.; Braga, C. R.; Echer, E.; Dal Lago, A.; Munakata, K.; Kuwabara, T.; Kozai, M.; Kato, C.; Rockenbach, M.; Schuch, N. J.; Al Jassar, H. K.; Sharma, M. M.; Tokumaru, M.; Duldig, M. L.; Humble, J. E.; Evenson, P.; Sabbah, I.</t>
  </si>
  <si>
    <t>THE TEMPERATURE EFFECT IN SECONDARY COSMIC RAYS (MUONS) OBSERVED AT THE GROUND: ANALYSIS OF THE GLOBAL MUON DETECTOR NETWORK DATA</t>
  </si>
  <si>
    <t>atmospheric effects; cosmic rays; solar-terrestrial relations; Sun: general</t>
  </si>
  <si>
    <t>HARD COMPONENT; DEPENDENCE; INTENSITY; RADIATION; PRESSURE</t>
  </si>
  <si>
    <t>The analysis of cosmic ray intensity variation seen by muon detectors at Earth's surface can help us to understand astrophysical, solar, interplanetary and geomagnetic phenomena. However, before comparing cosmic ray intensity variations with extraterrestrial phenomena, it is necessary to take into account atmospheric effects such as the temperature effect. In this work, we analyzed this effect on the Global Muon Detector Network (GMDN), which is composed of four ground-based detectors, two in the northern hemisphere and two in the southern hemisphere. In general, we found a higher temperature influence on detectors located in the northern hemisphere. Besides that, we noticed that the seasonal temperature variation observed at the ground and at the altitude of maximum muon production are in antiphase for all GMDN locations (low-latitude regions). In this way, contrary to what is expected in high-latitude regions, the ground muon intensity decrease occurring during summertime would be related to both parts of the temperature effect (the negative and the positive). We analyzed several methods to describe the temperature effect on cosmic ray intensity. We found that the mass weighted method is the one that best reproduces the seasonal cosmic ray variation observed by the GMDN detectors and allows the highest correlation with long-term variation of the cosmic ray intensity seen by neutron monitors.</t>
  </si>
  <si>
    <t>[de Mendonca, R. R. S.; Braga, C. R.; Echer, E.; Dal Lago, A.; Rockenbach, M.; Schuch, N. J.] Natl Inst Space Res, Space Geophys Div, BR-12227010 Sao Jose Dos Campos, SP, Brazil; [Munakata, K.; Kato, C.] Shinshu Univ, Dept Phys, Matsumoto, Nagano 3908621, Japan; [Kuwabara, T.] Chiba Univ, Grad Sch Sci, Chiba, Chiba 2638522, Japan; [Al Jassar, H. K.] Kuwait Univ, Dept Phys, Kuwait 13060, Kuwait; [Tokumaru, M.] Nagoya Univ, Solar Terr Environm Lab, Nagoya, Aichi 4648601, Japan; [Duldig, M. L.; Humble, J. E.] Univ Tasmania, Sch Phys Sci, Hobart, Tas 7001, Australia; [Evenson, P.] Univ Delaware, Bartol Res Inst, Dept Phys &amp; Astron, Newark, DE 19716 USA; [Kozai, M.] Japan Aerosp Explorat Agcy ISAS JAXA, Inst Space &amp; Astronaut Sci, Sagamihara, Kanagawa 2525210, Japan; [Sabbah, I.] Publ Author Appl Educ &amp; Training, Coll Hlth Sci, Dept Nat Sci, Kuwait 72853, Kuwait</t>
  </si>
  <si>
    <t>Instituto Nacional de Pesquisas Espaciais (INPE); Shinshu University; Kuwait University; Nagoya University; University of Tasmania; University of Delaware; Japan Aerospace Exploration Agency (JAXA); Institute of Space &amp; Astronautical Science (ISAS); Public Authority for Applied Education &amp; Training (PAAET) - Kuwait</t>
  </si>
  <si>
    <t>de Mendonça, RRS (corresponding author), Natl Inst Space Res, Space Geophys Div, BR-12227010 Sao Jose Dos Campos, SP, Brazil.</t>
  </si>
  <si>
    <t>AlJassar, Hala/Y-3030-2019; Mendonça, Rafael/J-6648-2016; Echer, Ezequiel/AFP-7220-2022; Dal Lago, Alisson/H-6511-2017; Rockenbach, Marlos/C-1711-2012; Schuch, Nelson Jorge/K-9730-2015</t>
  </si>
  <si>
    <t>Echer, Ezequiel/0000-0002-8351-6779; /0000-0002-0417-6877; Dal Lago, Alisson/0000-0002-4361-6492; Rockenbach, Marlos/0000-0002-9737-9429; Munakata, Kazuoki/0000-0002-2131-4100; Schuch, Nelson Jorge/0000-0002-7720-6491; AlJassar, Hala/0000-0002-4486-237X; Duldig, Marcus/0000-0001-7463-8267; Humble, John/0000-0002-4698-1671; Braga, Carlos Roberto/0000-0003-1485-9564</t>
  </si>
  <si>
    <t>Institute for Space-Earth Environmental Research (ISEE), Nagoya University; Institute for Cosmic Ray Research (ICRR) of the University of Tokyo; Nagoya University; INPE with the Sao Martinho da Serra muon detector; UFSM with the Sao Martinho da Serra muon detector; Australian Antarctic Division with the Hobart muon detector; Research Administration of Kuwait University [SP01/09]; National Science Foundation [ATM-0000315]; Sao Paulo Research Foundation (FAPESP) [2012/20594-0, 2013/03530-0, 2014/24711-6]; CNPq [304209/2014-7, 302583/2015-7]</t>
  </si>
  <si>
    <t>Institute for Space-Earth Environmental Research (ISEE), Nagoya University; Institute for Cosmic Ray Research (ICRR) of the University of Tokyo; Nagoya University; INPE with the Sao Martinho da Serra muon detector; UFSM with the Sao Martinho da Serra muon detector; Australian Antarctic Division with the Hobart muon detector; Research Administration of Kuwait University; National Science Foundation(National Science Foundation (NSF)); Sao Paulo Research Foundation (FAPESP)(Fundacao de Amparo a Pesquisa do Estado de Sao Paulo (FAPESP)); CNPq(Conselho Nacional de Desenvolvimento Cientifico e Tecnologico (CNPQ))</t>
  </si>
  <si>
    <t>The observations with the GMDN are supported in part by the joint research programs of the Institute for Space-Earth Environmental Research (ISEE), Nagoya University and the Institute for Cosmic Ray Research (ICRR) of the University of Tokyo. The observations are supported by Nagoya University with the Nagoya muon detector, by INPE, and UFSM with the Sao Martinho da Serra muon detector, and by the Australian Antarctic Division with the Hobart muon detector. The Kuwait muon detector is supported by the project SP01/09 of the Research Administration of Kuwait University. Neutron monitors of the Bartol Research Institute are supported by the National Science Foundation grant ATM-0000315. RRSdM acknowledges the Sao Paulo Research Foundation (FAPESP) for grants #2012/20594-0 and #2013/03530-0. CRB acknowledges the Sao Paulo Research Foundation (FAPESP) for grant #2014/24711-6. ADL acknowledges CNPq for grant 304209/2014-7. E.E. acknowledges CNPq for grant 302583/2015-7.</t>
  </si>
  <si>
    <t>10.3847/0004-637X/830/2/88</t>
  </si>
  <si>
    <t>EA1FK</t>
  </si>
  <si>
    <t>WOS:000386337700005</t>
  </si>
  <si>
    <t>Stanek-Tarkowska, J; Wetzel, CE; Noga, T; Ector, L</t>
  </si>
  <si>
    <t>Stanek-Tarkowska, Jadwiga; Wetzel, Carlos E.; Noga, Teresa; Ector, Luc</t>
  </si>
  <si>
    <t>Study of the type material of Navicula egregia Hustedt and descriptions of two new aerial Microcostatus (Bacillariophyta) species from Central Europe</t>
  </si>
  <si>
    <t>PHYTOTAXA</t>
  </si>
  <si>
    <t>Microcostatus; morphology; new taxa; Germany; Poland</t>
  </si>
  <si>
    <t>ANTARCTIC REGION; SP-NOV; DIATOMS; FLORA</t>
  </si>
  <si>
    <t>The genus Microcostatus was described for the first time by Johansen &amp; Sray in 1998. They established a new genus in the family Naviculaceae for Navicula krasskei. Subsequently, Lange-Bertalot proposed the transfer of further species from the genus Navicula to the Microcostatus. Species determination is very difficult using light microscopy since species are small and very similar to each other, and only ultrastructural features allow their placement in the genus. The aim of this paper was to describe morphologically and ecologically two new species of the genus Microcostatus from aerial habitats in Germany and Poland and compare their morphologies with the original gathering of Navicula egregia. Polish material was collected once a month from April to November 2013 at two sampling sites located in cultivated fields. For comparison, German original material from the Hustedt Collection was also observed. During this study, Microcostatus aerophilus sp. nov. and M. edaphicus sp. nov. were described, and M. egregius was also illustrated and discussed in detail. The species mentioned are very similar to each other under light microscopy. They differ slightly in dimension and number of striae. Only SEM observations showed morphological differences, such as the presence of conopeum or pseudoconopeum.</t>
  </si>
  <si>
    <t>[Stanek-Tarkowska, Jadwiga; Noga, Teresa] Univ Rzeszow, Fac Biol &amp; Agr, Dept Soil Studies Environm Chem &amp; Hydrol, Zelwerowicza 8B, PL-35601 Rzeszow, Poland; [Wetzel, Carlos E.; Ector, Luc] LIST, Environm Res &amp; Innovat ERIN Dept, 41 Rue Brill, L-4422 Belvaux, Luxembourg</t>
  </si>
  <si>
    <t>University of Rzeszow; Luxembourg Institute of Science &amp; Technology</t>
  </si>
  <si>
    <t>Noga, T (corresponding author), Univ Rzeszow, Fac Biol &amp; Agr, Dept Soil Studies Environm Chem &amp; Hydrol, Zelwerowicza 8B, PL-35601 Rzeszow, Poland.</t>
  </si>
  <si>
    <t>teresa.noga@interia.pl</t>
  </si>
  <si>
    <t>Stanek-Tarkowska, Jadwiga/ABC-6198-2021; Wetzel, Carlos Eduardo/A-2839-2015</t>
  </si>
  <si>
    <t>Stanek-Tarkowska, Jadwiga/0000-0003-1664-2625; Wetzel, Carlos Eduardo/0000-0001-5330-0494; Noga, Teresa/0000-0002-4864-5620</t>
  </si>
  <si>
    <t>DIATOMS project (LIST-Luxembourg Institute of Science and Technology)</t>
  </si>
  <si>
    <t>Authors wish to thank reviewers for their useful comments and corrections to this paper. Funding for this research was partly provided in the framework of the DIATOMS project (LIST-Luxembourg Institute of Science and Technology).</t>
  </si>
  <si>
    <t>MAGNOLIA PRESS</t>
  </si>
  <si>
    <t>AUCKLAND</t>
  </si>
  <si>
    <t>PO BOX 41383, AUCKLAND, ST LUKES 1030, NEW ZEALAND</t>
  </si>
  <si>
    <t>1179-3155</t>
  </si>
  <si>
    <t>1179-3163</t>
  </si>
  <si>
    <t>Phytotaxa</t>
  </si>
  <si>
    <t>OCT 19</t>
  </si>
  <si>
    <t>10.11646/phytotaxa.280.2.6</t>
  </si>
  <si>
    <t>Plant Sciences</t>
  </si>
  <si>
    <t>ED6WX</t>
  </si>
  <si>
    <t>WOS:000388998600006</t>
  </si>
  <si>
    <t>Tremblin, M; Hermoso, M; Minoletti, F</t>
  </si>
  <si>
    <t>Tremblin, Maxime; Hermoso, Michael; Minoletti, Fabrice</t>
  </si>
  <si>
    <t>Equatorial heat accumulation as a long-term trigger of permanent Antarctic ice sheets during the Cenozoic</t>
  </si>
  <si>
    <t>PROCEEDINGS OF THE NATIONAL ACADEMY OF SCIENCES OF THE UNITED STATES OF AMERICA</t>
  </si>
  <si>
    <t>Eocene-Oligocene climate transition; coccolith-based proxies; Atlantic equatorial SSTs; Cenozoic pCO(2); meridional temperature gradient</t>
  </si>
  <si>
    <t>CARBON-DIOXIDE CONCENTRATIONS; ISOTOPE FRACTIONATION; ATMOSPHERIC CO2; DRAKE PASSAGE; EOCENE; OCEAN; CLIMATE; TEMPERATURE; GLACIATION; OLIGOCENE</t>
  </si>
  <si>
    <t>Growth of the first permanent Antarctic ice sheets at the Eocene-Oligocene Transition (EOT), similar to 33.7 million years ago, indicates a major climate shift within long-term Cenozoic cooling. The driving mechanisms that set the stage for this glaciation event are not well constrained, however, owing to large uncertainties in temperature reconstructions during the Eocene, especially at lower latitudes. To address this deficiency, we used recent developments in coccolith biogeochemistry to reconstruct equatorial Atlantic sea surface temperature (SST) and atmospheric pCO(2) values from pelagic sequences preceding and spanning the EOT. We found significantly more variability in equatorial SSTs than previously reported, with pronounced cooling from the Early to Middle Eocene and subsequent warming during the Late Eocene. Thus, we show that the Antarctic glaciation at the Eocene-Oligocene boundary was preceded by a period of heat accumulation in the low latitudes, likely focused in a progressively contracting South Atlantic gyre, which contributed to cooling high-latitude austral regions. This prominent redistribution of heat corresponds to the emplacement of a strong meridional temperature gradient that typifies icehouse climate conditions. Our equatorial coccolith-derived geochemical record thus highlights an important period of global climatic and oceanic upheaval, which began 4 million years before the EOT and, superimposed on a long-term pCO(2) decline, drove the Earth system toward a glacial tipping point in the Cenozoic.</t>
  </si>
  <si>
    <t>[Tremblin, Maxime; Minoletti, Fabrice] Univ Paris 06, CNRS, Sorbonne Univ, Inst Sci Terre Paris,UMR UPMC CNRS ISTeP 7193, F-75252 Paris 05, France; [Hermoso, Michael] Univ Oxford, Dept Earth Sci, Oxford OX1 3AN, England</t>
  </si>
  <si>
    <t>Sorbonne Universite; Centre National de la Recherche Scientifique (CNRS); University of Oxford</t>
  </si>
  <si>
    <t>Minoletti, F (corresponding author), Univ Paris 06, CNRS, Sorbonne Univ, Inst Sci Terre Paris,UMR UPMC CNRS ISTeP 7193, F-75252 Paris 05, France.</t>
  </si>
  <si>
    <t>Fabrice.Minoletti@upmc.fr</t>
  </si>
  <si>
    <t>Hermoso, Michael/A-1029-2009</t>
  </si>
  <si>
    <t>Hermoso, Michael/0000-0003-1427-1891</t>
  </si>
  <si>
    <t>Centre National de la Recherche Scientifique [SYSTER 884402]; Natural Environment Research Council [NE/H015523/1]; NERC [NE/H015523/1] Funding Source: UKRI; Natural Environment Research Council [NE/H015523/1] Funding Source: researchfish</t>
  </si>
  <si>
    <t>Centre National de la Recherche Scientifique(Centre National de la Recherche Scientifique (CNRS));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</si>
  <si>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The authors thank Nathalie Labourdette for running the mass spectrometer, Omar Boudouma for help on the SEM, and Moh Belkacemi and Amelie Guittet for assistance with coccolith microseparation. We are grateful to Jeremy Young for assistance in coccolith identification. The authors also thank Delphine Desmares, Katie Egan, Tristan Horner, and Ros Rickaby for useful discussions. We acknowledge the critical input of two anonymous reviewers and constructive remarks on the manuscript. This study used samples provided by the ODP. F.M. acknowledges funding by the Centre National de la Recherche Scientifique (Grant SYSTER 884402), and M.H. acknowledges funding by the Natural Environment Research Council (Grant NE/H015523/1).</t>
  </si>
  <si>
    <t>NATL ACAD SCIENCES</t>
  </si>
  <si>
    <t>2101 CONSTITUTION AVE NW, WASHINGTON, DC 20418 USA</t>
  </si>
  <si>
    <t>0027-8424</t>
  </si>
  <si>
    <t>P NATL ACAD SCI USA</t>
  </si>
  <si>
    <t>Proc. Natl. Acad. Sci. U. S. A.</t>
  </si>
  <si>
    <t>OCT 18</t>
  </si>
  <si>
    <t>10.1073/pnas.1608100113</t>
  </si>
  <si>
    <t>DZ1PN</t>
  </si>
  <si>
    <t>Green Submitted, Green Published, Bronze</t>
  </si>
  <si>
    <t>WOS:000385610400057</t>
  </si>
  <si>
    <t>Stenni, B; Scarchilli, C; Masson-Delmotte, V; Schlosser, E; Ciardini, V; Dreossi, G; Grigioni, P; Bonazza, M; Cagnati, A; Karlicek, D; Risi, C; Udisti, R; Valt, M</t>
  </si>
  <si>
    <t>Stenni, Barbara; Scarchilli, Claudio; Masson-Delmotte, Valerie; Schlosser, Elisabeth; Ciardini, Virginia; Dreossi, Giuliano; Grigioni, Paolo; Bonazza, Mattia; Cagnati, Anselmo; Karlicek, Daniele; Risi, Camille; Udisti, Roberto; Valt, Mauro</t>
  </si>
  <si>
    <t>Three-year monitoring of stable isotopes of precipitation at Concordia Station, East Antarctica</t>
  </si>
  <si>
    <t>GENERAL-CIRCULATION MODEL; DEUTERIUM EXCESS SIGNAL; SURFACE SNOW; ICE CORES; DOME-C; NEUMAYER STATION; WATER-VAPOR; ACCUMULATION; VARIABILITY; RATIOS</t>
  </si>
  <si>
    <t>Past temperature reconstructions from Antarctic ice cores require a good quantification and understanding of the relationship between snow isotopic composition and 2m air or inversion (condensation) temperature. Here, we focus on the French-Italian Concordia Station, central East Antarctic plateau, where the European Project for Ice Coring in Antarctica (EPICA) Dome C ice cores were drilled. We provide a multi-year record of daily precipitation types identified from crystal morphologies, daily precipitation amounts and isotopic composition. Our sampling period (2008-2010) encompasses a warmer year (2009, +1.2 degrees C with respect to 2m air temperature long-term average 1996-2010), with larger total precipitation and snowfall amounts (14 and 76% above sampling period average, respectively), and a colder and drier year (2010, -1.8 degrees C, 4% below long-term and sampling period averages, respectively) with larger diamond dust amounts (49% above sampling period average). Relationships between local meteorological data and precipitation isotopic composition are investigated at daily, monthly and inter-annual scale, and for the different types of precipitation. Water stable isotopes are more closely related to 2m air temperature than to inversion temperature at all timescales (e.g. R-2 = 03 and 0.44, respectively for daily values). The slope of the temporal relationship between daily delta O-18 and 2m air temperature is approximately 2 times smaller (0.49 parts per thousand degrees C-1) than the average Antarctic spatial (0.8 parts per thousand degrees C-1) relationship initially used for the interpretation of EPICA Dome C records. In accordance with results from precipitation monitoring at Vostok and Dome F, deuterium excess is anticorrelated with delta O-18 at daily and monthly scales, reaching maximum values in winter. Hoar frost precipitation samples have a specific fingerprint with more depleted delta O-18 (about 5% below average) and higher deuterium excess (about 8% above average) values than other precipitation types. These datasets provide a basis for comparison with shallow ice core records, to investigate post-deposition effects. A preliminary comparison between observations and precipitation from the European Centre for Medium-RangeWeather Forecasts (ECMWF) reanalysis and the simulated water stable isotopes from the Laboratoire de Meteorologie Dynamique Zoom atmospheric general circulation model (LMDZiso) shows that models do correctly capture the amount of precipitation as well as more than 50% of the variance of the observed delta O-18, driven by large-scale weather patterns. Despite a warm bias and an underestimation of the variance in water stable isotopes, LMDZiso correctly captures these relationships between delta O-18, 2m air temperature and deuterium excess. Our dataset is therefore available for further in-depth model evaluation at the synoptic scale.</t>
  </si>
  <si>
    <t>[Stenni, Barbara; Dreossi, Giuliano] Ca Foscari Univ Venice, Dept Environm Sci Informat &amp; Stat, Venice, Italy; [Scarchilli, Claudio; Ciardini, Virginia; Grigioni, Paolo] ENEA, Lab Observat &amp; Analyses Earth &amp; Climate, Rome, Italy; [Masson-Delmotte, Valerie] Univ Paris Saclay, LSCE, CEA CNRS UVSQ IPSL, UMR 8212, Gif Sur Yvette, France; [Schlosser, Elisabeth] Univ Innsbruck, Inst Atmospher &amp; Cryospher Sci, Innsbruck, Austria; [Schlosser, Elisabeth] Austrian Polar Res Inst, Vienna, Austria; [Bonazza, Mattia] Univ Gottingen, Fac Forest Sci &amp; Forest Ecol, Bioclimatol Dept, Gottingen, Germany; [Cagnati, Anselmo; Valt, Mauro] ARPA Ctr Avalanches, Arabba, Italy; [Karlicek, Daniele] Univ Trieste, Dept Math &amp; Geosci, Trieste, Italy; [Risi, Camille] UPMC, CNRS, Inst Pierre Simon Laplace, Lab Meteorol Dynam, Paris, France; [Udisti, Roberto] Univ Florence, Dept Chem Ugo Schiff, Florence, Italy</t>
  </si>
  <si>
    <t>Universita Ca Foscari Venezia; Italian National Agency New Technical Energy &amp; Sustainable Economics Development; Universite Paris Saclay; Universite Paris Cite; Centre National de la Recherche Scientifique (CNRS); CNRS - National Institute for Earth Sciences &amp; Astronomy (INSU); CEA; University of Innsbruck; University of Gottingen; Regional Environmental Protection Agency - Italy; University of Trieste; Sorbonne Universite; Universite Paris Saclay; Centre National de la Recherche Scientifique (CNRS); CNRS - National Institute for Earth Sciences &amp; Astronomy (INSU); Universite Paris Cite; University of Florence</t>
  </si>
  <si>
    <t>Stenni, B (corresponding author), Ca Foscari Univ Venice, Dept Environm Sci Informat &amp; Stat, Venice, Italy.</t>
  </si>
  <si>
    <t>barbara.stenni@unive.it</t>
  </si>
  <si>
    <t>Grigioni, paolo/AAH-5193-2020; Masson-Delmotte, Valerie L/G-1995-2011</t>
  </si>
  <si>
    <t>Masson-Delmotte, Valerie L/0000-0001-8296-381X; Stenni, Barbara/0000-0003-4950-3664; Scarchilli, Claudio/0000-0002-2414-2439</t>
  </si>
  <si>
    <t>Italy by PNRA-MIUR; PNRA-MIUR; NSF [ANT-0944018, ANT-12456663]</t>
  </si>
  <si>
    <t>Italy by PNRA-MIUR; PNRA-MIUR; NSF(National Science Foundation (NSF))</t>
  </si>
  <si>
    <t>The precipitation measurements at Dome C as well as the isotopic analysis have been conducted in the framework of the Concordia Station glaciology and ESF PolarCLIMATE HOLOCLIP projects funded in Italy by PNRA-MIUR. This is a HOLOCIP publication number 28. Calculations, model comparison and analysis have been conducted in the framework of the MALOX and PRE-REC projects, funded by PNRA-MIUR. We appreciate the support of the University of Wisconsin-Madison Automatic Weather Station Program with the Dome C II dataset (NSF grant numbers ANT-0944018 and ANT-12456663) and the support of the IPEV/PNRA Project Routine Meteorological Observation at Station Concordia, www.climantartide.it with the radiosounding data set. We thank all people who were involved in the precipitation sampling in the field, and Daniele Frosini and Laura Genoni for the 2008 and 2009 sampling collection, respectively.</t>
  </si>
  <si>
    <t>OCT 17</t>
  </si>
  <si>
    <t>10.5194/tc-10-2415-2016</t>
  </si>
  <si>
    <t>DY8XK</t>
  </si>
  <si>
    <t>WOS:000385415400001</t>
  </si>
  <si>
    <t>Mathiazakan, P; Shing, SY; Ying, SS; Kek, HK; Tang, MSY; Show, PL; Ooi, CW; Ling, TC</t>
  </si>
  <si>
    <t>Mathiazakan, Preshna; Shing, Seah Yieng; Ying, Sia Sin; Kek, Heng Keng; Tang, Malcolm S. Y.; Show, Pau Loke; Ooi, Chien-Wei; Ling, Tau Chuan</t>
  </si>
  <si>
    <t>Pilot-scale aqueous two-phase floatation for direct recovery of lipase derived from Burkholderia cepacia strain ST8</t>
  </si>
  <si>
    <t>SEPARATION AND PURIFICATION TECHNOLOGY</t>
  </si>
  <si>
    <t>Aqueous two-phase flotation; Lipase; Purification; Alcohol; Salt</t>
  </si>
  <si>
    <t>INDUSTRIAL APPLICATIONS; MICROBIAL LIPASES; PURIFICATION; SOLVENT; SYSTEM; EXTRACTION; SEPARATION; BACILLUS; SALTS</t>
  </si>
  <si>
    <t>The efficient and economical pilot-scale production of lipase is necessary for meeting the growing demand of lipase especially in bioprocessing industry. Aqueous two-phase flotation (ATPF) is a purification technique that can be applied in the recovery and purification of biomolecules. ATPF is based on a combination of aqueous two-phase systems (ATPS) and solvent sublation (SS). In this report lipase was recovered and purified from the fermentation broth of Burkholderia cepacia (B. cepacia) using an alcohol/salt ATPF system on a pilot scale. The working parameters of ATPF, including concentration of crude lipase feedstock, types of alcohol and salt, concentrations of alcohol and salt, volumes of buffer solution and alcohol, were investigated for their effects on the partitioning behavior of lipase in ATPF. ATPF comprised of 1-propanol and ammonium sulphate was successfully established for feasible and cost effective separation of B. cepacia ST8 lipase from liquid fermentation broth. The alcohol/salt ATPF system showed a purification factor of 12.2, a separation efficiency of 93% and a selectivity of 40. Furthermore, a comparison has been made between small-scale and large-scale ATPF production. Our results showed that this novel pilot-scale ATPF has the potential to be applied at industrial scale. (C) 2016 Elsevier B.V. All rights reserved.</t>
  </si>
  <si>
    <t>[Mathiazakan, Preshna; Shing, Seah Yieng; Ying, Sia Sin; Kek, Heng Keng; Show, Pau Loke] Univ Nottingham, Dept Chem &amp; Environm Engn, Fac Engn, Malaysia Campus,Jalan Broga, Semenyih 43500, Selangor Darul, Malaysia; [Tang, Malcolm S. Y.; Ling, Tau Chuan] Univ Malaya, Inst Biol Sci, Fac Sci, Kuala Lumpur 50603, Malaysia; [Tang, Malcolm S. Y.] Univ Malaya, Dept Phys, Low Dimens Mat Res Ctr, Fac Sci, Kuala Lumpur 50603, Malaysia; [Tang, Malcolm S. Y.] Univ Malaya, Natl Antarctic Res Ctr, Kuala Lumpur 50603, Malaysia; [Show, Pau Loke] Univ Nottingham, Food &amp; Pharmaceut Engn Res Grp, Mol Pharming &amp; Bioprod Res Grp, Malaysia Campus,Jalan Broga, Semenyih 43500, Selangor Darul, Malaysia; [Ooi, Chien-Wei] Monash Univ Malaysia, Sch Engn, Chem Engn Discipline &amp; Adv Engn Platform, Jalan Lagoon Selatan, Bandar Sunway 47500, Selangor, Malaysia</t>
  </si>
  <si>
    <t>University of Nottingham Malaysia; Universiti Malaya; Universiti Malaya; Universiti Malaya; University of Nottingham Malaysia; Monash University; Monash University Malaysia</t>
  </si>
  <si>
    <t>Show, PL (corresponding author), Univ Nottingham, Dept Chem &amp; Environm Engn, Fac Engn, Malaysia Campus,Jalan Broga, Semenyih 43500, Selangor Darul, Malaysia.;Tang, MSY (corresponding author), Univ Malaya, Inst Biol Sci, Fac Sci, Kuala Lumpur 50603, Malaysia.;Tang, MSY (corresponding author), Univ Malaya, Dept Phys, Low Dimens Mat Res Ctr, Fac Sci, Kuala Lumpur 50603, Malaysia.;Tang, MSY (corresponding author), Univ Malaya, Natl Antarctic Res Ctr, Kuala Lumpur 50603, Malaysia.;Show, PL (corresponding author), Univ Nottingham, Food &amp; Pharmaceut Engn Res Grp, Mol Pharming &amp; Bioprod Res Grp, Malaysia Campus,Jalan Broga, Semenyih 43500, Selangor Darul, Malaysia.</t>
  </si>
  <si>
    <t>malcolmx_87@siswa.um.edu.my; PauLoke.Show@nottingham.edu.my</t>
  </si>
  <si>
    <t>Ling, Tau Chuan/F-5137-2011; Wei, Ooi Chien/J-4456-2012</t>
  </si>
  <si>
    <t>Ooi, Chien Wei/0000-0003-2656-6398</t>
  </si>
  <si>
    <t>Fundamental Research Grant Scheme [FP005-2013B, FRGS/1/2015/SG05/UNIM/03/1]; Ministry of Science and Technology [MOSTI 02-02-12-SF0256]; Prototype Research Grant Scheme [PRGS/2/2015/SG05/UNIM/03/1]; University of Malaya [FP005-2013B, PG037-2013A, RU022E-2014, RP031B-15AET, PG116-2012B, RU018-2015]</t>
  </si>
  <si>
    <t>Fundamental Research Grant Scheme; Ministry of Science and Technology(Spanish Government); Prototype Research Grant Scheme; University of Malaya(Universiti Malaya)</t>
  </si>
  <si>
    <t>The authors gratefully acknowledge the financial support from Fundamental Research Grant Scheme (FP005-2013B, FRGS/1/2015/SG05/UNIM/03/1), the Ministry of Science and Technology, (MOSTI 02-02-12-SF0256), the Prototype Research Grant Scheme (PRGS/2/2015/SG05/UNIM/03/1), and the University of Malaya (FP005-2013B, PG037-2013A, RU022E-2014, RP031B-15AET, PG116-2012B, RU018-2015).</t>
  </si>
  <si>
    <t>1383-5866</t>
  </si>
  <si>
    <t>1873-3794</t>
  </si>
  <si>
    <t>SEP PURIF TECHNOL</t>
  </si>
  <si>
    <t>Sep. Purif. Technol.</t>
  </si>
  <si>
    <t>10.1016/j.seppur.2016.07.017</t>
  </si>
  <si>
    <t>Engineering, Chemical</t>
  </si>
  <si>
    <t>DW0EI</t>
  </si>
  <si>
    <t>WOS:000383313300026</t>
  </si>
  <si>
    <t>Farmer, GL; Licht, KJ</t>
  </si>
  <si>
    <t>Farmer, G. Lang; Licht, Kathy J.</t>
  </si>
  <si>
    <t>Generation and fate of glacial sediments in the central Transantarctic Mountains based on radiogenic isotopes and implications for reconstructing past ice dynamics</t>
  </si>
  <si>
    <t>QUATERNARY SCIENCE REVIEWS</t>
  </si>
  <si>
    <t>Isotope geochemistry; Glacial sedimentology; Ice dynamics</t>
  </si>
  <si>
    <t>LARGE IGNEOUS PROVINCE; BYRD GLACIER; ROSS EMBAYMENT; ANTARCTICA; PROVENANCE; CONSTRAINTS; SHEET; SEA; SIGNATURE; EVOLUTION</t>
  </si>
  <si>
    <t>The Nd, Sr and Pb isotopic compositions of glacial tills from the Byrd and Nimrod Glaciers in the central Transantarctic Mountains (TAM) in East Antarctica were obtained to assess the sources of detritus transported by these ice masses. Tills from lateral moraines along the entire extent of both glaciers have isotopic compositions consistent with their derivation predominately from erosion of adjacent bedrock. Fine- (&lt;63 mu) and coarser-grained (0.5 mm-2 mm) sediment from these tills have identical isotopic characteristics, indicating that fine-grained detritus is the product of further comminution of coarser sediments. Comparison of present-day till isotopic data to existing data from fine-grained LGM tills in the central Ross Sea confirm that these were deposited from East Antarctic ice that expanded through the TAM and indicates that the LGM sediments are mixtures of detritus eroded along the entire path of ice transiting the TAM. If specific lithologies were preferentially eroded as ice passed through the TAM, it is not clearly evident in the Ross Sea till isotopic compositions; Our data do demonstrate, however, that glacial tills generated from erosion of inboard regions of the mountain belt yield sediment with a larger component of 560 Ma to 600 Ma detrital zircons and lower average epsilon(Nd)(0) values (&lt;-5) than that produced further downstream. As a result, past retreat of ice grounding-lines up the narrow valleys of the TAM resulting in active erosion of inboard region should recognizable in glacial sediments deposited in the Ross Sea and so provide a means to identify times when the East Antarctic ice sheet was smaller than today. This study highlights both the value and necessity of utilizing multiple provenance methods in evaluating glacial erosion and transport when reconstructing past ice sheet dynamics. (C) 2016 Elsevier Ltd. All rights reserved..</t>
  </si>
  <si>
    <t>[Farmer, G. Lang] Univ Colorado Boulder, Dept Geol Sci, Boulder, CO 80309 USA; [Farmer, G. Lang] Univ Colorado Boulder, CIRES, Boulder, CO 80309 USA; [Licht, Kathy J.] Indiana Univ Purdue Univ, Dept Earth Sci, Indianapolis, IN 46202 USA</t>
  </si>
  <si>
    <t>University of Colorado System; University of Colorado Boulder; University of Colorado System; University of Colorado Boulder; Indiana University System; Indiana University-Purdue University Indianapolis</t>
  </si>
  <si>
    <t>Farmer, GL (corresponding author), Univ Colorado Boulder, Dept Geol Sci, Boulder, CO 80309 USA.;Farmer, GL (corresponding author), Univ Colorado Boulder, CIRES, Boulder, CO 80309 USA.</t>
  </si>
  <si>
    <t>farmer@colorado.edu</t>
  </si>
  <si>
    <t>Licht, Kathy/0000-0002-2233-2853</t>
  </si>
  <si>
    <t>National Science Foundation [OPP-0440177, OPP-0440885]</t>
  </si>
  <si>
    <t>National Science Foundation(National Science Foundation (NSF))</t>
  </si>
  <si>
    <t>This material is based upon work supported by the National Science Foundation under Grant No. OPP-0440177 to the University of Colorado and OPP-0440885 to IUPUI. We are grateful to field team members D. Brecke, A. Barth, P. Braddock, and J. Goodge, as well as Crazy Jim Haffey of Ken Borek Air, Ltd. and Raytheon Polar Services. Comments by the journal reviewers resulted in substantial improvements to the manuscript.</t>
  </si>
  <si>
    <t>0277-3791</t>
  </si>
  <si>
    <t>1873-457X</t>
  </si>
  <si>
    <t>QUATERNARY SCI REV</t>
  </si>
  <si>
    <t>Quat. Sci. Rev.</t>
  </si>
  <si>
    <t>OCT 15</t>
  </si>
  <si>
    <t>10.1016/j.quascirev.2016.08.002</t>
  </si>
  <si>
    <t>EK3RV</t>
  </si>
  <si>
    <t>WOS:000393845900007</t>
  </si>
  <si>
    <t>Zhuang, YP; Jin, HY; Li, HL; Chen, JF; Lin, L; Bai, YC; Ji, ZQ; Zhang, Y; Gu, F</t>
  </si>
  <si>
    <t>Zhuang, Yanpei; Jin, Haiyan; Li, Hongliang; Chen, Jianfang; Lin, Ling; Bai, Youcheng; Ji, Zhongqiang; Zhang, Yang; Gu, Fan</t>
  </si>
  <si>
    <t>Pacific inflow control on phytoplankton community in the Eastern Chukchi Shelf during summer</t>
  </si>
  <si>
    <t>CONTINENTAL SHELF RESEARCH</t>
  </si>
  <si>
    <t>Pigments; Phytoplankton community; Nutrients; Alaska Coastal Water; Chukchi Sea</t>
  </si>
  <si>
    <t>BERING STRAIT; CLASS ABUNDANCES; CARBON; SEA; VARIABILITY; CHEMTAX; DYNAMICS; FLUXES</t>
  </si>
  <si>
    <t>Photosynthesis pigments and size-fractionated chlorophyll a were determined during the Chinese CHINARE Arctic cruise in summer 2010, to study the phytoplankton community in response to different Pacific water masses in the Eastern Chukchi Shelf (ECS). In the summer, the phytoplankton biomass was high with large diatoms dominated in the shelf, which might in favor to well-stratified water conditions and adequate nutrient supply of Pacific waters. However, nitrate-poor Alaska Coastal Water (ACW) altered the phytoplankton community structure in the east part of Chukchi shelf, as dinoflagellate and chrysophyte biomass significantly increased. It was shown that in ACW-influenced area, the CM a concentration was an order of magnitude lower (0.41 mu g/dm(3) in averaged) compared to that in the entire ECS, with the community mainly consisting of nano and pico-phytoplankton. The result indicated that the diatom-dominated shelf was greatly impact by the spreading pathway of ACW. Thus, the future enhancement of ACW and subsequent ecological impact need further concern.</t>
  </si>
  <si>
    <t>[Zhuang, Yanpei; Jin, Haiyan; Li, Hongliang; Chen, Jianfang; Bai, Youcheng; Ji, Zhongqiang; Zhang, Yang; Gu, Fan] SOA, Inst Oceanog 2, Lab Marine Ecosyst &amp; Biogeochem, Hangzhou 310012, Zhejiang, Peoples R China; [Jin, Haiyan; Chen, Jianfang] SOA, Inst Oceanog 2, State Key Lab Satellite Ocean Environm Dynam, Hangzhou 310012, Zhejiang, Peoples R China; [Lin, Ling] SOA, Polar Res Inst China, Lab Polar Sci, Shanghai 200136, Peoples R China</t>
  </si>
  <si>
    <t>Polar Research Institute of China</t>
  </si>
  <si>
    <t>Jin, HY (corresponding author), SOA, Inst Oceanog 2, Lab Marine Ecosyst &amp; Biogeochem, Hangzhou 310012, Zhejiang, Peoples R China.</t>
  </si>
  <si>
    <t>jinhaiyan@sio.org.cn</t>
  </si>
  <si>
    <t>National Natural Science Foundation of China [41276198, 41506222]; Scientific Research Fundation of Second Institute of Oceanography, SOA [JG1323]; Chinese Polar Environment Comprehensive Investigation &amp; Assessment Programs [20150304, 20150403]; Sino-German Joint Project of Natural variability of Arctic sea ice and its significance for global climate change and organic carbon cycle; China Scholarship Council [201404180012]</t>
  </si>
  <si>
    <t>National Natural Science Foundation of China(National Natural Science Foundation of China (NSFC)); Scientific Research Fundation of Second Institute of Oceanography, SOA; Chinese Polar Environment Comprehensive Investigation &amp; Assessment Programs; Sino-German Joint Project of Natural variability of Arctic sea ice and its significance for global climate change and organic carbon cycle; China Scholarship Council(China Scholarship Council)</t>
  </si>
  <si>
    <t>We would appreciate the great help from all crews of the 'Xuelong' icebreaker during the 4th Chinese National Arctic Expedition. Thanks also give to the anonymous reviewers for their help in improving the manuscript. The CTD data issued by the Data -sharing Platform of Polar Science (http://www.chinare.org.cn) maintained by Chinese National Arctic &amp; Antarctic Data Center(CN-NADC). This study was supported by the following foundation items: the National Natural Science Foundation of China (41276198 and 41506222); Scientific Research Fundation of Second Institute of Oceanography, SOA (JG1323); Chinese Polar Environment Comprehensive Investigation &amp; Assessment Programs (20150304 and 20150403) and the Sino-German Joint Project of Natural variability of Arctic sea ice and its significance for global climate change and organic carbon cycle. Funding for Haiyan Jin was also from China Scholarship Council Grant 201404180012.</t>
  </si>
  <si>
    <t>0278-4343</t>
  </si>
  <si>
    <t>1873-6955</t>
  </si>
  <si>
    <t>CONT SHELF RES</t>
  </si>
  <si>
    <t>Cont. Shelf Res.</t>
  </si>
  <si>
    <t>10.1016/j.csr.2016.09.010</t>
  </si>
  <si>
    <t>ED3XH</t>
  </si>
  <si>
    <t>WOS:000388781300003</t>
  </si>
  <si>
    <t>Bhattacharya, A; Das, HH; Bell, E; Bhattacharya, A; Chatterjee, N; Saha, L; Dutt, A</t>
  </si>
  <si>
    <t>Bhattacharya, A.; Das, H. H.; Bell, Elizabeth; Bhattacharya, Atreyee; Chatterjee, N.; Saha, L.; Dutt, A.</t>
  </si>
  <si>
    <t>Restoration of Late Neoarchean-Early Cambrian tectonics in the Rengali orogen and its environs (eastern India): The Antarctic connection</t>
  </si>
  <si>
    <t>Rengali orogen (eastern India); Neoarchean to Pan African; Gangpur Schist Belt; Eastern Ghats Granulite Belt; Bastar Craton; ludo-Antarctic correlation</t>
  </si>
  <si>
    <t>PRINCE-CHARLES MOUNTAINS; GHATS MOBILE BELT; WESTERN DHARWAR CRATON; SW TAUERN WINDOW; U-PB AGE; PRYDZ-BAY; BASTAR CRATON; SM-ND; SINGHBHUM CRATON; GRANULITE-FACIES</t>
  </si>
  <si>
    <t>Geological mapping and P-T path reconstructions are combined with monazite chemical age and Secondary Ion Mass Spectrometric (SIMS) U-Pb zircon age determinations to identify crustal domains with distinctive evolutionary histories in the Rengali orogen sandwiched between two Grenvillian-age metamorphic belts, i.e. the Eastern Ghats Granulite Belt (EGGB) in the south, and the amphibolite fades Gangpur Schist Belt (GSB) in the north, which in turn forms a collar along the NW/W margins of the Paleo/Mesoarchean Singhbhum Craton (SC) north of the Bengali orogen. Anatectic gneisses in the orogen core exhibit multi-phase.Neoarchean/Paleoproterozoic deformation, metamorphic P-T histories and juvenile magma emplacement events. The high-grade belt is inferred to be a septum of the Bastar Craton (BC). The flanking supracrustal belt in the orogen dominated by quartz muscovite schists (staurolite, kyanite, garnet pyrophyllite), inter-bedded with poorly-sorted and polymict meta-conglomerate, and meta-ultramafic/amphibolite bands - evolved along P-T paths characterized by sub-greenschist to amphibolite facies peak P-T conditions in closely-spaced samples. The supracrustal rocks and the anatectic gneisses of contrasting metamorphic P-T histories experienced D-1, D-2 and D-3 fabric-forming events, but the high-angle obliquity between the steeply-plunging D-3 folds in the anatectic gneisses and the gently plunging D-3 folds in the supracrustal unit suggests the two lithodemic units were tectonically accreted post-S-2. The supracrustal belt is inferred to be a tectonic melange formed in an accretionary wedge at the tr-Hunction of the Bastar Craton, the Eastern Ghats Granulite Belt and the Singhbhum Craton; the basin closure synchronous with the assembly of EGGB and the Singhbhum Craton-Gangpur Schist belt composite occurred between 510 and 610 Ma. Based on the available evidence across the facing coastlines of the Greater India landmass and the Australo-Antarctic blocks at similar to 500 Ma, it is suggested that the EGGB welded with the Greater India landmass during the Pan African along an accretion zone, of which the Bengali orogen is a part, synchronous with the final assembly of the Gondwanaland. 2016 Elsevier B.V. All rights reserved.</t>
  </si>
  <si>
    <t>[Bhattacharya, A.; Das, H. H.] Indian Inst Technol, Dept Geol &amp; Geophys, Kharagpur 721302, W Bengal, India; [Bell, Elizabeth] Univ Calif Los Angeles, Dept Earth &amp; Space Sci, 595 Charles Young Dr East, Los Angeles, CA 90095 USA; [Bhattacharya, Atreyee] Univ Colorado Boulder, Inst Arctic &amp; Alpine Res INSTAAR, Environm Studies, 4001 Discovery Dr, Boulder, CO 80303 USA; [Chatterjee, N.] MIT, Dept Earth Atmospher &amp; Planetary Sci, 77 Massachusetts Ave, Cambridge, MA 02139 USA; [Saha, L.; Dutt, A.] Indian Inst Technol, Dept Earth Sci, Roorkee 247667, Uttarakhand, India</t>
  </si>
  <si>
    <t>Indian Institute of Technology System (IIT System); Indian Institute of Technology (IIT) - Kharagpur; University of California System; University of California Los Angeles; University of Colorado System; University of Colorado Boulder; Massachusetts Institute of Technology (MIT); Indian Institute of Technology System (IIT System); Indian Institute of Technology (IIT) - Roorkee</t>
  </si>
  <si>
    <t>Bhattacharya, A (corresponding author), Indian Inst Technol, Dept Geol &amp; Geophys, Kharagpur 721302, W Bengal, India.</t>
  </si>
  <si>
    <t>abbhat55@gmail.com</t>
  </si>
  <si>
    <t>Bhattacharya, Avik/AAJ-4404-2020; Dutt, Amrita/AAZ-8165-2021; Chatterjee, Nilanjan/J-3191-2019; Bhattacharya, Avik/AAJ-9710-2021</t>
  </si>
  <si>
    <t>Dutt, Amrita/0000-0001-7248-7389; Chatterjee, Nilanjan/0000-0002-4175-5405; Bhattacharya, Avik/0000-0001-6720-6108</t>
  </si>
  <si>
    <t>EPMA National Facility in the Department of Geology and Geophysics; Indian Institute of Technology, Kharagpur; Indian Institute of technology, Kharagpur through the CPDA</t>
  </si>
  <si>
    <t>The result embodies part of the doctoral dissertation of HHD. The authors profusely thank Prof. Kevin D McKeegan for SIMS analysis of zircon at UCLA. Electron probe microanalyses (EPMA) of major elements in silicate minerals and monazite were performed in the DST (India) funded EPMA National Facility in the Department of Geology and Geophysics, Indian Institute of Technology, Kharagpur. Monazite analysis and chemical age determinations in the Kantilo shear zone samples were performed at the Massachusetts Institute of Technology. X-ray fluorescence analyses for whole rock major elements were performed in the Wadia Institute of Himalayan Geology, Dehradun, India. Saravanan P (Department of Geology and Geophysics, IIT Kharagpur) helped in zircon separation, mounting and polishing. AB acknowledges the financial support provided by the Indian Institute of technology, Kharagpur through the CPDA funding scheme for fieldwork and mineral analyses. On behalf of all authors, AB thanks Prof. Tamer Abu-Alam for inviting to contribute in this special issue. We thank two anonymous reviewers for suggesting ways to improve the manuscript. Editorial Handling by M. Santosh is greatly appreciated.</t>
  </si>
  <si>
    <t>10.1016/j.lithos.2016.06.006</t>
  </si>
  <si>
    <t>DY7QU</t>
  </si>
  <si>
    <t>WOS:000385325200012</t>
  </si>
  <si>
    <t>[Anonymous]</t>
  </si>
  <si>
    <t>Antarctic sea ice may be a source of mercury in Southern Ocean fish and birds</t>
  </si>
  <si>
    <t>MARINE POLLUTION BULLETIN</t>
  </si>
  <si>
    <t>News Item</t>
  </si>
  <si>
    <t>0025-326X</t>
  </si>
  <si>
    <t>1879-3363</t>
  </si>
  <si>
    <t>MAR POLLUT BULL</t>
  </si>
  <si>
    <t>Mar. Pollut. Bull.</t>
  </si>
  <si>
    <t>1-2</t>
  </si>
  <si>
    <t>Environmental Sciences; Marine &amp; Freshwater Biology</t>
  </si>
  <si>
    <t>DY1KO</t>
  </si>
  <si>
    <t>WOS:000384854100006</t>
  </si>
  <si>
    <t>Illuminati, S; Annibaldi, A; Truzzi, C; Scarponi, G</t>
  </si>
  <si>
    <t>Illuminati, S.; Annibaldi, A.; Truzzi, C.; Scarponi, G.</t>
  </si>
  <si>
    <t>Heavy metal distribution in organic and siliceous marine sponge tissues measured by square wave anodic stripping voltammetry</t>
  </si>
  <si>
    <t>Heavy metals; Sponges; Antarctica; Mediterranean Sea; Bioaccumulation</t>
  </si>
  <si>
    <t>HALICHONDRIA-PANICEA PALLAS; ANTARCTIC COASTAL SEAWATER; ENVIRONMENTAL CONTAMINATION; FLORIDA PANHANDLE; ROSS SEA; CADMIUM; CD; ACCUMULATION; LEAD; PB</t>
  </si>
  <si>
    <t>May sponge spicules represent a tank to accumulate heavy metals? In this study we test this hypothesis determining the distribution of Cd, Pb and Cu concentrations between organic and siliceous tissues in Antarctic Demospongia (Sphaerotylus antarcticus, Kirkpatrikia coulmani and Haliclona sp.) and in the Mediterranean species Petrosia ficiformis. Results show that although, in these sponge(s), spicules represent about 80% of the mass content, the accumulation of pollutant is lower in the spicules than in the corresponding organic fraction. The contribution of tissues to the total sponge content of Cd, Pb and Cu is respectively 99%, 82% and 97% for Antarctic sponges and 96%, 95% and 96% for P. ficiformis, similar in polar and temperate organisms. These results pave the way to a better understanding of the role of marine sponges in uptaking heavy metals and to their possible use as monitor of marine ecosystems, recommend by the Water Framework Directive. (C) 2016 Elsevier Ltd. All rights reserved.</t>
  </si>
  <si>
    <t>[Illuminati, S.; Annibaldi, A.; Truzzi, C.; Scarponi, G.] Univ Politecn Marche, Dept Life &amp; Environm Sci, Via Brecce Blanche, I-60131 Ancona, Italy</t>
  </si>
  <si>
    <t>Marche Polytechnic University</t>
  </si>
  <si>
    <t>Annibaldi, A (corresponding author), Univ Politecn Marche, Dept Life &amp; Environm Sci, Via Brecce Blanche, I-60131 Ancona, Italy.</t>
  </si>
  <si>
    <t>a.annibaldi@univpm.it</t>
  </si>
  <si>
    <t>Illuminati, Silvia/GXZ-5038-2022; Illuminati, Silvia/T-7873-2019; Scarponi, Giuseppe/AAQ-6394-2021</t>
  </si>
  <si>
    <t>Illuminati, Silvia/0000-0001-6465-5477; Scarponi, Giuseppe/0000-0003-2932-0596</t>
  </si>
  <si>
    <t>Italian Programma Nazionale di Ricerche in Antartide under the project of Chemical Contamination; Polytechnic University of Marche (Ancona)</t>
  </si>
  <si>
    <t>Financial support from the Italian Programma Nazionale di Ricerche in Antartide under the project of Chemical Contamination and from Polytechnic University of Marche (Ancona) is gratefully acknowledged. The authors are grateful to Prof. C. Cerrano for the spongiological advice and stimulating discussion. Many thanks are due to the technical personnel of ENEA (Ente Nazionale Energia e Ambiente) at Terra Nova Bay, and to the scientists of the 2005-2006 expedition (especially dott. Stefano Schiapparelli) for the sampling activities performed on-site.</t>
  </si>
  <si>
    <t>10.1016/j.marpolbul.2016.06.098</t>
  </si>
  <si>
    <t>WOS:000384854100064</t>
  </si>
  <si>
    <t>Kim, HW; Wang, JY; Lee, JY; Park, AK; Park, H; Jeon, SJ</t>
  </si>
  <si>
    <t>Kim, Han-Woo; Wang, Ji-Yeon; Lee, Ji-Yeon; Park, Ae-Kyung; Park, Hyun; Jeon, Sung-Jong</t>
  </si>
  <si>
    <t>Biochemical and structural characterization of quinoprotein aldose sugar dehydrogenase from Thermus thermophilus HJ6: Mutational analysis of Tyr156 in the substrate-binding site</t>
  </si>
  <si>
    <t>ARCHIVES OF BIOCHEMISTRY AND BIOPHYSICS</t>
  </si>
  <si>
    <t>Thermus thermophilus; Aldose sugar dehydrogenase; Soluble quinoprotein glucose; dehydrogenase; Alcohol oxidation</t>
  </si>
  <si>
    <t>PQQ-GLUCOSE-DEHYDROGENASE; PYRROLOQUINOLINE-QUINONE; ETHANOL DEHYDROGENASE; ALCOHOL-DEHYDROGENASE; PURIFICATION; CLONING; FORMS</t>
  </si>
  <si>
    <t>The gene encoding a quinoprotein aldose sugar dehydrogenase (ASD) from Thermus thermophilus (Tt_ASD) was cloned and sequenced; it comprised 1059 nucleotides encoding a protein containing 352 amino acids that had a predicted molecular mass of 38.9 kDa. The deduced amino acid sequence showed 42.9% and 33.9% identities to the ASD proteins from Pyrobaculum aerophilum and Escherichia coli, respectively. The biochemical properties of Tt_ASD were characterized. The optimum pH for the oxidation of glucose was 7.0-7.5 and the optimum temperature was 70 degrees C. The half-life of heat inactivation for the apoenzyme was about 25 min at 85 degrees C. The enzyme was highly thermostable, and the activity of the pyrroloquinoline quinone-bound holoenzyme was not lost after incubation at 85 degrees C for 100 min. Tt_ASD could oxidize various sugars, including hexoses, pentoses, disaccharides, and polysaccharides, in addition to alcohols. Structural analysis suggested that Tyr156 would be the substrate binding residue. Two mutants, Y156A and Y156K, had impaired activities and affinities for all substrates and completely lost their activities for alcohols. This structural and mutational analysis of Tt_ASD demonstrates the crucial role of Tyr156 in determining substrate specificity. (C) 2016 Elsevier Inc. All rights reserved.</t>
  </si>
  <si>
    <t>[Kim, Han-Woo; Park, Ae-Kyung; Park, Hyun] Korea Univ Sci &amp; Technol, Korea Polar Res Inst KOPRI, Div Life Sci, 26 Songdomirae Ro, Inchon 21990, South Korea; [Kim, Han-Woo; Park, Hyun] Korea Univ Sci &amp; Technol, Dept Polar Sci, 26 Songdomirae Ro, Inchon 21990, South Korea; [Wang, Ji-Yeon; Lee, Ji-Yeon; Jeon, Sung-Jong] Dong Eui Univ, Dept Biotechnol &amp; Bioengn, 176 Eomgwangno, Busan 47340, South Korea; [Jeon, Sung-Jong] Dong Eui Univ, Dept Smart Biohlth, 176 Eomgwangno, Busan 47340, South Korea</t>
  </si>
  <si>
    <t>Korea Polar Research Institute (KOPRI); Dong-Eui University; Dong-Eui University</t>
  </si>
  <si>
    <t>Jeon, SJ (corresponding author), Dong Eui Univ, Dept Biotechnol &amp; Bioengn, 176 Eomgwangno, Busan 47340, South Korea.</t>
  </si>
  <si>
    <t>jeon.sj@deu.ac.kr</t>
  </si>
  <si>
    <t>Park, Hyun/0000-0002-8055-2010</t>
  </si>
  <si>
    <t>Antarctic organisms: Cold Adaptation Mechanisms - Korea Polar Research Institute (KOPRI) [PE16070]</t>
  </si>
  <si>
    <t>Antarctic organisms: Cold Adaptation Mechanisms - Korea Polar Research Institute (KOPRI)</t>
  </si>
  <si>
    <t>This work was supported by the Antarctic organisms: Cold Adaptation Mechanisms and its application grant (PE16070) funded by the Korea Polar Research Institute (KOPRI).</t>
  </si>
  <si>
    <t>0003-9861</t>
  </si>
  <si>
    <t>1096-0384</t>
  </si>
  <si>
    <t>ARCH BIOCHEM BIOPHYS</t>
  </si>
  <si>
    <t>Arch. Biochem. Biophys.</t>
  </si>
  <si>
    <t>10.1016/j.abb.2016.08.022</t>
  </si>
  <si>
    <t>Biochemistry &amp; Molecular Biology; Biophysics</t>
  </si>
  <si>
    <t>DY0JS</t>
  </si>
  <si>
    <t>WOS:000384783700003</t>
  </si>
  <si>
    <t>Paxman, GJG; Watts, AB; Ferraccioli, F; Jordan, TA; Bell, RE; Jamieson, SSR; Finn, CA</t>
  </si>
  <si>
    <t>Paxman, G. J. G.; Watts, A. B.; Ferraccioli, F.; Jordan, T. A.; Bell, R. E.; Jamieson, S. S. R.; Finn, C. A.</t>
  </si>
  <si>
    <t>Erosion-driven uplift in the Gamburtsev Subglacial Mountains of East Antarctica</t>
  </si>
  <si>
    <t>East Antarctica; gravitational admittance; flexure; erosion; landscape evolution; paleotopography</t>
  </si>
  <si>
    <t>PRINCE-CHARLES MOUNTAINS; CENOZOIC LANDSCAPE EVOLUTION; EFFECTIVE ELASTIC THICKNESS; ICE-SHEET; CONTINENTAL LITHOSPHERE; GLACIAL EROSION; LAMBERT GRABEN; TOPOGRAPHY; INCISION; HISTORY</t>
  </si>
  <si>
    <t>The relative roles of climate and tectonics in mountain building have been widely debated. Central to this debate is the process of flexural uplift in response to valley incision. Here we quantify this process in the Gamburtsev Subglacial Mountains, a paradoxical tectonic feature in cratonic East Antarctica. Previous studies indicate that rifting and strike-slip tectonics may have provided a key trigger for the initial uplift of the Gamburtsevs, but the contribution of more recent valley incision remains to be quantified. Inverse spectral (free-air admittance and Bouguer coherence) methods indicate that, unusually for continents, the coherence between free-air gravity anomalies and bedrock topography is high (&gt;0.5) and that the elastic thickness of the lithosphere is anomalously low (&lt;15 km), in contrast to previously reported values of up to similar to 70 km. The isostatic effects of two different styles of erosion are quantified: dendritic fluvial incision overprinted by Alpine-style glacial erosion in the Gamburtsevs and outlet glacier-type selective linear erosion in the Lambert Rift, part of the East Antarctic Rift System. 3D flexural models indicate that valley incision has contributed ca. 500 m of peak uplift in the Gamburtsevs and up to 1.2 km in the Lambert Rift, which is consistent with the present-day elevation of Oligocene-Miocene glaciomarine sediments. Overall, we find that 17-25% of Gamburtsev peak uplift can be explained by erosional unloading. These relatively low values are typical of temperate mountain ranges, suggesting that most of the valley incision in the Gamburtsevs occurred prior to widespread glaciation at 34 Ma. The pre-incision topography of the Gamburtsevs lies at 2-2.5 km above sea-level, confirming that they were a key inception point for the development of the East Antarctic Ice Sheet. Tectonic and/or dynamic processes were therefore responsible for ca. 80% of the elevation of the modern Gamburtsev Subglacial Mountains. (C) 2016 Elsevier B.V. All rights reserved.</t>
  </si>
  <si>
    <t>[Paxman, G. J. G.; Watts, A. B.] Univ Oxford, Dept Earth Sci, South Pk Rd, Oxford OX1 3AN, England; [Paxman, G. J. G.; Jamieson, S. S. R.] Univ Durham, Dept Geog, South Rd, Durham DH1 3LE, England; [Ferraccioli, F.; Jordan, T. A.] British Antarctic Survey, Madingley Rd, Cambridge CB3 0ET, England; [Bell, R. E.] Columbia Univ, Lamont Doherty Earth Observ, Palisades, NY 10964 USA; [Finn, C. A.] US Geol Survey, Box 25046, Denver, CO 80225 USA</t>
  </si>
  <si>
    <t>University of Oxford; Durham University; UK Research &amp; Innovation (UKRI); Natural Environment Research Council (NERC); NERC British Antarctic Survey; Columbia University; United States Department of the Interior; United States Geological Survey</t>
  </si>
  <si>
    <t>Paxman, GJG (corresponding author), Univ Durham, Dept Geog, South Rd, Durham DH1 3LE, England.</t>
  </si>
  <si>
    <t>guyj.paxman@durham.ac.uk</t>
  </si>
  <si>
    <t>Finn, Carol A/HKN-9277-2023; Jamieson, Stewart S.R./B-8330-2013</t>
  </si>
  <si>
    <t>Finn, Carol A/0000-0002-6178-0405; Jamieson, Stewart S.R./0000-0002-9036-2317; Paxman, Guy/0000-0003-1787-7442; Ferraccioli, Fausto/0000-0002-9347-4736</t>
  </si>
  <si>
    <t>Burdett-Coutts Fund; Department of Earth Sciences, University of Oxford; St. Edmund Hall; Bundensanstalt fur Geowissenschaften and Rohstoffe (BGR); NERC [bas0100029] Funding Source: UKRI; Natural Environment Research Council [1653418, bas0100029] Funding Source: researchfish</t>
  </si>
  <si>
    <t>Burdett-Coutts Fund; Department of Earth Sciences, University of Oxford; St. Edmund Hall; Bundensanstalt fur Geowissenschaften and Rohstoffe (BGR); NERC(UK Research &amp; Innovation (UKRI)Natural Environment Research Council (NERC)); Natural Environment Research Council(UK Research &amp; Innovation (UKRI)Natural Environment Research Council (NERC))</t>
  </si>
  <si>
    <t>Support for GJGP was provided by the Burdett-Coutts Fund, Department of Earth Sciences, University of Oxford and by St. Edmund Hall. We thank Doug Wilson and Egidio Armadillo for their constructive criticism and helpful comments, which greatly improved the final manuscript. The landscape evolution model was modified from a MATLAB script kindly provided by Thorsten Becker. The figures were prepared using the Generic Mapping Tools (GMT) software package (Wessel et al., 2013). The authors would like to acknowledge the Bundensanstalt fur Geowissenschaften and Rohstoffe (BGR) for all the support received for the AGAP mission, and in particular Detlef Damaske for his help in planning the airborne geophysical campaign.</t>
  </si>
  <si>
    <t>10.1016/j.epsl.2016.07.040</t>
  </si>
  <si>
    <t>DV5YE</t>
  </si>
  <si>
    <t>WOS:000383005800001</t>
  </si>
  <si>
    <t>Richter, A; Ivins, E; Lange, H; Mendoza, L; Schröder, L; Hormaechea, JL; Casassa, G; Marderwald, E; Fritsche, M; Perdomo, R; Horwath, M; Dietrich, R</t>
  </si>
  <si>
    <t>Richter, A.; Ivins, E.; Lange, H.; Mendoza, L.; Schroeder, L.; Hormaechea, J. L.; Casassa, G.; Marderwald, E.; Fritsche, M.; Perdomo, R.; Horwath, M.; Dietrich, R.</t>
  </si>
  <si>
    <t>Crustal deformation across the Southern Patagonian Icefield observed by GNSS</t>
  </si>
  <si>
    <t>crustal deformation; glacial-isostatic adjustment; GNSS; Patagonia</t>
  </si>
  <si>
    <t>RIDGE SUBDUCTION REGION; ANTARCTIC PENINSULA; ARGENTINA; CHILE; GPS; HOLOCENE; EVOLUTION; HISTORY; MODELS; MOTION</t>
  </si>
  <si>
    <t>Geodetic GNSS observations at 43 sites well distributed over the Southern Patagonian Icefield region yield site velocities with a mean accuracy of 1 mm/a and 6 mm/a for the horizontal and vertical components, respectively. These velocities are analyzed to reveal the magnitudes and patterns of vertical and horizontal present-day crustal deformation as well as their primary driving processes. The observed vertical velocities confirm a rapid uplift, with rates peaking at 41 mmia, causally related to glacial-isostatic adjustment (GIA). They yield now an unambiguous preference between two competing GIA models. Remaining discrepancies between the preferred model and our observations point toward an effective upper mantle viscosity even lower than 1.6 . 10(18) Pa s and effects of lateral rheological heterogeneities. An analysis of the horizontal strain and strain-rate fields reveals some complex superposition, with compression dominating in the west and extension in the east. This deformation field suggests significant contributions from three processes: GIA, a western interseismic tectonic deformation field related to plate subduction, and an extensional strain-rate field related to active Patagonian slab window tectonics. (C) 2016 Elsevier B.V. All rights reserved.</t>
  </si>
  <si>
    <t>[Richter, A.; Lange, H.; Schroeder, L.; Fritsche, M.; Horwath, M.; Dietrich, R.] Tech Univ Dresden, Inst Planetare Geodasie, Dresden, Germany; [Richter, A.; Mendoza, L.; Hormaechea, J. L.; Marderwald, E.; Perdomo, R.] Univ Nacl La Plata, Fac Ciencias Astron &amp; Geofis, La Plata, Buenos Aires, Argentina; [Richter, A.; Mendoza, L.; Hormaechea, J. L.; Marderwald, E.] Consejo Nacl Invest Cient &amp; Tecn, RA-1033 Buenos Aires, DF, Argentina; [Ivins, E.] CALTECH, Jet Prop Lab, Pasadena, CA USA; [Hormaechea, J. L.] Estn Astron Rio Grande, Rio Grande, Argentina; [Casassa, G.] Geoestudios, Santiago, Chile; [Casassa, G.] Univ Magallanes, Punta Arenas, Chile; [Fritsche, M.] GFZ German Res Ctr Geosci, Potsdam, Germany</t>
  </si>
  <si>
    <t>Technische Universitat Dresden; National University of La Plata; Consejo Nacional de Investigaciones Cientificas y Tecnicas (CONICET); National Aeronautics &amp; Space Administration (NASA); NASA Jet Propulsion Laboratory (JPL); California Institute of Technology; Universidad de Magallanes; Helmholtz Association; Helmholtz-Center Potsdam GFZ German Research Center for Geosciences</t>
  </si>
  <si>
    <t>Richter, A (corresponding author), Tech Univ Dresden, Inst Planetare Geodasie, Dresden, Germany.</t>
  </si>
  <si>
    <t>andreas.richter@tu-dresden.de</t>
  </si>
  <si>
    <t>Mendoza, Luciano Pedro Oscar/AAI-9616-2020; Marderwald, Eric/ABD-7188-2020; Richter, Andreas/ABD-6833-2020; Casassa, Gino/AAX-6142-2020; Horwath, Martin/ABH-4320-2020; Ivins, Erik R/C-2416-2011</t>
  </si>
  <si>
    <t>Mendoza, Luciano Pedro Oscar/0000-0002-7577-2799; Marderwald, Eric/0000-0002-2376-8093; Richter, Andreas/0000-0002-7900-4893; Richter, Andreas/0000-0002-8588-9755; Hormaechea, Jose Luis/0000-0003-4533-3282</t>
  </si>
  <si>
    <t>German Research Foundation DFG [RI 2340/1-1, DI 473/40-1]; Jet Propulsion Laboratory, California Institute of Technology, by the Cryosphere Program; Earth Surface and Interior Focus Area as part of GRACE Science; Earth Surface and Interior Focus Area as part of NASA Sea-level Change Teams; administrations of Parque Nacional Los Glaciares; administrations of Parque Nacional Torres del Paine; administrations of DIFROL; administrations of GRACE Science</t>
  </si>
  <si>
    <t>German Research Foundation DFG(German Research Foundation (DFG)); Jet Propulsion Laboratory, California Institute of Technology, by the Cryosphere Program; Earth Surface and Interior Focus Area as part of GRACE Science; Earth Surface and Interior Focus Area as part of NASA Sea-level Change Teams; administrations of Parque Nacional Los Glaciares; administrations of Parque Nacional Torres del Paine; administrations of DIFROL; administrations of GRACE Science</t>
  </si>
  <si>
    <t>The German part of the project was funded by the German Research Foundation DFG (grants RI 2340/1-1, DI 473/40-1). E. Ivins was funded at the Jet Propulsion Laboratory, California Institute of Technology, by the Cryosphere Program, the Earth Surface and Interior Focus Area and as part of both the GRACE Science and NASA Sea-level Change Teams. We thank Gerardo Connon, Luis Barbero, Anja Wendt, Andres Rivera, Rodrigo Traub, Marcelo Arevalo and Hans Silva for their valuable help in the field. We thank the administrations of Parque Nacional Los Glaciares, Parque Nacional Torres del Paine, CONAF and DIFROL for support, advice and permission of our field activities. Logistic support was provided by Prefectura Naval Lago Argentine, Estancia Cristina, Patagonia Expeditions El Chalten, Hosteria Grey and the crews of motor boat Soberania and ferry boat Integracion. We thank two anonymous reviewers and the editor Dr. An Yin for their valuable suggestions, which helped to improve this paper.</t>
  </si>
  <si>
    <t>10.1016/j.epsl.2016.07.042</t>
  </si>
  <si>
    <t>WOS:000383005800020</t>
  </si>
  <si>
    <t>Tsunogae, T; Yang, QY; Santosh, M</t>
  </si>
  <si>
    <t>Tsunogae, Toshiaki; Yang, Qiong-Yan; Santosh, M.</t>
  </si>
  <si>
    <t>Neoarchean-Early Paleoproterozoic and Early Neoproterozoic arc magmatism in the Ltitzow-Holm Complex, East Antarctica: Insights from petrology, geochemistry, zircon U-Pb geochronology and Lu-Hf isotopes</t>
  </si>
  <si>
    <t>Geochemistry; Zircon U-Pb geochronology; Lu-Hf isotopes; Neoarchean; Arc magmatism; Liltzow-Holm Complex</t>
  </si>
  <si>
    <t>PLUS QUARTZ ASSOCIATION; SRI-LANKA; SOUTHERN INDIA; TRACE-ELEMENT; CRUSTAL EVOLUTION; OROGENIC BELT; GONDWANA; GRANULITES; DISCRIMINATION; RUNDVAGSHETTA</t>
  </si>
  <si>
    <t>The Ltitzow-Holm Complex (LHC) of East Antarctica forms part of the Neoproterozoic-Cambrian high-grade metamorphic segment of the East African-Antarctic Orogen. Here we present new petrological, geochemical, and zircon U-Pb and Lu-Hf isotopic data for meta-igneous rocks including chamockite, felsic gneiss, metagabbro, and mafic granulite from the LHC and evaluate the Neoarchean to Early Paleoproterozoic (ca. 2.5 Ga) and Early Neoproterozoic (ca. 1.0 Ga) arc magmatic events. The trace element geochemical signatures reveal a volcanic arc affinity for the charnockites from Sudare Rocks and Vesleknausen and felsic gneiss from Rundvagshetta, suggesting that the protoliths of these rocks were derived from felsic arc magmas. In contrast, metagabbros from Skallevikshalsen and Austhovde, occurring as boudins in metasediments, show non-arc signatures (within plate basalt or mid-oceanic ridge basalt). The upper intercept ages of magmatic zircons in charnockite plotted on concordia diagrams yielded 2508 +/- 14 Ma (Sudare Rocks) and 2490 +/- 18 Ma (Vesleknausen), clearly suggesting a Neoarchean to Early Paleoproterozoic arc magmatic event. A subsequent thermal event during Early Neoproterozoic traced by Pb-206/U-238 age of oscillatory-zoned core of zircon in mafic granulite from Langhovde (973 10 Ma) is consistent with a similar Early Neoproterozoic magmatic event reported from the LHC, suggesting a second stage of arc magmatism. The timing of peak metamorphism has been inferred from Pb-206/U-238 mean ages of structureless zircons in metagabbros from Skallevikshalsen and Austhovde, mafic granulite from Langhovde, and felsic gneiss from RundvAgshetta in the range of 551 +/- 5.4 to 584 +/- 5.0 Ma. Zircon Lu-Hf data of Neoarchean charnockites from Sudare Rocks and Vesleknausen indicate that the protolith magma was sourced from Paleo-to Neoarchean juvenile components mixed with reworked ancient crustal materials. Protolith magmatic rock of the felsic gneiss from Rundvagshetta might have been sourced from reworked Paleoarchean crust. In contrast, metagabbros from Skallevikshalsen and Austhovde were derived from the Paleoproterozoic reworked crust. The results of this study suggest the occurrence of several discrete crustal fragments of ca. 2.5 Ga and ca. 1.0 Ga juvenile magmatic arcs in the southwestern part of the LHC, which amalgamated during the latest Neoproterozoic collisional event related to the final stage of assembly of the Gondwana supercontinent (C) 2016 Elsevier B.V. All rights reserved.</t>
  </si>
  <si>
    <t>[Tsunogae, Toshiaki] Univ Tsukuba, Fac Life &amp; Environm Sci, Ibaraki 3058572, Japan; [Tsunogae, Toshiaki] Univ Johannesburg, Dept Geol, ZA-2006 Auckland Pk, South Africa; [Yang, Qiong-Yan; Santosh, M.] China Univ Geosci Beijing, Sch Earth Sci &amp; Resources, 29 Xueyuan Rd, Beijing 100083, Peoples R China; [Yang, Qiong-Yan; Santosh, M.] Univ Adelaide, Dept Earth Sci, Ctr Tecton Resources &amp; Explorat, Adelaide, SA 5005, Australia</t>
  </si>
  <si>
    <t>University of Tsukuba; University of Johannesburg; China University of Geosciences; University of Adelaide</t>
  </si>
  <si>
    <t>Tsunogae, T (corresponding author), Univ Tsukuba, Fac Life &amp; Environm Sci, Ibaraki 3058572, Japan.</t>
  </si>
  <si>
    <t>tsunogae@geol.tsukuba.ac.jp</t>
  </si>
  <si>
    <t>Santosh, M/B-2563-2012</t>
  </si>
  <si>
    <t>Santosh, M/0000-0002-1073-8477; Tsunogae, Toshiaki/0000-0003-1606-5717</t>
  </si>
  <si>
    <t>Japan Society for the Promotion of Science (JSPS) [22403017, 26302009]; NIPR General Collaboration Projects [26-34]; Foreign Expert funding from China University of Geosciences; Professorial position at the University of Adelaide; Grants-in-Aid for Scientific Research [26302009] Funding Source: KAKEN</t>
  </si>
  <si>
    <t>Japan Society for the Promotion of Science (JSPS)(Ministry of Education, Culture, Sports, Science and Technology, Japan (MEXT)Japan Society for the Promotion of Science); NIPR General Collaboration Projects; Foreign Expert funding from China University of Geosciences; Professorial position at the University of Adelaide; Grants-in-Aid for Scientific Research(Ministry of Education, Culture, Sports, Science and Technology, Japan (MEXT)Japan Society for the Promotion of ScienceGrants-in-Aid for Scientific Research (KAKENHI))</t>
  </si>
  <si>
    <t>We thank Profs. K. Shiraishi, Y. Motoyoshi, T. Kawasaki, Drs. T. Hokada, DJ. Dunldey, T. Miyamoto, M. Kato, and JARE-52 members for their support of geological field work. The field photograph in Fig. 2c was provided by Dr. M. Kato. Partial funding for this project was produced by a Grant-in-Aid for Scientific Research (B) from Japan Society for the Promotion of Science (JSPS) (no. 22403017 and no. 26302009) and by the NIPR General Collaboration Projects (No. 26-34) to Tsunogae. M. Santosh was supported by Foreign Expert funding from China University of Geosciences, and Professorial position at the University of Adelaide. We thank two anonymous reviewers for their constructive comments, and guest editor Dr. Tamer Abu-Alam for his editorial support. We also thank Prof. A.C. Kerr, editor-in-chief of Lithos for his helpful comments and corrections.</t>
  </si>
  <si>
    <t>10.1016/j.lithos.2016.02.010</t>
  </si>
  <si>
    <t>WOS:000385325200014</t>
  </si>
  <si>
    <t>Stelfox, M; Hudgins, J; Sweet, M</t>
  </si>
  <si>
    <t>Stelfox, Martin; Hudgins, Jillian; Sweet, Michael</t>
  </si>
  <si>
    <t>A review of ghost gear entanglement amongst marine mammals, reptiles and elasmobranchs</t>
  </si>
  <si>
    <t>Ghost net; Ghost fishing; Ghost gear; Entanglement; Derelict gear; Megafauna</t>
  </si>
  <si>
    <t>BOTTLE-NOSED DOLPHINS; HAWAIIAN MONK SEAL; TURSIOPS-TRUNCATUS STRANDINGS; TURTLE LEPIDOCHELYS-OLIVACEA; ANTARCTIC FUR SEALS; FISHING GEAR; DEBRIS ACCUMULATION; PLASTIC DEBRIS; SOUTH-CAROLINA; NEW-ZEALAND</t>
  </si>
  <si>
    <t>This review focuses on the effect that ghost gear entanglement has on marine megafauna, namely mammals, reptiles and elasmobranchs. A total of 76 publications and other sources of grey literature were assessed, and these highlighted that over 5400 individuals from 40 different species were recorded as entangled in, or associated with, ghost gear. Interestingly, there appeared to be a deficit of research in the Indian, Southern, and Arctic Oceans; and so, we recommend that future studies focus efforts on these areas. Furthermore, studies assessing the effects of ghost gear on elasmobranchs, manatees, and dugongs should also be prioritised, as these groups were underrepresented in the current literature. The development of regional databases, capable of recording entanglement incidences following a minimum global set of criteria, would be a logical next step in order to analyse the effect that ghost gear has on megafauna populations worldwide. Crown Copyright (C) 2016 Published by Elsevier Ltd. All rights reserved.</t>
  </si>
  <si>
    <t>[Stelfox, Martin; Sweet, Michael] Univ Derby, Coll Life &amp; Nat Sci, Environm Sustainabil Res Ctr, Derby DE22 1GB, England; [Stelfox, Martin; Hudgins, Jillian] Olive Ridley Project, 8 Thornton Ave, Plymouth, Devon, England</t>
  </si>
  <si>
    <t>University of Derby</t>
  </si>
  <si>
    <t>Stelfox, M (corresponding author), Univ Derby, Coll Life &amp; Nat Sci, Environm Sustainabil Res Ctr, Derby DE22 1GB, England.</t>
  </si>
  <si>
    <t>Sweet, Michael/E-9661-2012</t>
  </si>
  <si>
    <t>Sweet, Michael/0000-0003-4983-8333</t>
  </si>
  <si>
    <t>10.1016/j.marpolbul.2016.06.034</t>
  </si>
  <si>
    <t>WOS:000384854100013</t>
  </si>
  <si>
    <t>Voosen, P</t>
  </si>
  <si>
    <t>Voosen, Paul</t>
  </si>
  <si>
    <t>POLAR SCIENCE Joint research push targets fast-melting Antarctic ice</t>
  </si>
  <si>
    <t>OCT 14</t>
  </si>
  <si>
    <t>10.1126/science.354.6309.159</t>
  </si>
  <si>
    <t>EC0UN</t>
  </si>
  <si>
    <t>WOS:000387816500013</t>
  </si>
  <si>
    <t>Eicher, O; Baumgartner, M; Schilt, A; Schmitt, J; Schwander, J; Stocker, TF; Fischer, H</t>
  </si>
  <si>
    <t>Eicher, Olivier; Baumgartner, Matthias; Schilt, Adrian; Schmitt, Jochen; Schwander, Jakob; Stocker, Thomas F.; Fischer, Hubertus</t>
  </si>
  <si>
    <t>Climatic and insolation control on the high-resolution total air content in the NGRIP ice core</t>
  </si>
  <si>
    <t>CLIMATE OF THE PAST</t>
  </si>
  <si>
    <t>ATMOSPHERIC NITROUS-OXIDE; TOTAL GAS CONTENT; TEMPERATURE RECONSTRUCTION; ANTARCTIC ICE; TRAPPED AIR; GREENLAND; RECORD; CHRONOLOGY; DENSIFICATION; PARAMETERS</t>
  </si>
  <si>
    <t>Because the total air content (TAC) of polar ice is directly affected by the atmospheric pressure and temperature, its record in polar ice cores was initially considered as a proxy for past ice sheet elevation changes. However, the Antarctic ice core TAC record is known to also contain an insolation signature, although the underlying physical mechanisms are still a matter of debate. Here we present a high-resolution TAC record over the whole North Greenland Ice Core Project ice core, covering the last 120 000 years, which independently supports an insolation signature in Greenland. Wavelet analysis reveals a clear precession and obliquity signal similar to previous findings on Antarctic TAC, with a different insolation history. In our high-resolution record we also find a decrease of 4-6% (4-5mL kg(-1)) in TAC as a response to Dansgaard-Oeschger events (DO events). TAC starts to decrease in parallel to increasing Greenland surface temperature and slightly before CH4 reacts to the warming but also shows a two-step decline that lasts for several centuries into the warm interstadial. The TAC response is larger than expected considering only changes in air density by local temperature and atmospheric pressure as a driver, pointing to a transient firnification response caused by the accumulation-induced increase in the load on the firn at bubble close-off, while temperature changes deeper in the firn are still small.</t>
  </si>
  <si>
    <t>[Eicher, Olivier] Univ Bern, Inst Phys, Climate &amp; Environm Phys, CH-3012 Bern, Switzerland; Univ Bern, Oeschger Ctr Climate Change Res, CH-3012 Bern, Switzerland</t>
  </si>
  <si>
    <t>University of Bern; University of Bern</t>
  </si>
  <si>
    <t>Eicher, O (corresponding author), Univ Bern, Inst Phys, Climate &amp; Environm Phys, CH-3012 Bern, Switzerland.</t>
  </si>
  <si>
    <t>eicher@climate.unibe.ch</t>
  </si>
  <si>
    <t>Stocker, Thomas F/B-1273-2013; Schmitt, Jochen/B-7893-2009; Fischer, Hubertus/A-1211-2014</t>
  </si>
  <si>
    <t>Schmitt, Jochen/0000-0003-4695-3029; Fischer, Hubertus/0000-0002-2787-4221; Schilt, Adrian/0000-0001-6312-7947</t>
  </si>
  <si>
    <t>Swiss National Science Foundation for ice core research at the University of Bern; Funding Agencies in Denmark (SHF); Belgium (FNRS-CFB); France (IPEV); France (INSU/CNRS); Germany (AWI); Iceland (RannIs); Japan (MEXT); Sweden (SPRS); Switzerland (SNF); United States of America (NSF, Office of Polar Programs)</t>
  </si>
  <si>
    <t>Swiss National Science Foundation for ice core research at the University of Bern(Swiss National Science Foundation (SNSF)); Funding Agencies in Denmark (SHF); Belgium (FNRS-CFB)(Fonds de la Recherche Scientifique - FNRS); France (IPEV); France (INSU/CNRS)(Centre National de la Recherche Scientifique (CNRS)); Germany (AWI); Iceland (RannIs); Japan (MEXT)(Ministry of Education, Culture, Sports, Science and Technology, Japan (MEXT)); Sweden (SPRS); Switzerland (SNF); United States of America (NSF, Office of Polar Programs)</t>
  </si>
  <si>
    <t>Continuing support by the Swiss National Science Foundation for ice core research at the University of Bern is gratefully acknowledged. NGRIP is coordinated by the Department of Geophysics at the Niels Bohr Institute for Astronomy, Physics and Geophysics, University of Copenhagen. It is supported by Funding Agencies in Denmark (SHF), Belgium (FNRS-CFB), France (IPEV and INSU/CNRS), Germany (AWI), Iceland (RannIs), Japan (MEXT), Sweden (SPRS), Switzerland (SNF) and the United States of America (NSF, Office of Polar Programs). We thank J. Freitag for fruitful discussion on firnification and bubble enclosure processes.</t>
  </si>
  <si>
    <t>1814-9324</t>
  </si>
  <si>
    <t>1814-9332</t>
  </si>
  <si>
    <t>CLIM PAST</t>
  </si>
  <si>
    <t>Clim. Past.</t>
  </si>
  <si>
    <t>10.5194/cp-12-1979-2016</t>
  </si>
  <si>
    <t>EA3DU</t>
  </si>
  <si>
    <t>WOS:000386480500001</t>
  </si>
  <si>
    <t>Winton, VHL; Edwards, R; Bowie, AR; Keywood, M; Williams, AG; Chambers, SD; Selleck, PW; Desservettaz, M; Mallet, MD; Paton-Walsh, C</t>
  </si>
  <si>
    <t>Winton, V. Holly L.; Edwards, Ross; Bowie, Andrew R.; Keywood, Melita; Williams, Alistair G.; Chambers, Scott D.; Selleck, Paul W.; Desservettaz, Maximilien; Mallet, Marc D.; Paton-Walsh, Clare</t>
  </si>
  <si>
    <t>Dry season aerosol iron solubility in tropical northern Australia</t>
  </si>
  <si>
    <t>ATMOSPHERIC CHEMISTRY AND PHYSICS</t>
  </si>
  <si>
    <t>BIOMASS BURNING EMISSIONS; NITROGEN-FIXATION; ATMOSPHERIC IRON; BLACK CARBON; BIOAVAILABLE IRON; EASTERN AUSTRALIA; FIRE EMISSIONS; SOUTHERN-OCEAN; DUST DEPOSITS; SAHARAN DUST</t>
  </si>
  <si>
    <t>Marine nitrogen fixation is co-limited by the supply of iron (Fe) and phosphorus in large regions of the global ocean. The deposition of soluble aerosol Fe can initiate nitrogen fixation and trigger toxic algal blooms in nitrate-poor tropical waters. We present dry season soluble Fe data from the Savannah Fires in the Early Dry Season (SAFIRED) campaign in northern Australia that reflects coincident dust and biomass burning sources of soluble aerosol Fe. The mean soluble and total aerosol Fe concentrations were 40 and 500 ng m(-3) respectively. Our results show that while biomass burning species may not be a direct source of soluble Fe, biomass burning may substantially enhance the solubility of mineral dust. We observed fractional Fe solubility up to 12% in mixed aerosols. Thus, Fe in dust may be more soluble in the tropics compared to higher latitudes due to higher concentrations of biomass-burning-derived reactive organic species in the atmosphere. In addition, biomass-burning-derived particles can act as a surface for aerosol Fe to bind during atmospheric transport and subsequently be released to the ocean upon deposition. As the aerosol loading is dominated by biomass burning emissions over the tropical waters in the dry season, additions of biomass-burning-derived soluble Fe could have harmful consequences for initiating nitrogen-fixing toxic algal blooms. Future research is required to quantify biomass-burning-derived particle sources of soluble Fe over tropical waters.</t>
  </si>
  <si>
    <t>[Winton, V. Holly L.; Edwards, Ross] Curtin Univ, Phys &amp; Astron, Perth, WA, Australia; [Bowie, Andrew R.] Univ Tasmania, Antarctic Climate &amp; Ecosyst CRC, Hobart, Tas, Australia; [Bowie, Andrew R.] Univ Tasmania, Inst Marine &amp; Antarctic Studies, Hobart, Tas, Australia; [Keywood, Melita; Selleck, Paul W.] CSIRO, Ocean &amp; Atmosphere, Aspendale, Vic, Australia; [Williams, Alistair G.; Chambers, Scott D.] Australian Nucl Sci &amp; Technol Org, Sydney, NSW, Australia; [Desservettaz, Maximilien; Paton-Walsh, Clare] Univ Wollongong, Ctr Atmospher Chem, Wollongong, NSW, Australia; [Mallet, Marc D.] Queensland Univ Technol, Dept Chem Phys &amp; Mech Engn, Brisbane, Qld, Australia; [Winton, V. Holly L.] British Antarctic Survey, Cambridge, England</t>
  </si>
  <si>
    <t>Curtin University; University of Tasmania; University of Tasmania; Commonwealth Scientific &amp; Industrial Research Organisation (CSIRO); Australian Nuclear Science &amp; Technology Organisation; University of Wollongong; Queensland University of Technology (QUT); UK Research &amp; Innovation (UKRI); Natural Environment Research Council (NERC); NERC British Antarctic Survey</t>
  </si>
  <si>
    <t>Winton, VHL (corresponding author), Curtin Univ, Phys &amp; Astron, Perth, WA, Australia.;Winton, VHL (corresponding author), British Antarctic Survey, Cambridge, England.</t>
  </si>
  <si>
    <t>vicwin@bas.ac.uk</t>
  </si>
  <si>
    <t>, Scott/AAI-6917-2020; Doussin, Jean-Francois/C-5246-2012; Desservettaz, Maximilien/B-2295-2017; Winton, Holly/J-5486-2019; Paton-Walsh, Clare/B-2774-2009; Williams, Alastair/N-3193-2019; keywood, melita/C-5139-2011; Bowie, Andrew/C-8677-2013; Edwards, Ross/B-1433-2013</t>
  </si>
  <si>
    <t>Desservettaz, Maximilien/0000-0002-9550-6674; Winton, Holly/0000-0001-7112-6768; Paton-Walsh, Clare/0000-0003-1156-4138; Williams, Alastair/0000-0002-0568-8487; keywood, melita/0000-0001-9953-6806; Mallet, Marc/0000-0003-2749-8833; Bowie, Andrew/0000-0002-5144-7799; Edwards, Ross/0000-0002-9233-8775; Chambers, Scott/0000-0002-2521-959X</t>
  </si>
  <si>
    <t>Curtin University [RES-SE-DAP-AW-47679-1]; University of Tasmania [B0019024]; Australian Research Council [FT130100037]; Antarctic Climate and Ecosystems Cooperative Research Centre (ARC CRC); CSIRO; ARC LIEF [LE130100029]; Australian Postgraduate Award; Curtin Research Scholarship; CUPSA data collection grant; Curtin University Publication Scholarship; Australian Research Council [LE130100029] Funding Source: Australian Research Council</t>
  </si>
  <si>
    <t>Curtin University; University of Tasmania; Australian Research Council(Australian Research Council); Antarctic Climate and Ecosystems Cooperative Research Centre (ARC CRC)(Australian Research CouncilAustralian GovernmentDepartment of Industry, Innovation and ScienceCooperative Research Centres (CRC) Programme); CSIRO(Commonwealth Scientific &amp; Industrial Research Organisation (CSIRO)); ARC LIEF(Australian Research Council); Australian Postgraduate Award(Australian Government); Curtin Research Scholarship; CUPSA data collection grant; Curtin University Publication Scholarship; Australian Research Council(Australian Research Council)</t>
  </si>
  <si>
    <t>This paper is a contribution to the Savannah Fires in the Early Dry Season (SAFIRED) campaign. This project was funded through Curtin University (RES-SE-DAP-AW-47679-1 to R. Edwards), the University of Tasmania (B0019024 to A. R. Bowie), the Australian Research Council (FT130100037 to A. R. Bowie), the Antarctic Climate and Ecosystems Cooperative Research Centre (ARC CRC), and CSIRO. Access to HR-ICP-MS instrumentation at Curtin University was facilitated through ARC LIEF funding (LE130100029). V. H. L. Winton would like to acknowledge the following scholarship support: an Australian Postgraduate Award, a Curtin Research Scholarship, a CUPSA data collection grant, and a Curtin University Publication Scholarship. Thank you to CSIRO Ocean and Atmosphere for the use of their high-volume aerosol sampler and to the Bureau of Meteorology for the use of their site throughout the campaign. Thank you to the SAFIRED team, in particular to Rob Gillet and Jason Ward for assisting with the change-over of daily aerosol filters and to Brad Atkinson from the Bureau of Meteorology for assistance at Gunn Point. Thank you to Sylvester Werczynski for installing and maintaining the ANSTO radon detector, and for obtaining the back trajectories from HYSPLIT and cataloguing them in a database for use with the Gunn Point data. Thank you to Pier van der Merwe for technical support with aerosol digestions. Wind roses were created using the OpenAir package in R and meteorological data from the Bureau of Meteorology. We thank the three anonymous reviewers for their constructive comments which improved this manuscript.</t>
  </si>
  <si>
    <t>1680-7316</t>
  </si>
  <si>
    <t>1680-7324</t>
  </si>
  <si>
    <t>ATMOS CHEM PHYS</t>
  </si>
  <si>
    <t>Atmos. Chem. Phys.</t>
  </si>
  <si>
    <t>10.5194/acp-16-12829-2016</t>
  </si>
  <si>
    <t>DY8TL</t>
  </si>
  <si>
    <t>Green Submitted, Green Accepted, gold</t>
  </si>
  <si>
    <t>WOS:000385403800003</t>
  </si>
  <si>
    <t>Carnat, G; Brabant, F; Dumont, I; Vancoppenolle, M; Ackley, SF; Fritsen, C; Delille, B; Tison, JL</t>
  </si>
  <si>
    <t>Carnat, Gauthier; Brabant, Frederic; Dumont, Isabelle; Vancoppenolle, Martin; Ackley, Stephen F.; Fritsen, Chris; Delille, Bruno; Tison, Jean-Louis</t>
  </si>
  <si>
    <t>Influence of short-term synoptic events and snow depth on DMS, DMSP, and DMSO dynamics in Antarctic spring sea ice</t>
  </si>
  <si>
    <t>WEDDELL SEA; OCEANIC PHYTOPLANKTON; DIMETHYLSULFIDE DMS; ALGAL PIGMENTS; DIMETHYLSULFONIOPROPIONATE; SALINITY; NUTRIENTS; SUMMER; SULFUR; DIATOM</t>
  </si>
  <si>
    <t>Temporal changes in the concentration profiles of dimethylsulfide (DMS), dimethylsulfoniopropionate (DMSP), and dimethylsulfoxide (DMSO) were measured in pack ice from the Bellingshausen Sea (Antarctica) during the winter-spring transition of 2007. Two sites with contrasting snow and ice thicknesses were sampled, with high concentrations of DMS, DMSP, and DMSO observed at both sites, especially in surface ice. These high concentrations were shown to correspond to the development of a surface ice microalgal community dominated by strong DMSP producers (flagellates and dinoflagel-lates) following flooding of the ice cover. Several short-term synoptic events were observed and shown to influence strongly the dynamics of sea ice DMS, DMSP, and DMSO. In particular, a cold spell event was associated with drastic changes in the environmental conditions for the sea ice microbial communities and to a remarkable increase in the production of dimethylated sulfur compounds at both sites. A good correlation between all dimethylated sulfur compounds, sea ice temperature, and brine salinity suggested that the observed increase was triggered mainly by increased thermal and osmotic stresses on microalgal cells. Atmospheric forcing, by controlling sea ice temperature and hence the connectivity and instability of the brine network, was also shown to constrain the transfer of dimethylated sulfur compounds in the ice towards the ocean via brine drainage. Analysis of the two contrasting sampling sites shed light on the key role played by the snow cover in the sea ice DMS cycle. Thicker snow cover, by insulating the underlying sea ice, reduced the amplitude of environmental changes associated with the cold spell, leading to a weaker physiological response and DMS, DMSP, and DMSO production. Thicker snow also hampered the development of steep gradients in sea ice temperature and brine salinity, thereby decreasing the potential for the release of dimethylated sulfur compounds to the ocean via brine drainage.</t>
  </si>
  <si>
    <t>[Carnat, Gauthier; Brabant, Frederic; Dumont, Isabelle; Tison, Jean-Louis] Univ Libre Bruxelles, Fac Sci, Lab Glaciol, Brussels, Belgium; [Vancoppenolle, Martin] CNRS, Lab Oceanog &amp; Climat, Paris, France; [Ackley, Stephen F.] Univ Texas San Antonio, One UTSA Circle, San Antonio, TX USA; [Fritsen, Chris] Desert Res Inst, Div Earth &amp; Ecosyst Sci, Reno, NV USA; [Delille, Bruno] Univ Liege, MARE, Unite Oceanog Chim, Liege, Belgium</t>
  </si>
  <si>
    <t>Universite Libre de Bruxelles; Sorbonne Universite; Centre National de la Recherche Scientifique (CNRS); University of Texas System; University of Texas at San Antonio (UTSA); Nevada System of Higher Education (NSHE); Desert Research Institute NSHE; University of Liege</t>
  </si>
  <si>
    <t>Carnat, G (corresponding author), Univ Libre Bruxelles, Fac Sci, Lab Glaciol, Brussels, Belgium.</t>
  </si>
  <si>
    <t>gauthier.carnat@gmail.com</t>
  </si>
  <si>
    <t>Vancoppenolle, Martin/B-3750-2011; Vancoppenolle, Martin/AAA-7711-2022; Delille, Bruno/C-3486-2008</t>
  </si>
  <si>
    <t>Vancoppenolle, Martin/0000-0002-7573-8582; Vancoppenolle, Martin/0000-0002-7573-8582; Delille, Bruno/0000-0003-0502-8101</t>
  </si>
  <si>
    <t>Office of Polar Programs (OPP); Directorate For Geosciences [1341717] Funding Source: National Science Foundation</t>
  </si>
  <si>
    <t>Office of Polar Programs (OPP); Directorate For Geosciences(National Science Foundation (NSF)NSF - Directorate for Geosciences (GEO))</t>
  </si>
  <si>
    <t>10.12952/journal.elementa.000135</t>
  </si>
  <si>
    <t>EE9CN</t>
  </si>
  <si>
    <t>WOS:000389923400001</t>
  </si>
  <si>
    <t>Clucas, GV; Younger, JL; Kao, DM; Rogers, AD; Handley, J; Miller, GD; Jouventin, P; Nolan, P; Gharbi, K; Miller, KJ; Hart, T</t>
  </si>
  <si>
    <t>Clucas, Gemma V.; Younger, Jane L.; Kao, Damian; Rogers, Alex D.; Handley, Jonathan; Miller, Gary D.; Jouventin, Pierre; Nolan, Paul; Gharbi, Karim; Miller, Karen J.; Hart, Tom</t>
  </si>
  <si>
    <t>Dispersal in the sub-Antarctic: king penguins show remarkably little population genetic differentiation across their range</t>
  </si>
  <si>
    <t>Southern Ocean; Seabirds; Molecular ecology; Aptenodytes patagonicus; Dispersal; Genetic homogeneity; RAD-Seq; Colonisation; Gene flow</t>
  </si>
  <si>
    <t>APTENODYTES-PATAGONICUS; SOUTHERN-OCEAN; MIGRATION; TOOL; ICE; IDENTIFICATION; EXPLOITATION; TEMPERATURE; VARIABILITY; PERFORMANCE</t>
  </si>
  <si>
    <t>Background: Seabirds are important components of marine ecosystems, both as predators and as indicators of ecological change, being conspicuous and sensitive to changes in prey abundance. To determine whether fluctuations in population sizes are localised or indicative of large-scale ecosystem change, we must first understand population structure and dispersal. King penguins are long-lived seabirds that occupy a niche across the sub-Antarctic zone close to the Polar Front. Colonies have very different histories of exploitation, population recovery, and expansion. Results: We investigated the genetic population structure and patterns of colonisation of king penguins across their current range using a dataset of 5154 unlinked, high-coverage single nucleotide polymorphisms generated via restriction site associated DNA sequencing (RADSeq). Despite breeding at a small number of discrete, geographically separate sites, we find only very slight genetic differentiation among colonies separated by thousands of kilometers of open-ocean, suggesting migration among islands and archipelagos may be common. Our results show that the South Georgia population is slightly differentiated from all other colonies and suggest that the recently founded Falkland Island colony is likely to have been established by migrants from the distant Crozet Islands rather than nearby colonies on South Georgia, possibly as a result of density-dependent processes. Conclusions: The observed subtle differentiation among king penguin colonies must be considered in future conservation planning and monitoring of the species, and demographic models that attempt to forecast extinction risk in response to large-scale climate change must take into account migration. It is possible that migration could buffer king penguins against some of the impacts of climate change where colonies appear panmictic, although it is unlikely to protect them completely given the widespread physical changes projected for their Southern Ocean foraging grounds. Overall, large-scale population genetic studies of marine predators across the Southern Ocean are revealing more interconnection and migration than previously supposed.</t>
  </si>
  <si>
    <t>[Clucas, Gemma V.; Younger, Jane L.; Kao, Damian; Rogers, Alex D.; Hart, Tom] Univ Oxford, Dept Zool, S Parks Rd, Oxford OX1 3PS, England; [Clucas, Gemma V.] Univ Southampton, Ocean &amp; Earth Sci, Waterfront Campus,European Way, Southampton SO14 3ZH, Hants, England; [Younger, Jane L.] Loyola Univ, Dept Biol, 1032 W Sheridan Rd, Chicago, IL 60660 USA; [Handley, Jonathan] Nelson Mandela Metropolitan Univ, Percy Fitzpatrick Inst African Ornithol, Dept Zool, DST NRF Ctr Excellence, South Campus, ZA-6031 Port Elizabeth, South Africa; [Miller, Gary D.] Univ Western Australia, PALM, Microbiol &amp; Immunol, Crawley, WA 6009, Australia; [Jouventin, Pierre] CNRS, Ctr Ecol Fonct &amp; Evolut, UMR 5175, 1919 Route Mende, F-34293 Montpellier 5, France; [Nolan, Paul] The Citadel, Dept Biol, 171 Moultrie St, Charleston, SC 29409 USA; [Gharbi, Karim] Univ Edinburgh, Edinburgh Genom, Ashworth Labs, Edinburgh EH9 3JT, Midlothian, Scotland; [Miller, Karen J.] UWA Oceans Inst, Australian Inst Marine Sci, 35 Stirling Highway, Crawley, WA 6009, Australia</t>
  </si>
  <si>
    <t>University of Oxford; University of Southampton; Loyola University Chicago; National Research Foundation - South Africa; Nelson Mandela University; University of Western Australia;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University of Edinburgh; Australian Institute of Marine Science; University of Western Australia</t>
  </si>
  <si>
    <t>Clucas, GV; Younger, JL (corresponding author), Univ Oxford, Dept Zool, S Parks Rd, Oxford OX1 3PS, England.;Clucas, GV (corresponding author), Univ Southampton, Ocean &amp; Earth Sci, Waterfront Campus,European Way, Southampton SO14 3ZH, Hants, England.;Younger, JL (corresponding author), Loyola Univ, Dept Biol, 1032 W Sheridan Rd, Chicago, IL 60660 USA.</t>
  </si>
  <si>
    <t>gemma.clucas@noc.soton.ac.uk; jyounger@luc.edu</t>
  </si>
  <si>
    <t>Gharbi, Karim/C-5771-2012; Miller, Karen/A-7902-2011; Clucas, Gemma/ABF-9073-2021; Miller, Karen/V-4098-2019</t>
  </si>
  <si>
    <t>Gharbi, Karim/0000-0003-1092-4488; Clucas, Gemma/0000-0002-4305-1719; Younger, Jane/0000-0001-5974-7350; Handley, Jonathan/0000-0001-6468-338X; Rogers, Alex David/0000-0002-4864-2980</t>
  </si>
  <si>
    <t>Australian Antarctic Science Programme [4184]; NERC PhD studentship; Endeavor Research Fellowship; US National Science Foundation [OPP-0128913]; NERC Biomolecular Analysis Facility; Australian Antarctic Division; Tasmanian Parks and Wildlife project [2555]; Charities Advisory Trust; Natural Environment Research Council [NE/L01288X/1, NBAF010003, 1272500] Funding Source: researchfish; NERC [NE/L01288X/1, NBAF010003] Funding Source: UKRI</t>
  </si>
  <si>
    <t>Australian Antarctic Science Programme; NERC PhD studentship(UK Research &amp; Innovation (UKRI)Natural Environment Research Council (NERC)); Endeavor Research Fellowship; US National Science Foundation(National Science Foundation (NSF)); NERC Biomolecular Analysis Facility; Australian Antarctic Division; Tasmanian Parks and Wildlife project; Charities Advisory Trust; Natural Environment Research Council(UK Research &amp; Innovation (UKRI)Natural Environment Research Council (NERC)); NERC(UK Research &amp; Innovation (UKRI)Natural Environment Research Council (NERC))</t>
  </si>
  <si>
    <t>This work was supported by Australian Antarctic Science Programme grant 4184 (JY, KM), a NERC PhD studentship (GC), an Endeavor Research Fellowship (JY), US National Science Foundation OPP-0128913 (PN), the NERC Biomolecular Analysis Facility (GC, JY, TH), the Australian Antarctic Division (GM), Tasmanian Parks and Wildlife project 2555 (GM), the Charities Advisory Trust (TH) and public donations (TH). The funders were not involved in the design of the study, the analysis, or interpretation of the data.</t>
  </si>
  <si>
    <t>BMC</t>
  </si>
  <si>
    <t>CAMPUS, 4 CRINAN ST, LONDON N1 9XW, ENGLAND</t>
  </si>
  <si>
    <t>OCT 13</t>
  </si>
  <si>
    <t>10.1186/s12862-016-0784-z</t>
  </si>
  <si>
    <t>DZ7DZ</t>
  </si>
  <si>
    <t>Green Published, Green Accepted, gold</t>
  </si>
  <si>
    <t>WOS:000386026100001</t>
  </si>
  <si>
    <t>Hewitt, HT; Roberts, MJ; Hyder, P; Graham, T; Rae, J; Belcher, SE; Bourdallé-Badie, R; Copsey, D; Coward, A; Guiavarch, C; Harris, C; Hill, R; Hirschi, JJM; Madec, G; Mizielinski, MS; Neininger, E; New, AL; Rioual, JC; Sinha, B; Storkey, D; Shelly, A; Thorpe, L; Wood, RA</t>
  </si>
  <si>
    <t>Hewitt, Helene T.; Roberts, Malcolm J.; Hyder, Pat; Graham, Tim; Rae, Jamie; Belcher, Stephen E.; Bourdalle-Badie, Romain; Copsey, Dan; Coward, Andrew; Guiavarch, Catherine; Harris, Chris; Hill, Richard; Hirschi, Joel J. -M.; Madec, Gurvan; Mizielinski, Matthew S.; Neininger, Erica; New, Adrian L.; Rioual, Jean-Christophe; Sinha, Bablu; Storkey, David; Shelly, Ann; Thorpe, Livia; Wood, Richard A.</t>
  </si>
  <si>
    <t>The impact of resolving the Rossby radius at mid-latitudes in the ocean: results from a high-resolution version of the Met Office GC2 coupled model</t>
  </si>
  <si>
    <t>GEOSCIENTIFIC MODEL DEVELOPMENT</t>
  </si>
  <si>
    <t>ANTARCTIC CIRCUMPOLAR CURRENT; FRESH-WATER TRANSPORTS; SOUTHERN-OCEAN; CLIMATE MODEL; HEAT UPTAKE; VARIABILITY; CIRCULATION; SIMULATION; PREDICTIONS; MECHANISMS</t>
  </si>
  <si>
    <t>There is mounting evidence that resolving mesoscale eddies and western boundary currents as well as topographically controlled flows can play an important role in air-sea interaction associated with vertical and lateral transports of heat and salt. Here we describe the development of the Met Office Global Coupled Model version 2 (GC2) with increased resolution relative to the standard model: the ocean resolution is increased from 1/4 to 1/12 degrees (28 to 9 km at the Equator), the atmosphere resolution increased from 60 km (N216) to 25 km (N512) and the coupling period reduced from 3 hourly to hourly. The technical developments that were required to build a version of the model at higher resolution are described as well as results from a 20-year simulation. The results demonstrate the key role played by the enhanced resolution of the ocean model: reduced sea surface temperature (SST) biases, improved ocean heat transports, deeper and stronger overturning circulation and a stronger Antarctic Circumpolar Current. Our results suggest that the improvements seen here require high resolution in both atmosphere and ocean components as well as high-frequency coupling. These results add to the body of evidence suggesting that ocean resolution is an important consideration when developing coupled models for weather and climate applications.</t>
  </si>
  <si>
    <t>[Hewitt, Helene T.; Roberts, Malcolm J.; Hyder, Pat; Graham, Tim; Rae, Jamie; Belcher, Stephen E.; Copsey, Dan; Guiavarch, Catherine; Harris, Chris; Hill, Richard; Mizielinski, Matthew S.; Neininger, Erica; Rioual, Jean-Christophe; Storkey, David; Shelly, Ann; Thorpe, Livia; Wood, Richard A.] Met Off, Exeter, Devon, England; [Bourdalle-Badie, Romain] Mercator Ocean, Toulouse, France; [Coward, Andrew; Hirschi, Joel J. -M.; Madec, Gurvan; New, Adrian L.; Sinha, Bablu] Natl Oceanog Ctr, Southampton, Hants, England; [Madec, Gurvan] IPSL, Paris, France; [Shelly, Ann] City Financial Investment Co Ltd, Cumulus, London EC4R 1EB, England</t>
  </si>
  <si>
    <t>Met Office - UK; NERC National Oceanography Centre; Universite Paris Cite</t>
  </si>
  <si>
    <t>Hewitt, HT (corresponding author), Met Off, Exeter, Devon, England.</t>
  </si>
  <si>
    <t>helene.hewitt@metoffice.gov.uk</t>
  </si>
  <si>
    <t>Guiavarc'h, Catherine/A-2505-2013; Hirschi, Joel/IAR-8942-2023; Belcher, Stephen/G-2911-2011; Harris, Chris/H-8720-2012; New, Adrian/JVZ-4824-2024; Bourdallé-Badie, Romain/HSH-9424-2023; Wood, Richard/HKW-7781-2023; madec, gurvan/E-7825-2010</t>
  </si>
  <si>
    <t>Harris, Chris/0000-0003-0340-6674; Bourdallé-Badie, Romain/0000-0002-8742-3289; madec, gurvan/0000-0002-6447-4198; Hewitt, Helene/0000-0001-7432-6001; New, Adrian/0000-0002-3159-8872</t>
  </si>
  <si>
    <t>Joint DECC/Defra Met Office Hadley Centre Climate Programme [GA01101]; NERC; EU FP7 IS-ENES2 project; Natural Environment Research Council [noc010010] Funding Source: researchfish; NERC [noc010010] Funding Source: UKRI</t>
  </si>
  <si>
    <t>Joint DECC/Defra Met Office Hadley Centre Climate Programme; NERC(UK Research &amp; Innovation (UKRI)Natural Environment Research Council (NERC)); EU FP7 IS-ENES2 project(European Union (EU)); Natural Environment Research Council(UK Research &amp; Innovation (UKRI)Natural Environment Research Council (NERC)); NERC(UK Research &amp; Innovation (UKRI)Natural Environment Research Council (NERC))</t>
  </si>
  <si>
    <t>We thank the editor and the two reviewers (Stephen Griffies and Andy Hogg) for their constructive comments. Matt Martin provided useful input on data assimilation for ORCA12. This work was primarily supported by the Joint DECC/Defra Met Office Hadley Centre Climate Programme (GA01101). Part of the work was undertaken with National Capability funding from NERC for ocean modelling. We acknowledge use of the MONSooN system, a collaborative facility supplied under the Met Office-NERC Joint Weather and Climate Research Programme (JWCRP). Malcolm J. Roberts acknowledges support from the EU FP7 IS-ENES2 project for work on ESMF and regridding tools. We acknowledge the considerable effort on development and evaluation of ORCA12 by the DRAKKAR community. Helene T. Hewitt thanks Immy Hewitt.</t>
  </si>
  <si>
    <t>1991-959X</t>
  </si>
  <si>
    <t>1991-9603</t>
  </si>
  <si>
    <t>GEOSCI MODEL DEV</t>
  </si>
  <si>
    <t>Geosci. Model Dev.</t>
  </si>
  <si>
    <t>10.5194/gmd-9-3655-2016</t>
  </si>
  <si>
    <t>DY8OD</t>
  </si>
  <si>
    <t>WOS:000385388800002</t>
  </si>
  <si>
    <t>Jokat, W; Herter, U</t>
  </si>
  <si>
    <t>Jokat, Wilfried; Herter, Ulrich</t>
  </si>
  <si>
    <t>Jurassic failed rift system below the Filchner-Ronne-Shelf, Antarctica: New evidence from geophysical data</t>
  </si>
  <si>
    <t>TECTONOPHYSICS</t>
  </si>
  <si>
    <t>Filchner-Ronne-Shelf; Failed rift; Sedimentary basin; Ray tracing; Deep seismic sounding</t>
  </si>
  <si>
    <t>WEDDELL SEA EMBAYMENT; CRUSTAL STRUCTURE; CONTINENTAL-MARGIN; GONDWANA BREAKUP; PENINSULA; GRAVITY; FLOOR</t>
  </si>
  <si>
    <t>During the austral summer of 1994/95, reasonable ice conditions in the Weddell Sea allowed the acquisition of new high quality seismic refraction data parallel to the Filchner-Ronne Ice Shelf (FRS), Antarctica. Although pack ice conditions resulted in some data gaps, the final velocity-depth/2D-density models cover the entire FRS in E-W direction using all available deep seismic data/picks from this remote area. The velocity-depth model shows a sedimentary basin with a thickness up to 12 km and a large velocity inversion in the lowermost sedimentary unit. The crustal thickness reaches a maximum of 40 km along the basin's margins in the Antarctic Peninsula and East Antarctica. In the central shelf area, numerous interfering seismic phases occur from the crust mantle boundary at decreasing distances indicating a thinning of the crust. Here, the modelled velocities and densities reveal a thickness of 20 km for the igneous crust. This corridor of overthickened oceanic or dose to oceanic crust is 160 km wide. The corridor is characterized by weak, but in general continuous magnetic anomalies, which we interpret as isochrons developed during the rifting or the initial formation of oceanic crust. If the crustal composition represents an old stripe of oceanic crust, a minimum estimate for the early formation of the oceanic crust is 145/148 Ma (Late Jurassic). However, based on the velocity of rift propagation during the initial opening of the adjacent Weddell Sea the oceanic crust is likely to have formed around 160 Ma. The onset of rifting and development of a thick igneous crust can be related to stresses developed between the interior and the southwestern paleo-Pacific subduction margin of the fragmenting Gondwana supercontinent in combination with additional melt supply from a deeper mantle source that arrived and spread in the period 183-155 Ma. (C) 2016 Elsevier B.V. All rights reserved.</t>
  </si>
  <si>
    <t>[Jokat, Wilfried; Herter, Ulrich] Alfred Wegener Inst Polar &amp; Marine Res AWI, Bremerhaven, Germany; [Herter, Ulrich] Karlsruhe Inst Technol, Inst Geophys, Karlsruhe, Germany; [Jokat, Wilfried] Univ Bremen, Dept Geosci, Bremen, Germany</t>
  </si>
  <si>
    <t>Helmholtz Association; Alfred Wegener Institute, Helmholtz Centre for Polar &amp; Marine Research; Helmholtz Association; Karlsruhe Institute of Technology; University of Bremen</t>
  </si>
  <si>
    <t>Jokat, W (corresponding author), Alfred Wegener Inst Polar &amp; Marine Res AWI, Bremerhaven, Germany.;Jokat, W (corresponding author), Univ Bremen, Dept Geosci, Bremen, Germany.</t>
  </si>
  <si>
    <t>Wilfried.Jokat@awi.de</t>
  </si>
  <si>
    <t>Jokat, Wilfried/0000-0002-7793-5854</t>
  </si>
  <si>
    <t>0040-1951</t>
  </si>
  <si>
    <t>1879-3266</t>
  </si>
  <si>
    <t>Tectonophysics</t>
  </si>
  <si>
    <t>OCT 12</t>
  </si>
  <si>
    <t>10.1016/j.tecto.2016.09.018</t>
  </si>
  <si>
    <t>EB6VU</t>
  </si>
  <si>
    <t>WOS:000387524500006</t>
  </si>
  <si>
    <t>Servetto, N; Sahade, R</t>
  </si>
  <si>
    <t>Servetto, Natalia; Sahade, Ricardo</t>
  </si>
  <si>
    <t>Reproductive Seasonality of the Antarctic Sea Pen Malacobelemnon daytoni (Octocorallia, Pennatulacea, Kophobelemnidae)</t>
  </si>
  <si>
    <t>ECHINOID STERECHINUS-NEUMAYERI; STAR ODONTASTER-VALIDUS; SEXUAL REPRODUCTION; GAMETOGENIC ECOLOGY; LARVAL DEVELOPMENT; ATLANTIC-OCEAN; WEDDELL SEA; POTTER COVE; WEST-COAST; ANTHOZOA</t>
  </si>
  <si>
    <t>The pennatulid Malacobelemnon daytoni is one of the dominant species in Potter Cove, Antarctica. Its abundance and range of distribution have increased in recent years probably related to climate change mediated alterations of environmental factors. This work is the second part of a study dealing on the reproductive ecology of Malacobelemnon daytoni, and aims to assess its reproductive seasonality over a two-year period. Sampling was carried out every month during 2009-2010 and samples were examined by histological analysis. Gametogenesis exhibited a seasonal pattern evidenced by the maturity stage index (MSI) and the number of mature oocytes and cysts throughout the year. Immature oocytes and spermatocytes were present year-round, but maturation was seasonal and it seems that more than one spawning per year was possible. These spawnings could be more linked with suspended particulate matter (SPM) (probably available via resuspension events) than with primary production pulses. This idea reinforces the hypothesis that winter time is not so stressful, in energy terms, in Potter Cove, which seems to depend on energy sources other than local phytoplankton production. There was not a strong inter-annual variability between the reproductive characteristics analyzed in 2009 and 2010; the only variable different was the size of oocytes (higher in 2009), suggesting different energy availability in each year, related with a higher concentration of SPM in 2009 (although it was not significant). Malacobelemnon daytoni could be the first reported Antarctic suspension feeder species that presents a reproductive cycle with more than a spawning event per year. This strategy would help to explain the success of this species in the Potter Cove ecosystem and in high ice-impacted areas.</t>
  </si>
  <si>
    <t>[Servetto, Natalia; Sahade, Ricardo] Univ Nacl Cordoba, CONICET, Fac Ciencias Exactas Fis &amp; Nat, Inst Diversidad &amp; Ecol Anim,Marine Ecol Lab, Ave Velez Sarsfield 299, RA-5000 Cordoba, Argentina</t>
  </si>
  <si>
    <t>National University of Cordoba; Consejo Nacional de Investigaciones Cientificas y Tecnicas (CONICET)</t>
  </si>
  <si>
    <t>Servetto, N (corresponding author), Univ Nacl Cordoba, CONICET, Fac Ciencias Exactas Fis &amp; Nat, Inst Diversidad &amp; Ecol Anim,Marine Ecol Lab, Ave Velez Sarsfield 299, RA-5000 Cordoba, Argentina.</t>
  </si>
  <si>
    <t>biol.nataliaservetto@gmail.com</t>
  </si>
  <si>
    <t>Servetto, Natalia/0000-0002-3713-9116; Sahade, Ricardo/0000-0001-5650-8135</t>
  </si>
  <si>
    <t>Marie Curie Actions - IMCONet IRSES; ANPCyT-DNA [PICTO 2010-00119]; PICTO Antartida (ANPCyT-DNA) [36326]</t>
  </si>
  <si>
    <t>Marie Curie Actions - IMCONet IRSES; ANPCyT-DNA; PICTO Antartida (ANPCyT-DNA)</t>
  </si>
  <si>
    <t>This work was funded by Marie Curie Actions - IMCONet IRSES (2013-2016), for finances exchange of European and Latin American scientists in I &amp; D centers (RS) (http://www.imconet.eu/); PICTO 2010-00119 (ANPCyT-DNA) (2012-2015) (The process of climate change in Antarctica: its impact on a coastal ecosystem) (RS) (http://www.agencia.mincyt.gob.ar); and PICTO Antartida Ref 36326 (ANPCyT-DNA) (2008-2010) (Antarctic benthic communities: an interdisciplinary approach to analyze the possible impact of global warming) (RS) (http://www.agencia.mincyt.gob.ar/).</t>
  </si>
  <si>
    <t>e0163152</t>
  </si>
  <si>
    <t>10.1371/journal.pone.0163152</t>
  </si>
  <si>
    <t>DZ0CQ</t>
  </si>
  <si>
    <t>Green Submitted, Green Published, gold</t>
  </si>
  <si>
    <t>WOS:000385505300010</t>
  </si>
  <si>
    <t>Heinze, C; Hoogakker, BAA; Winguth, A</t>
  </si>
  <si>
    <t>Heinze, Christoph; Hoogakker, Babette A. A.; Winguth, Arne</t>
  </si>
  <si>
    <t>Ocean carbon cycling during the past 130 000 years - a pilot study on inverse palaeoclimate record modelling</t>
  </si>
  <si>
    <t>LAST GLACIAL MAXIMUM; CENTRAL EQUATORIAL PACIFIC; ANTARCTIC CIRCUMPOLAR CURRENT; OXYGEN-ISOTOPE CONSTRAINTS; BENGUELA UPWELLING SYSTEM; DEEP-WATER CIRCULATION; SOUTH-ATLANTIC SECTOR; VOSTOK ICE CORE; NORTH-ATLANTIC; ATMOSPHERIC CO2</t>
  </si>
  <si>
    <t>What role did changes in marine carbon cycle processes and calcareous organisms play in glacial-interglacial variation in atmospheric pCO(2)? In order to answer this question, we explore results from an ocean biogeochemical general circulation model. We attempt to systematically reconcile model results with time-dependent sediment core data from the observations. For this purpose, we fit simulated sensitivities of oceanic tracer concentrations to changes in governing carbon cycle parameters to measured sediment core data. We assume that the time variation in the governing carbon cycle parameters follows the general pattern of the glacial-interglacial deuterium anomaly. Our analysis provides an independent estimate of a maximum mean sea surface temperature drawdown of about 5 degrees C and a maximum outgassing of the land biosphere by about 430 Pg C at the Last Glacial Maximum as compared to pre-industrial times. The overall fit of modelled palaeoclimate tracers to observations, however, remains quite weak, indicating the potential of more detailed modelling studies to fully exploit the information stored in the palaeoclimatic archive. This study confirms the hypothesis that a decline in ocean temperature and a more efficient biological carbon pump in combination with changes in ocean circulation are the key factors for explaining the glacial CO2 drawdown. The analysis suggests that potential changes in the export rain ratio POC : CaCO3 may not have a substantial imprint on the palaeoclimatic archive. The use of the last glacial as an inverted analogue to potential ocean acidification impacts thus may be quite limited. A strong decrease in CaCO3 export production could potentially contribute to the glacial CO2 decline in the atmosphere, but this remains hypothetical.</t>
  </si>
  <si>
    <t>[Heinze, Christoph] Univ Bergen, Geophys Inst, Allagaten 70, N-5007 Bergen, Norway; [Heinze, Christoph] Uni Res Climate, Nygardsgaten 112, N-5008 Bergen, Norway; [Heinze, Christoph] Bjerknes Ctr Climate Res, Bergen, Norway; [Hoogakker, Babette A. A.] Univ Oxford, Dept Earth Sci, South Parks Rd, Oxford OX1 3AN, England; [Winguth, Arne] Univ Texas Arlington, Dept Earth &amp; Environm Sci, POB 19049, Arlington, TX 76019 USA</t>
  </si>
  <si>
    <t>University of Bergen; Bjerknes Centre for Climate Research; University of Oxford; University of Texas System; University of Texas Arlington</t>
  </si>
  <si>
    <t>Heinze, C (corresponding author), Univ Bergen, Geophys Inst, Allagaten 70, N-5007 Bergen, Norway.;Heinze, C (corresponding author), Uni Res Climate, Nygardsgaten 112, N-5008 Bergen, Norway.;Heinze, C (corresponding author), Bjerknes Ctr Climate Res, Bergen, Norway.</t>
  </si>
  <si>
    <t>christoph.heinze@uib.no</t>
  </si>
  <si>
    <t>Heinze, Christoph/0000-0003-4074-8390; Hoogakker, Babette/0000-0002-8171-9679</t>
  </si>
  <si>
    <t>University of Bergen through European Project on Ocean Acidification (EPOCA) from the European Community [211384]; Research Council of Norway [229771]; project Overturning circulation and its implications for global carbon cycle in coupled models (ORGANIC) [239965]; Norwegian Metacenter for Computational Science (NOTUR) [NN2980K]; NorStore [NS2980k]; [NSF-OCE 1536630]; [NSF-EAR 1636629]; Natural Environment Research Council [NE/I020563/1] Funding Source: researchfish</t>
  </si>
  <si>
    <t>University of Bergen through European Project on Ocean Acidification (EPOCA) from the European Community; Research Council of Norway(Research Council of Norway); project Overturning circulation and its implications for global carbon cycle in coupled models (ORGANIC); Norwegian Metacenter for Computational Science (NOTUR); NorStore; ; ; Natural Environment Research Council(UK Research &amp; Innovation (UKRI)Natural Environment Research Council (NERC))</t>
  </si>
  <si>
    <t>We would like to thank David Archer and an anonymous reviewer for their expert comments which improved the manuscript. Thanks are due to many colleagues and friends. Ernst Maier-Reimer (Max Planck Institute for Meteorology) provided the basic HAMOCC model and crucial advice on efficient numerical modelling. Marion Gehlen and James Orr provided help for revising the model inorganic chemistry treatment for using the appropriate pH scale. Thanks are due to Natalie Mahowald for providing the dust deposition fields. Elizabeth Farmer's language revision in busy times is highly appreciated. Arne Winguth is supported by grant NSF-OCE 1536630 and NSF-EAR 1636629. This work was partially supported through the University of Bergen (sabbatical funds for C. Heinze) through the European Project on Ocean Acidification (EPOCA, which received funding from the European Community's Seventh Framework Programme (FP7/2007-2013) under grant agreement no. 211384). The Research Council of Norway supported this study through the nationally coordinated project Earth system modelling of climate variations in the Anthropocene (EVA; grant no. 229771) as well as the project Overturning circulation and its implications for global carbon cycle in coupled models (ORGANIC; grant no. 239965). This is a contribution to the Bjerknes Centre for Climate Research (Bergen, Norway). A part of the computations were carried out under project NN2980K at the Norwegian Metacenter for Computational Science (NOTUR) and its dedicated storage and archiving project NorStore (NS2980k).</t>
  </si>
  <si>
    <t>10.5194/cp-12-1949-2016</t>
  </si>
  <si>
    <t>EU9HU</t>
  </si>
  <si>
    <t>WOS:000401350800001</t>
  </si>
  <si>
    <t>Ceccarelli, FS; Opell, BD; Haddad, CR; Raven, RJ; Soto, EM; Ramírez, MJ</t>
  </si>
  <si>
    <t>Sara Ceccarelli, F.; Opell, Brent D.; Haddad, Charles R.; Raven, Robert J.; Soto, Eduardo M.; Ramirez, Martin J.</t>
  </si>
  <si>
    <t>Around theWorld in Eight Million Years: Historical Biogeography and Evolution of the Spray Zone Spider Amaurobioides (Araneae: Anyphaenidae)</t>
  </si>
  <si>
    <t>LONG-DISTANCE DISPERSAL; WEST WIND DRIFT; NEW-ZEALAND; VICARIANCE ANALYSIS; DIVERGENCE TIMES; SPECIES TREES; GENE TREES; DIVERSIFICATION; ARACHNIDA; ISLANDS</t>
  </si>
  <si>
    <t>Closely related organisms with transoceanic distributions have long been the focus of historical biogeography, prompting the question of whether long-distance dispersal, or tectonic-driven vicariance shaped their current distribution. Regarding the Southern Hemisphere continents, this question deals with the break-up of the Gondwanan landmass, which has also affected global wind and oceanic current patterns since the Miocene. With the advent of phylogenetic node age estimation and parametric bioinformatic advances, researchers have been able to disentangle historical evolutionary processes of taxa with greater accuracy. In this study, we used the coastal spider genus Amaurobioides to investigate the historical biogeographical and evolutionary processes that shaped the modernday distribution of species of this exceptional genus of spiders. As the only genus of the subfamily Amaurobioidinae found on three Southern Hemisphere continents, its distribution is well-suited to study in the context of Gondwanic vicariance versus long-distance, transoceanic dispersal. Ancestral species of the genus Amaurobioides appear to have undergone several long-distance dispersal events followed by successful establishments and speciation, starting from the mid-Miocene through to the Pleistocene. The most recent common ancestor of all present-day Amaurobioides species is estimated to have originated in Africa after arriving from South America during the Miocene. From Africa the subsequent dispersals are likely to have taken place predominantly in an eastward direction. The longdistance dispersal events by Amaurobioides mostly involved transoceanic crossings, which we propose occurred by rafting, aided by the Antarctic Circumpolar Current and the West Wind Drift.</t>
  </si>
  <si>
    <t>[Sara Ceccarelli, F.; Ramirez, Martin J.] Museo Argentino Ciencias Nat Bernardino Rivadavia, Div Aracnol, Av Angel Gallardo 470,C1405DJR, Buenos Aires, DF, Argentina; [Opell, Brent D.] Virginia Tech, Dept Biol Sci, 1405 Perry St, Blacksburg, VA 24061 USA; [Haddad, Charles R.] Univ Free State, Dept Zool &amp; Entomol, POB 339, ZA-9300 Bloemfontein, South Africa; [Raven, Robert J.] Queensland Museum, Terr Biodivers Grp, Arachnid Collect, Grey St,POB 3300, South Brisbane, Qld 4101, Australia; [Soto, Eduardo M.] Univ Buenos Aires, Fac Ciencias Exactas &amp; Nat, IEGEBA CONICET UBA, Dept Ecol Genet &amp; Evoluc, Ciudad Univ,Pabellon 2,C1428 EHA, Buenos Aires, DF, Argentina</t>
  </si>
  <si>
    <t>Museo Argentino de Ciencias Naturales Bernardino Rivadavia (MACN); Virginia Polytechnic Institute &amp; State University; University of the Free State; Queensland Museum; University of Buenos Aires</t>
  </si>
  <si>
    <t>Ceccarelli, FS (corresponding author), Museo Argentino Ciencias Nat Bernardino Rivadavia, Div Aracnol, Av Angel Gallardo 470,C1405DJR, Buenos Aires, DF, Argentina.</t>
  </si>
  <si>
    <t>saracecca@hotmail.com</t>
  </si>
  <si>
    <t>Ceccarelli, F. Sara/L-3208-2019; Ceccarelli, Fadia Sara/HLQ-8050-2023; Raven, Robert/GZK-2774-2022</t>
  </si>
  <si>
    <t>Ceccarelli, Fadia Sara/0000-0003-4117-7366; Haddad, Charles/0000-0002-2317-7760; Soto, Eduardo M./0000-0001-6500-5978</t>
  </si>
  <si>
    <t>National Geographic Society [7557-03]; Agencia Nacional de Promocion Cientifica y Tecnologica [PICT 2011-1007]; Consejo Nacional de Investigaciones Cientificas y Tecnologicas [BecaPosdoc13]</t>
  </si>
  <si>
    <t>National Geographic Society(National Geographic Society); Agencia Nacional de Promocion Cientifica y Tecnologica(ANPCyTSpanish Government); Consejo Nacional de Investigaciones Cientificas y Tecnologicas</t>
  </si>
  <si>
    <t>This work was supported by the National Geographic Society (http://www.nationalgeographic.com) research grant 7557-03 to BDO. Agencia Nacional de Promocion Cientifica y Tecnologica (http://www.agencia.mincyt.gob.ar/) research grant PICT 2011-1007 to MJR. Consejo Nacional de Investigaciones Cientificas y Tecnologicas (http://www.conicet.gov.ar/) BecaPosdoc13 to FSC.</t>
  </si>
  <si>
    <t>e0163740</t>
  </si>
  <si>
    <t>10.1371/journal.pone.0163740</t>
  </si>
  <si>
    <t>gold, Green Published, Green Submitted</t>
  </si>
  <si>
    <t>WOS:000385505300027</t>
  </si>
  <si>
    <t>Schmidt, K; Schlosser, C; Atkinson, A; Fielding, S; Venables, HJ; Waluda, CM; Achterberg, EP</t>
  </si>
  <si>
    <t>Schmidt, Katrin; Schlosser, Christian; Atkinson, Angus; Fielding, Sophie; Venables, Hugh J.; Waluda, Claire M.; Achterberg, Eric P.</t>
  </si>
  <si>
    <t>Zooplankton Gut Passage Mobilizes Lithogenic Iron for Ocean Productivity</t>
  </si>
  <si>
    <t>CURRENT BIOLOGY</t>
  </si>
  <si>
    <t>SOUTHERN-OCEAN; DISSOLVED IRON; SEDIMENT; PHYTOPLANKTON; FERTILIZATION; TRANSPORT; GEORGIA; REGENERATION; VARIABILITY; ANTARCTICA</t>
  </si>
  <si>
    <t>Iron is an essential nutrient for phytoplankton, but low concentrations limit primary production and associated atmospheric carbon drawdown in large parts of the world's oceans [1, 2]. Lithogenic particles deriving from aeolian dust deposition, glacial runoff, or river discharges can form an important source if the attached iron becomes dissolved and therefore bioavailable [3-5]. Acidic digestion by zooplankton is a potential mechanism for iron mobilization [6], but evidence is lacking. Here we show that Antarctic krill sampled near glacial outlets at the island of South Georgia (Southern Ocean) ingest large amounts of lithogenic particles and contain 3-fold higher iron concentrations in their muscle than specimens from offshore, which confirms mineral dissolution in their guts. About 90% of the lithogenic and biogenic iron ingested by krill is passed into their fecal pellets, which contain 5-fold higher proportions of labile (reactive) iron than intact diatoms. The mobilized iron can be released in dissolved form directly from krill or via multiple pathways involving microbes, other zooplankton, and krill predators. This can deliver substantial amounts of bioavailable iron and contribute to the fertilization of coastal waters and the ocean beyond. In line with our findings, phytoplankton blooms downstream of South Georgia are more intensive and longer lasting during years with high krill abundance on-shelf. Thus, krill crop phytoplankton but boost new production via their nutrient supply. Understanding and quantifying iron mobilization by zooplankton is essential to predict ocean productivity in a warming climate where lithogenic iron inputs from deserts, glaciers, and rivers are increasing [7-10].</t>
  </si>
  <si>
    <t>[Schmidt, Katrin; Atkinson, Angus; Fielding, Sophie; Venables, Hugh J.; Waluda, Claire M.] British Antarctic Survey, Madingley Rd, Cambridge CB3 0ET, England; [Schmidt, Katrin] Sir Alister Hardy Fdn Ocean Sci, Citadel Hill, Plymouth PL1 2PB, Devon, England; [Schlosser, Christian; Achterberg, Eric P.] Univ Southampton, Natl Oceanog Ctr Southampton, Ocean &amp; Earth Sci, Southampton SO14 3ZH, Hants, England; [Schlosser, Christian; Achterberg, Eric P.] GEOMAR Helmholtz Ctr Ocean Res Kiel, Wischhofstr 1-3, D-24148 Kiel, Germany; [Atkinson, Angus] Plymouth Marine Lab, Prospect Pl, Plymouth PL1 3DH, Devon, England</t>
  </si>
  <si>
    <t>UK Research &amp; Innovation (UKRI); Natural Environment Research Council (NERC); NERC British Antarctic Survey; University of Southampton; NERC National Oceanography Centre; Helmholtz Association; GEOMAR Helmholtz Center for Ocean Research Kiel; Plymouth Marine Laboratory</t>
  </si>
  <si>
    <t>Schmidt, K; Atkinson, A (corresponding author), British Antarctic Survey, Madingley Rd, Cambridge CB3 0ET, England.;Schmidt, K (corresponding author), Sir Alister Hardy Fdn Ocean Sci, Citadel Hill, Plymouth PL1 2PB, Devon, England.;Atkinson, A (corresponding author), Plymouth Marine Lab, Prospect Pl, Plymouth PL1 3DH, Devon, England.</t>
  </si>
  <si>
    <t>katsch@sahfos.ac.uk; aat@pml.ac.uk</t>
  </si>
  <si>
    <t>Atkinson, Angus/HOH-3417-2023; Achterberg, Eric P/C-5820-2009; Fielding, Sophie/E-5137-2012</t>
  </si>
  <si>
    <t>UK Natural Environment Research Council [NE/F01547X/1]; Department for Environment, Food and Rural Affairs (DEFRA) [NE/L 003279/1]; NERC; Directorate For Geosciences; Division Of Ocean Sciences [1154661] Funding Source: National Science Foundation; Natural Environment Research Council [bas0100035, NE/F01547X/1, pml010004, SAH01001, NE/L003279/1, NE/I030062/1] Funding Source: researchfish; NERC [bas0100035, SAH01001, pml010004, NE/F01547X/1, NE/L003279/1, NE/I030062/1] Funding Source: UKRI</t>
  </si>
  <si>
    <t>UK Natural Environment Research Council(UK Research &amp; Innovation (UKRI)Natural Environment Research Council (NERC)); Department for Environment, Food and Rural Affairs (DEFRA)(Department for Environment, Food &amp; Rural Affairs (DEFRA)); NERC(UK Research &amp; Innovation (UKRI)Natural Environment Research Council (NERC));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</si>
  <si>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We thank the officers, crew, and scientists onboard the RRS James Clark Ross for their professional support during JR247 and M. Patey for the SAPS deployment. E. Bazeley-White and H. Peat helped with the acquisition of data from BAS and NERC databases, and M. Meredith supplied the drifter data. We acknowledge the MODIS mission scientists and associated NASA personnel for the production of data in the Giovanni online data system. We are grateful to E. Young, M. Lohan, V. Kitidis, and D. Bakker for discussing our results. Comments from V. Smetacek and two anonymous reviewers greatly improved the work. This study was funded by the UK Natural Environment Research Council grant NE/F01547X/1. A.A. was additionally funded by NERC and Department for Environment, Food and Rural Affairs (DEFRA) grant NE/L 003279/1 (Marine Ecosystems Research Program).</t>
  </si>
  <si>
    <t>CELL PRESS</t>
  </si>
  <si>
    <t>CAMBRIDGE</t>
  </si>
  <si>
    <t>50 HAMPSHIRE ST, FLOOR 5, CAMBRIDGE, MA 02139 USA</t>
  </si>
  <si>
    <t>0960-9822</t>
  </si>
  <si>
    <t>1879-0445</t>
  </si>
  <si>
    <t>CURR BIOL</t>
  </si>
  <si>
    <t>Curr. Biol.</t>
  </si>
  <si>
    <t>OCT 10</t>
  </si>
  <si>
    <t>10.1016/j.cub.2016.07.058</t>
  </si>
  <si>
    <t>Biochemistry &amp; Molecular Biology; Biology; Cell Biology</t>
  </si>
  <si>
    <t>Biochemistry &amp; Molecular Biology; Life Sciences &amp; Biomedicine - Other Topics; Cell Biology</t>
  </si>
  <si>
    <t>DZ2SF</t>
  </si>
  <si>
    <t>WOS:000385690800029</t>
  </si>
  <si>
    <t>Ratnarajah, L; Bowie, AR</t>
  </si>
  <si>
    <t>Ratnarajah, Lavenia; Bowie, Andrew R.</t>
  </si>
  <si>
    <t>Nutrient Cycling: Are Antarctic Krill a Previously Overlooked Source in the Marine Iron Cycle?</t>
  </si>
  <si>
    <t>SOUTHERN-OCEAN; BALEEN WHALES; FERTILIZATION; PRODUCTIVITY</t>
  </si>
  <si>
    <t>Iron limits phytoplankton growth in large areas of the Southern Ocean. A new study shows that Antarctic krill play a crucial role in the recycling of iron in the iron-limited waters.</t>
  </si>
  <si>
    <t>[Ratnarajah, Lavenia; Bowie, Andrew R.] Univ Tasmania, Inst Marine &amp; Antarctic Studies, Private Bag 129, Hobart, Tas 7001, Australia; [Ratnarajah, Lavenia; Bowie, Andrew R.] Univ Tasmania, Antarctic Climate &amp; Ecosyst Cooperat Res Ctr, Private Bag 80, Hobart, Tas 7001, Australia</t>
  </si>
  <si>
    <t>University of Tasmania; Antarctic Climate &amp; Ecosystems Cooperative Research Centre (ACE CRC); University of Tasmania</t>
  </si>
  <si>
    <t>Bowie, AR (corresponding author), Univ Tasmania, Inst Marine &amp; Antarctic Studies, Private Bag 129, Hobart, Tas 7001, Australia.;Bowie, AR (corresponding author), Univ Tasmania, Antarctic Climate &amp; Ecosyst Cooperat Res Ctr, Private Bag 80, Hobart, Tas 7001, Australia.</t>
  </si>
  <si>
    <t>andrew.bowie@utas.edu.au</t>
  </si>
  <si>
    <t>Bowie, Andrew/C-8677-2013</t>
  </si>
  <si>
    <t>Bowie, Andrew/0000-0002-5144-7799; Ratnarajah, Lavenia/0000-0002-1021-1923</t>
  </si>
  <si>
    <t>R884</t>
  </si>
  <si>
    <t>R887</t>
  </si>
  <si>
    <t>10.1016/j.cub.2016.08.044</t>
  </si>
  <si>
    <t>WOS:000385690800008</t>
  </si>
  <si>
    <t>Pinkerton, MH; Lyver, PO; Stevens, DW; Forman, J; Eisert, R; Mormede, S</t>
  </si>
  <si>
    <t>Pinkerton, Matt H.; Lyver, Philip O'B.; Stevens, Darren W.; Forman, Jeff; Eisert, Regina; Mormede, Sophie</t>
  </si>
  <si>
    <t>Increases in Adelie penguins in the Ross Sea: Could the fishery for Antarctic toothfish be responsible?</t>
  </si>
  <si>
    <t>ECOLOGICAL MODELLING</t>
  </si>
  <si>
    <t>Ecosystem approach to fisheries; Predation release; Trophic overlap; Niche; Southern Ocean; CCAMLR</t>
  </si>
  <si>
    <t>DISSOSTICHUS-MAWSONI; FOOD-CONSUMPTION; FORAGING EFFORT; ECOSYSTEM; DIET; CHALLENGES; MANAGEMENT; STRENGTH; SEABIRDS; ECOLOGY</t>
  </si>
  <si>
    <t>The Ross Sea is home to about a third of the world population of Adelie penguins (Pygoscelis adeliae). Between 2001 and 2013 the number of breeding pairs of Adelie penguins at colonies in the southwestern Ross Sea more than doubled. It has been suggested that this increase was caused by the fishery for Antarctic toothfish (Dissostichus mawsoni) leading to mesopredator release of Antarctic silverfish (Pleuragramma antarctica), a shared prey of toothfish and Adelie penguins. Cases of mesopredator release in marine systems have been widely reported, but limited information on marine predators often hinders quantitative investigation of these changes. The present study has brought together information from multiple models to estimate the biomass of silverfish that could be released from predation through the effects of the toothfish fishery. New diet data for toothfish are presented which show that Antarctic toothfish and Adelie penguins do not have significantly overlapping diets in the southwestern Ross Sea. The mass of silverfish released from predation due to the effects of fishing was estimated to be 128 tonnes wet-weight per year (tWW/y; 5th-95th estimation interval of 46-358 tWW/y) in 2013, equivalent to less than 2% of the biomass of silverfish estimated to be consumed annually by Adelie penguins. Even if toothfish consumed only silverfish, the predicted predation release effect would still not be sufficient to explain the observed increase in the number of Adelie penguins in the southern Ross Sea. The results of the modelling are hence inconsistent with predation release of silverfish due to the toothfish fishery being responsible for recent increases in the number of Adelie penguins breeding in the southwestern Ross Sea. (C) 2016 Elsevier B.V. All rights reserved.</t>
  </si>
  <si>
    <t>[Pinkerton, Matt H.; Stevens, Darren W.; Forman, Jeff; Mormede, Sophie] Natl Inst Water &amp; Atmospher Res NIWA, Private Bag 14901, Wellington 6241, New Zealand; [Lyver, Philip O'B.] Landcare Res, POB 69040, Lincoln 7640, New Zealand; [Eisert, Regina] Univ Canterbury, Gateway Antarctica, Private Bag 4800, Christchurch 8140, New Zealand</t>
  </si>
  <si>
    <t>National Institute of Water &amp; Atmospheric Research (NIWA) - New Zealand; Landcare Research - New Zealand; University of Canterbury</t>
  </si>
  <si>
    <t>Pinkerton, MH (corresponding author), Natl Inst Water &amp; Atmospher Res NIWA, Private Bag 14901, Wellington 6241, New Zealand.</t>
  </si>
  <si>
    <t>m.pinkerton@niwa.co.nz</t>
  </si>
  <si>
    <t>Pinkerton, Matt/0000-0001-7948-720X; Eisert, Regina/0000-0002-8980-7673</t>
  </si>
  <si>
    <t>New Zealand Ministry for Primary Industries (MPI) project Establishing a Marine Ecosystem and Monitoring Programme for the Ross Sea Region [ANT2014-02]; MBIE project Ross Sea Climate and Ecosystems [C01X1226]; New Zealand Ministry of Business, Innovation &amp; Employment (MBIE) [C01X1226] Funding Source: New Zealand Ministry of Business, Innovation &amp; Employment (MBIE)</t>
  </si>
  <si>
    <t>New Zealand Ministry for Primary Industries (MPI) project Establishing a Marine Ecosystem and Monitoring Programme for the Ross Sea Region; MBIE project Ross Sea Climate and Ecosystems; New Zealand Ministry of Business, Innovation &amp; Employment (MBIE)(New Zealand Ministry of Business, Innovation and Employment (MBIE))</t>
  </si>
  <si>
    <t>This work was funded by the New Zealand Ministry for Primary Industries (MPI) project ANT2014-02 Establishing a Marine Ecosystem and Monitoring Programme for the Ross Sea Region and MBIE project C01X1226 Ross Sea Climate and Ecosystems. We thank the members of the New Zealand Antarctic Fisheries Working Group for helpful discussions and input into this paper, and Steve Parker (NIWA) for help with CCAMLR data. All penguin survey, capture and handling for this study were approved under permits approved and issued by New Zealand's Ministry of Foreign Affairs and Trade under the Antarctic (Environmental Protection) Act 1994 and Landcare Research's Animal Ethics Committee 2005 and 2010 (0509/01 and 10/09/01). Fish analysed for metabolisable energy content were sampled by scientific bottom trawl on the New Zealand IPY-CAML (International Polar Year, Census of Antarctic Marine Life) voyage TAN0802, under Antarctic Marine Living Resources Act 1981, Permit number: AMLR 07/005/Tangaroa/ZMFR.</t>
  </si>
  <si>
    <t>0304-3800</t>
  </si>
  <si>
    <t>1872-7026</t>
  </si>
  <si>
    <t>ECOL MODEL</t>
  </si>
  <si>
    <t>Ecol. Model.</t>
  </si>
  <si>
    <t>10.1016/j.ecolmodel.2016.07.007</t>
  </si>
  <si>
    <t>DV0EQ</t>
  </si>
  <si>
    <t>WOS:000382591200026</t>
  </si>
  <si>
    <t>Liao, Y; Williams, TJ; Walsh, JC; Ji, M; Poljak, A; Curmi, PMG; Duggin, IG; Cavicchioli, R</t>
  </si>
  <si>
    <t>Liao, Y.; Williams, T. J.; Walsh, J. C.; Ji, M.; Poljak, A.; Curmi, P. M. G.; Duggin, I. G.; Cavicchioli, R.</t>
  </si>
  <si>
    <t>Developing a genetic manipulation system for the Antarctic archaeon, Halorubrum lacusprofundi: investigating acetamidase gene function</t>
  </si>
  <si>
    <t>SCIENTIFIC REPORTS</t>
  </si>
  <si>
    <t>HALOFERAX-VOLCANII; BETA-GALACTOSIDASE; MICROBIAL ECOLOGY; ORGANIC NITROGEN; SP-NOV.; BACTERIUM; EXPRESSION; EVOLUTION; PLASMID; LAKE</t>
  </si>
  <si>
    <t>No systems have been reported for genetic manipulation of cold-adapted Archaea. Halorubrum lacusprofundi is an important member of Deep Lake, Antarctica (similar to 10% of the population), and is amendable to laboratory cultivation. Here we report the development of a shuttle-vector and targeted gene-knockout system for this species. To investigate the function of acetamidase/formamidase genes, a class of genes not experimentally studied in Archaea, the acetamidase gene, amd3, was disrupted. The wild-type grew on acetamide as a sole source of carbon and nitrogen, but the mutant did not. Acetamidase/formamidase genes were found to form three distinct clades within a broad distribution of Archaea and Bacteria. Genes were present within lineages characterized by aerobic growth in low nutrient environments (e.g. haloarchaea, Starkeya) but absent from lineages containing anaerobes or facultative anaerobes (e.g. methanogens, Epsilonproteobacteria) or parasites of animals and plants (e.g. Chlamydiae). While acetamide is not a well characterized natural substrate, the build-up of plastic pollutants in the environment provides a potential source of introduced acetamide. In view of the extent and pattern of distribution of acetamidase/formamidase sequences within Archaea and Bacteria, we speculate that acetamide from plastics may promote the selection of amd/fmd genes in an increasing number of environmental microorganisms.</t>
  </si>
  <si>
    <t>[Liao, Y.; Williams, T. J.; Ji, M.; Cavicchioli, R.] Univ New S Wales, Sch Biotechnol &amp; Biomol Sci, Sydney, NSW 2052, Australia; [Walsh, J. C.; Curmi, P. M. G.] Univ New South Wales, Sch Phys, Sydney, NSW 2052, Australia; [Walsh, J. C.; Duggin, I. G.] Univ Technol Sydney, Ithree Inst, Broadway, NSW 2007, Australia; [Poljak, A.] Univ New South Wales, Bioanalyt Mass Spectrometry Facil, Sydney, NSW, Australia</t>
  </si>
  <si>
    <t>University of New South Wales Sydney; University of New South Wales Sydney; University of Technology Sydney; University of New South Wales Sydney</t>
  </si>
  <si>
    <t>Cavicchioli, R (corresponding author), Univ New S Wales, Sch Biotechnol &amp; Biomol Sci, Sydney, NSW 2052, Australia.</t>
  </si>
  <si>
    <t>r.cavicchioli@unsw.edu.au</t>
  </si>
  <si>
    <t>Duggin, Iain/B-3904-2011; Curmi, Paul/G-7185-2011; Ji, Mukan/AAI-5743-2020; Cavicchioli, Ricardo/D-4341-2013</t>
  </si>
  <si>
    <t>Duggin, Iain/0000-0003-4868-7350; Ji, Mukan/0000-0001-8139-2875; Cavicchioli, Ricardo/0000-0001-8989-6402; Walsh, James/0000-0003-0447-2323; Poljak, Anne/0000-0001-9953-1984; Williams, Timothy/0000-0002-2738-3019; /0000-0002-8492-2648</t>
  </si>
  <si>
    <t>Australian Research Council [DP150100244]; China Scholarship Council [201206910027]</t>
  </si>
  <si>
    <t>Australian Research Council(Australian Research Council); China Scholarship Council(China Scholarship Council)</t>
  </si>
  <si>
    <t>This work was supported by the Australian Research Council [DP150100244]. YL was funded by the China Scholarship Council (File No. 201206910027). GC-MS results were obtained at the Bioanalytical Mass Spectrometry Facility within the Analytical Centre of the University of New South Wales. This work was undertaken using infrastructure provided by NSW Government co-investment in the National Collaborative Research Infrastructure Scheme. Subsidized access to this facility is gratefully acknowledged. We thank Sarah Payne and Alyce Hancock for collecting samples in Antarctica.</t>
  </si>
  <si>
    <t>2045-2322</t>
  </si>
  <si>
    <t>SCI REP-UK</t>
  </si>
  <si>
    <t>Sci Rep</t>
  </si>
  <si>
    <t>OCT 6</t>
  </si>
  <si>
    <t>10.1038/srep34639</t>
  </si>
  <si>
    <t>DY5WE</t>
  </si>
  <si>
    <t>WOS:000385174300001</t>
  </si>
  <si>
    <t>Kelly, P; Clementson, L; Davies, C; Corney, S; Swadling, K</t>
  </si>
  <si>
    <t>Kelly, Paige; Clementson, Lesley; Davies, Claire; Corney, Stuart; Swadling, Kerrie</t>
  </si>
  <si>
    <t>Zooplankton responses to increasing sea surface temperatures in the southeastern Australia global marine hotspot</t>
  </si>
  <si>
    <t>ESTUARINE COASTAL AND SHELF SCIENCE</t>
  </si>
  <si>
    <t>Climatic change; East Australian Current; Zooplankton; Coastal zones; Coastal fisheries; Regime shift; Southeastern Australia; Maria Island</t>
  </si>
  <si>
    <t>CONTINUOUS PLANKTON RECORDER; RED-TIDE DINOFLAGELLATE; NOCTILUCA-SCINTILLANS; INTERANNUAL VARIABILITY; NYCTIPHANES-AUSTRALIS; CLIMATE-CHANGE; TIME-SERIES; EAST-COAST; WATER; COMMUNITY</t>
  </si>
  <si>
    <t>Southeastern Australia is a 'hotspot' for oceanographic change. Here, rapidly increasing sea surface temperatures, rising at more than double the global trend, are largely associated with a southerly extension of the East Australian Current (EAC) and its eddy field. Maria Island, situated at the southern end of the EAC extension at 42 degrees S, 148 degrees E, has been used as a site to study temperature-driven biological trends in this region of accelerated change. Zooplankton have short life cycles (usually &lt; 1 year) and are highly sensitive to environmental change, making them an ideal indicator of the biological effects of an increased southward flow of the EAC. Data from in-situ net drops and the Continuous Plankton Recorder (CPR), collected since 2009, together with historical zooplankton abundance data, have been analysed in this study. Like the North Atlantic, zooplankton communities of southeastern Australia are responding to increased temperatures through relocation, long-term increases in warm-water species and a shift towards a zooplankton community dominated by small copepods. The biological trends present evidence of extended EAC influence at Maria Island into autumn and winter months, which has allowed for the rapid establishment of warm-water species during these seasons, and has increased the similarity between Maria Island and the more northerly Port Hacking zooplankton community. Generalised Linear Models (GLM) suggest the high salinity and low nutrient properties of EAC-water to be the primary drivers of increasing abundances of warm-water species off southeastern Australia. Changes in both the species composition and size distribution of the Maria Island zooplankton community will have effects for pelagic fisheries. This study provides an indication of how zooplankton communities influenced by intensifying Western Boundary currents may respond to rapid environmental change. Crown Copyright (C) 2016 Published by Elsevier Ltd. All rights reserved.</t>
  </si>
  <si>
    <t>[Kelly, Paige; Corney, Stuart; Swadling, Kerrie] Univ Tasmania, Inst Marine &amp; Antarctic Studies, Private Bag 129, Sandy Bay, Tas 7005, Australia; [Kelly, Paige; Clementson, Lesley; Davies, Claire] CSIRO Oceans &amp; Atmosphere, GPO Box 1538, Hobart, Tas 7001, Australia; [Kelly, Paige; Corney, Stuart; Swadling, Kerrie] Univ Tasmania, Antarctic Climate &amp; Ecosyst CRC, Private Bag 80, Hobart, Tas 7001, Australia</t>
  </si>
  <si>
    <t>Kelly, P (corresponding author), Univ Tasmania, Inst Marine &amp; Antarctic Studies, Private Bag 129, Sandy Bay, Tas 7005, Australia.</t>
  </si>
  <si>
    <t>kellyps@utas.edu.au; Lesley.Clementson@csiro.au; Claire.Davies@csiro.au; Stuart.Corney@utas.edu.au; K.Swadling@utas.edu.au</t>
  </si>
  <si>
    <t>Clementson, Lesley A/M-6905-2013; Davies, Claire H/G-6888-2013; davies, claire/O-9219-2019</t>
  </si>
  <si>
    <t>Davies, Claire H/0000-0002-0424-1835; Clementson, Lesley/0000-0003-4415-993X; Swadling, Kerrie/0000-0002-7620-841X</t>
  </si>
  <si>
    <t>Australian Government through the National Collaborative Research Infrastructure Strategy and the Super Science Initiative</t>
  </si>
  <si>
    <t>Australian Government through the National Collaborative Research Infrastructure Strategy and the Super Science Initiative(Australian GovernmentDepartment of Industry, Innovation and Science)</t>
  </si>
  <si>
    <t>This research was originally undertaken at the Institute for Marine and Antarctic Studies, in collaboration with the Commonwealth Scientific and Industrial Research Organisation. Data was sourced from the Integrated Marine Observing System (IMOS). IMOS is supported by The Australian Government through the National Collaborative Research Infrastructure Strategy and the Super Science Initiative. Thank you to the staff at North Stradbroke Island, Port Hacking and Maria Island responsible for data collection. The authors are also grateful to Graham Hosie, Gustaaf Hallegraeff, Mark Baird, Anthony Richardson, Jessica Melbourrne-Thomas, Graeme Hays and the anonymous reviewers for the extensive feedback they have provided.</t>
  </si>
  <si>
    <t>ACADEMIC PRESS LTD- ELSEVIER SCIENCE LTD</t>
  </si>
  <si>
    <t>24-28 OVAL RD, LONDON NW1 7DX, ENGLAND</t>
  </si>
  <si>
    <t>0272-7714</t>
  </si>
  <si>
    <t>1096-0015</t>
  </si>
  <si>
    <t>ESTUAR COAST SHELF S</t>
  </si>
  <si>
    <t>Estuar. Coast. Shelf Sci.</t>
  </si>
  <si>
    <t>OCT 5</t>
  </si>
  <si>
    <t>10.1016/j.ecss.2016.07.019</t>
  </si>
  <si>
    <t>Marine &amp; Freshwater Biology; Oceanography</t>
  </si>
  <si>
    <t>DY1PM</t>
  </si>
  <si>
    <t>WOS:000384866900024</t>
  </si>
  <si>
    <t>Cao, LX; Huang, Q; Wu, ZC; Cao, DD; Ma, ZL; Xu, QH; Hu, P; Fu, YX; Shen, Y; Chan, JL; Zhou, CZ; Zhai, WY; Chen, LB</t>
  </si>
  <si>
    <t>Cao, Lixue; Huang, Qiao; Wu, Zhichao; Cao, Dong-dong; Ma, Zhanling; Xu, Qianghua; Hu, Peng; Fu, Yanxia; Shen, Yu; Chan, Jiulin; Zhou, Cong-zhao; Zhai, Wanying; Chen, Liangbiao</t>
  </si>
  <si>
    <t>Neofunctionalization of zona pellucida proteins enhances freeze-prevention in the eggs of Antarctic notothenioids</t>
  </si>
  <si>
    <t>NATURE COMMUNICATIONS</t>
  </si>
  <si>
    <t>ANTIFREEZE PROTEINS; ORYZIAS-LATIPES; SPERM RECEPTORS; WATER DYNAMICS; ZP DOMAIN; RNA-SEQ; FISHES; EVOLUTION; CHORION; GENE</t>
  </si>
  <si>
    <t>The mechanisms by which the eggs of the Antarctic notothenioid fishes avoid freezing are not fully understood. Zona pellucida proteins (ZPs) are constituents of the chorion which forms a protective matrix surrounding the egg. Here we report occurrence of freezing temperature-related gene expansion and acquisition of unusual ice melting-promoting (IMP) activity in a family of Antarctic notothenioid ZPs (AnnotoZPs). Members of AnnotoZPs are shown to bind with ice and non-colligatively depress the melting point of a solution in a range of 0.26 to 0.65 degrees C at a moderate concentration. Eggs of zebrafishes expressing an AnnotoZP transgene show improved melting point depression and enhanced survival in freezing conditions. Mutational analyses in a representative AnnotoZP indicate the ZP domain and patches of acidic residues are essential structures for the IMP activity. AnnotoZPs, therefore, represent a group of macromolecules that prevent freezing by a unique ZP-ice interaction mechanism distinct from the known antifreeze proteins.</t>
  </si>
  <si>
    <t>[Cao, Lixue; Huang, Qiao; Wu, Zhichao; Ma, Zhanling; Xu, Qianghua; Hu, Peng; Fu, Yanxia; Chan, Jiulin; Zhai, Wanying; Chen, Liangbiao] Shanghai Ocean Univ, Key Lab Explorat &amp; Utilizat Aquat Genet Resources, Coll Fisheries &amp; Life Sci, Minist Educ, Shanghai 201306, Peoples R China; [Cao, Lixue; Shen, Yu] Chinese Acad Sci, Inst Genet &amp; Dev Biol, Beijing 100101, Peoples R China; [Cao, Dong-dong; Zhou, Cong-zhao] Univ Sci &amp; Technol China, Sch Life Sci, Hefei 230026, Anhui, Peoples R China</t>
  </si>
  <si>
    <t>Shanghai Ocean University; Chinese Academy of Sciences; Institute of Genetics &amp; Developmental Biology, CAS; Chinese Academy of Sciences; University of Science &amp; Technology of China, CAS</t>
  </si>
  <si>
    <t>Chen, LB (corresponding author), Shanghai Ocean Univ, Key Lab Explorat &amp; Utilizat Aquat Genet Resources, Coll Fisheries &amp; Life Sci, Minist Educ, Shanghai 201306, Peoples R China.</t>
  </si>
  <si>
    <t>lbchen@shou.edu.cn</t>
  </si>
  <si>
    <t>Hu, Peng/X-1546-2019; Zhou, Cong-Zhao/E-9174-2011</t>
  </si>
  <si>
    <t>Cao, Dongdong/0000-0002-2031-9321; Hu, Peng/0000-0002-0017-1948; Zhou, Cong-Zhao/0000-0002-6881-7151; , liangbiao/0000-0002-0717-8536</t>
  </si>
  <si>
    <t>NSFC [31130049]; 973 program [2010CB126304]; CHINARE International Collaborative Polar Exploration grant; Shanghai Universities First-class Disciplines Project of Fisheries</t>
  </si>
  <si>
    <t>NSFC(National Natural Science Foundation of China (NSFC)); 973 program(National Basic Research Program of China); CHINARE International Collaborative Polar Exploration grant; Shanghai Universities First-class Disciplines Project of Fisheries</t>
  </si>
  <si>
    <t>We thank Drs Chi-Hing C. Cheng and Arthur L. DeVries of University of Illinois at Urbana-Champaign for providing the genomic DNAs in the ZP copy number study. Dr Paul Brickle of the Falkland Islands Government Fisheries Department kindly provided the E. maclovinus tissues. Members of the 27th Chinese Antarctic Exploration Team helped in collecting some of the fish specimens. The work is supported by grants NSFC 31130049, the 973 program (2010CB126304) to LC, the CHINARE International Collaborative Polar Exploration grant, and Shanghai Universities First-class Disciplines Project of Fisheries.</t>
  </si>
  <si>
    <t>2041-1723</t>
  </si>
  <si>
    <t>NAT COMMUN</t>
  </si>
  <si>
    <t>Nat. Commun.</t>
  </si>
  <si>
    <t>OCT 4</t>
  </si>
  <si>
    <t>10.1038/ncomms12987</t>
  </si>
  <si>
    <t>DZ1BR</t>
  </si>
  <si>
    <t>WOS:000385574200002</t>
  </si>
  <si>
    <t>Suzuki, Y; Fukushima, M; Sakuraba, K; Sawaki, K; Sekigawa, K</t>
  </si>
  <si>
    <t>Suzuki, Yoshio; Fukushima, Minoru; Sakuraba, Keishoku; Sawaki, Keisuke; Sekigawa, Kazuaki</t>
  </si>
  <si>
    <t>Krill Oil Improves Mild Knee Joint Pain: A Randomized Control Trial</t>
  </si>
  <si>
    <t>FATTY-ACIDS; SUPPLEMENTATION; INFLAMMATION; OSTEOARTHRITIS; MANAGEMENT</t>
  </si>
  <si>
    <t>Background Krill oil is an edible oil extracted from krill, a small red-colored crustacean found in the Antarctic Ocean. The administration of krill oil is reported to mitigate inflammation in patients with cardiac disease, rheumatoid arthritis, or osteoarthritis. However, the effect of krill oil on mild knee pain has not yet been determined. Objective To assess the effect of krill oil on mild knee pain. Design A randomized, double-blind, parallel-group, placebo-controlled trial of fifty adults (38-85 years old) with mild knee pain attending the Fukushima Orthopedic Clinic (Tochigi, Japan) between September 2014 and March 2015. Interventions Participants were randomized to receive 2 g per day of either krill oil or an identical placebo for 30 days. Outcomes The primary outcome was improvement in subjective symptoms of knee pain as assessed by the Japanese Knee Osteoarthritis Measure (JKOM) and Japanese Orthopaedic Association score (JOA). Secondary outcomes included blood and urine biochemical parameters. Results Both the placebo and krill oil groups showed significant improvements in the questions in the JKOM and JOA questionnaires after administration. After the intervention, krill oil group showed more improvements than placebo group in two questions regarding the pain and stiffness in knees in JKOM. Controlling for age, sex, weight, and smoking and drinking habits, krill oil significantly mitigated knee pain in sleeping (P &lt; 0.001), standing (P &lt; 0.001) and the range of motion of both right and left knees (both P = 0.011) compared to placebo. Krill oil administration raised plasma EPA (P = 0.048) and EPA/AA ratio (P = 0.003). Conclusion This study indicates that krill oil administration (2 g/day, 30 days) improved the subjective symptoms of knee pain in adults with mild knee pain.</t>
  </si>
  <si>
    <t>[Suzuki, Yoshio; Sakuraba, Keishoku; Sawaki, Keisuke] Juntendo Univ, Grad Sch Hlth &amp; Sports Sci, Inzai, Chiba, Japan; [Suzuki, Yoshio; Sakuraba, Keishoku; Sawaki, Keisuke; Sekigawa, Kazuaki] Juntendo Univ, Fac Hlth &amp; Sports Sci, Inzai, Chiba, Japan; [Fukushima, Minoru; Sakuraba, Keishoku] Juntendo Univ, Sch Med, Dept Orthoped Surg, Tokyo, Japan; [Fukushima, Minoru] Fukushima Orthoped Clin, Nasushiobara, Tochigi, Japan</t>
  </si>
  <si>
    <t>Juntendo University; Juntendo University; Juntendo University</t>
  </si>
  <si>
    <t>Suzuki, Y (corresponding author), Juntendo Univ, Grad Sch Hlth &amp; Sports Sci, Inzai, Chiba, Japan.;Suzuki, Y (corresponding author), Juntendo Univ, Fac Hlth &amp; Sports Sci, Inzai, Chiba, Japan.</t>
  </si>
  <si>
    <t>yssuzuki@juntendo.ac.jp</t>
  </si>
  <si>
    <t>Suzuki, Yoshio/U-5586-2019</t>
  </si>
  <si>
    <t>Suzuki, Yoshio/0000-0003-4982-5591</t>
  </si>
  <si>
    <t>e0162769</t>
  </si>
  <si>
    <t>10.1371/journal.pone.0162769</t>
  </si>
  <si>
    <t>DZ2UK</t>
  </si>
  <si>
    <t>WOS:000385696900003</t>
  </si>
  <si>
    <t>Kjær, HA; Vallelonga, P; Svensson, A; Kristensen, MEL; Tibuleac, C; Winstrup, M; Kipfstuhl, S</t>
  </si>
  <si>
    <t>Kjaer, Helle Astrid; Vallelonga, Paul; Svensson, Anders; Kristensen, Magnus Elleskov L.; Tibuleac, Catalin; Winstrup, Mai; Kipfstuhl, Sepp</t>
  </si>
  <si>
    <t>An Optical Dye Method for Continuous Determination of Acidity in Ice Cores</t>
  </si>
  <si>
    <t>ENVIRONMENTAL SCIENCE &amp; TECHNOLOGY</t>
  </si>
  <si>
    <t>CONTINUOUS-FLOW ANALYSIS; LIGHT CARBOXYLIC-ACIDS; ARCTIC AIR-POLLUTION; GREENLAND ICE; HIGH-RESOLUTION; ELECTRICAL-CONDUCTIVITY; POLAR ICE; EXPLOSIVE VOLCANISM; SNOW; RECORD</t>
  </si>
  <si>
    <t>The pH of polar ice is important for the stability and mobility of impurities in ice cores and can be strongly influenced by volcanic ertptions or anthropogenic emissions. We present a simple optical method for continuous determination of acidity in ice cores based on spectroscopically determined color changes of two common pH-indicator dyes, bromophenol blue, and chlorophenol red. The sealed-system method described here is not equilibrated with CO2, making it simpler than existing methods for pH determination in ice cores and offering a 10-90% peak response time of 45 s and a combined uncertainty of 9%. The method is applied to Holocene ice core sections from Greenland and Antarctica and compared to standard techniques such as electrical conductivity measurement (ECM) conducted on the solid ice, and electrolytic meltwater conductivity, EMWC. Acidity measured in the Greenland NGRIP ice core shows good agreement with acidity calculated from ion chromatography. Conductivity and dye-based acidity H-dye(+) are: found to be highly correlated in the, Greenland NEGIS firn core (75.38 degrees N, 35.56 degrees W), with all signals greater than 3 sigma variability coinciding with either volcanic eruptions or possible wild fire activity. In contrast, the Antarctic Roosevelt Island ice core (79.36 degrees S, 161.71 degrees W), features an anticorrelation between conductivity and H-dye(+) likely due to strong influence of marine salts.</t>
  </si>
  <si>
    <t>[Kjaer, Helle Astrid; Vallelonga, Paul; Svensson, Anders; Kristensen, Magnus Elleskov L.; Tibuleac, Catalin; Winstrup, Mai] Univ Copenhagen, Niels Bohr Inst, Ctr Ice &amp; Climate, Copenhagen, Denmark; [Kipfstuhl, Sepp] Alfred Wegener Inst, Bremerhaven, Germany</t>
  </si>
  <si>
    <t>University of Copenhagen; Niels Bohr Institute; Helmholtz Association; Alfred Wegener Institute, Helmholtz Centre for Polar &amp; Marine Research</t>
  </si>
  <si>
    <t>Kjær, HA (corresponding author), Univ Copenhagen, Niels Bohr Inst, Ctr Ice &amp; Climate, Copenhagen, Denmark.</t>
  </si>
  <si>
    <t>Hellek@fys.ku.dk</t>
  </si>
  <si>
    <t>Kjær, Helle Astrid/HGC-7941-2022; Svensson, Anders/A-2643-2010; Vallelonga, Paul/I-9650-2016; Winstrup, Mai/M-5844-2014</t>
  </si>
  <si>
    <t>Kjær, Helle Astrid/0000-0002-3781-9509; Svensson, Anders/0000-0002-4364-6085; Vallelonga, Paul/0000-0003-1055-7235; Winstrup, Mai/0000-0002-4794-4004</t>
  </si>
  <si>
    <t>Center of Ice and Climate at the Niels Bohr Institute through the Carlsberg Foundation's North South Climate Connection project grant; European Research Council under the European Community/ERC [610055]</t>
  </si>
  <si>
    <t>Center of Ice and Climate at the Niels Bohr Institute through the Carlsberg Foundation's North South Climate Connection project grant; European Research Council under the European Community/ERC(European Research Council (ERC))</t>
  </si>
  <si>
    <t>This work is supported by the Center of Ice and Climate at the Niels Bohr Institute through the Carlsberg Foundation's North South Climate Connection project grant. We also thank the Alfred Wegener Institute (AWI) for supporting the retrieval of the NEGIS firn core. We acknowledge Mathilde Thorn Poulsen and Trine Schmidt Jensen for their preliminary studies of dye based pH detection. Further we give thanks to the NGRIP community and especially JP Steffensen for performing IC measurements. The research leading to these results has also received funding from the European Research Council under the European Community's Seventh Framework Programme (FP7/2007-2013)/ERC grant agreement 610055 as part of the Ice2Ice project. The RICE project is supported by an international collaboration between New Zealand, U.S, Denmark, United Kingdom, Germany, Australia, Italy, and China. We thank all the people involved in the RICE logistics, fieldwork, sampling and analytical programmes.</t>
  </si>
  <si>
    <t>AMER CHEMICAL SOC</t>
  </si>
  <si>
    <t>1155 16TH ST, NW, WASHINGTON, DC 20036 USA</t>
  </si>
  <si>
    <t>0013-936X</t>
  </si>
  <si>
    <t>1520-5851</t>
  </si>
  <si>
    <t>ENVIRON SCI TECHNOL</t>
  </si>
  <si>
    <t>Environ. Sci. Technol.</t>
  </si>
  <si>
    <t>10.1021/acs.est.6b00026</t>
  </si>
  <si>
    <t>Engineering, Environmental; Environmental Sciences</t>
  </si>
  <si>
    <t>Engineering; Environmental Sciences &amp; Ecology</t>
  </si>
  <si>
    <t>DY1GC</t>
  </si>
  <si>
    <t>WOS:000384841900022</t>
  </si>
  <si>
    <t>Hogg, OT; Huvenne, VAI; Griffiths, HJ; Dorschel, B; Linse, K</t>
  </si>
  <si>
    <t>Hogg, Oliver T.; Huvenne, Veerle A. I.; Griffiths, Huw J.; Dorschel, Boris; Linse, Katrin</t>
  </si>
  <si>
    <t>Landscape mapping at sub-Antarctic South Georgia provides a protocol for underpinning large-scale marine protected areas</t>
  </si>
  <si>
    <t>BIODIVERSITY LOSS; DEEP-SEA; CLASSIFICATION; HABITAT; CLUSTERS; ISLANDS; NUMBER; IMPACT; OCEAN; REEFS</t>
  </si>
  <si>
    <t>Global biodiversity is in decline, with the marine environment experiencing significant and increasing anthropogenic pressures. In response marine protected areas (MPAs) have increasingly been adopted as the flagship approach to marine conservation, many covering enormous areas. At present, however, the lack of biological sampling makes prioritising which regions of the ocean to protect, especially over large spatial scales, particularly problematic. Here we present an interdisciplinary approach to marine landscape mapping at the sub-Antarctic island of South Georgia as an effective protocol for underpinning large-scale (10(5)-10(6) km(2)) MPA designations. We have developed a new high-resolution (100 m) digital elevation model (DEM) of the region and integrated this DEM with bathymetry-derived parameters, modelled oceanographic data, and satellite primary productivity data. These interdisciplinary datasets were used to apply an objective statistical approach to hierarchically partition and map the benthic environment into physical habitats types. We assess the potential application of physical habitat classifications as proxies for biological structuring and the application of the landscape mapping for informing on marine spatial planning.</t>
  </si>
  <si>
    <t>[Hogg, Oliver T.; Griffiths, Huw J.; Linse, Katrin] British Antarctic Survey, Nat Environm Res Council, Madingley Rd, Cambridge CB3 0ET, England; [Hogg, Oliver T.; Huvenne, Veerle A. I.] Univ Southampton, Natl Oceanog Ctr, Waterfront Campus,European Way, Southampton SO14 3ZH, Hants, England; [Hogg, Oliver T.] Univ Southampton, Waterfront Campus,European Way, Southampton SO14 3ZH, Hants, England; [Dorschel, Boris] Helmholtz Ctr Polar &amp; Marine Res, Alfred Wegener Inst, Alten Hafen 26, D-27568 Bremerhaven, Germany</t>
  </si>
  <si>
    <t>UK Research &amp; Innovation (UKRI); Natural Environment Research Council (NERC); NERC British Antarctic Survey; NERC National Oceanography Centre; University of Southampton; University of Southampton; Helmholtz Association; Alfred Wegener Institute, Helmholtz Centre for Polar &amp; Marine Research</t>
  </si>
  <si>
    <t>Hogg, OT (corresponding author), British Antarctic Survey, Nat Environm Res Council, Madingley Rd, Cambridge CB3 0ET, England.;Hogg, OT (corresponding author), Univ Southampton, Natl Oceanog Ctr, Waterfront Campus,European Way, Southampton SO14 3ZH, Hants, England.;Hogg, OT (corresponding author), Univ Southampton, Waterfront Campus,European Way, Southampton SO14 3ZH, Hants, England.</t>
  </si>
  <si>
    <t>olgg@bas.ac.uk</t>
  </si>
  <si>
    <t>Griffiths, Huw J/D-4234-2009</t>
  </si>
  <si>
    <t>Griffiths, Huw J/0000-0003-1764-223X; Linse, Katrin/0000-0003-3477-3047; Hogg, Oliver/0000-0003-1146-0590</t>
  </si>
  <si>
    <t>National Environmental Research Council [NE/L002531/1]; ERC [258482]; National Science Foundation [PLR 1246111]; European Research Council (ERC) [258482] Funding Source: European Research Council (ERC); Natural Environment Research Council [bas0100036, 1498911, noc010011] Funding Source: researchfish; NERC [noc010011, bas0100036] Funding Source: UKRI</t>
  </si>
  <si>
    <t>National Environmental Research Council(UK Research &amp; Innovation (UKRI)Natural Environment Research Council (NERC)); ERC(European Research Council (ERC)); National Science Foundation(National Science Foundation (NSF)); European Research Council (ERC)(European Research Council (ERC)Spanish Government); Natural Environment Research Council(UK Research &amp; Innovation (UKRI)Natural Environment Research Council (NERC)); NERC(UK Research &amp; Innovation (UKRI)Natural Environment Research Council (NERC))</t>
  </si>
  <si>
    <t>This work was supported by the National Environmental Research Council [grant number NE/L002531/1] and builds on results from the CODEMAP project (ERC Starting Grant 258482), through which V. Huvenne is funded. The authors acknowledge additional bathymetry data provided with courtesy of the Alfred Wegener Institute, Helmholtz Centre for Polar and Marine Research and the National Science Foundation Grant PLR 1246111 to I.W.D. Dalziel and L.A. Lawver at the Institute for Geophysics, The University of Texas at Austin. The authors acknowledge the use of the IRIDIS High Performance Computing Facility, and associated support services at the University of Southampton, in the completion of this work. We also thank Peter Fretwell (BAS) and Elanor Gowland (formally BAS) for technical assistance with the bathymetry compilation; Drs. Phil Leat (BAS E Fellow) and Alistair Graham (University of Exeter) for their assistance in accessing bathymetry datasets and Dr. Emma Young (BAS) for providing the regional modelled oceanographic dataset.</t>
  </si>
  <si>
    <t>OCT 3</t>
  </si>
  <si>
    <t>10.1038/srep33163</t>
  </si>
  <si>
    <t>DX9ZD</t>
  </si>
  <si>
    <t>WOS:000384755200001</t>
  </si>
  <si>
    <t>Everett, A; Murray, T; Selmes, N; Rutt, IC; Luckman, A; James, TD; Clason, C; O'Leary, M; Karunarathna, H; Moloney, V; Reeve, DE</t>
  </si>
  <si>
    <t>Everett, A.; Murray, T.; Selmes, N.; Rutt, I. C.; Luckman, A.; James, T. D.; Clason, C.; O'Leary, M.; Karunarathna, H.; Moloney, V.; Reeve, D. E.</t>
  </si>
  <si>
    <t>Annual down-glacier drainage of lakes and water-filled crevasses at Helheim Glacier, southeast Greenland</t>
  </si>
  <si>
    <t>ICE-SHEET; SUPRAGLACIAL LAKE; OUTLET GLACIER; SUBGLACIAL HYDROLOGY; SEASONAL EVOLUTION; TIDEWATER GLACIER; WEST ANTARCTICA; SURFACE MELT; SYSTEM; VELOCITY</t>
  </si>
  <si>
    <t>Supraglacial lake drainage events are common on the Greenland ice sheet. Observations on the west coast typically show an up-glacier progression of drainage as the annual melt extent spreads inland. We use a suite of remote sensing and modeling techniques in order to study a series of lakes and water-filled crevasses within 20 km of the terminus of Helheim Glacier, southeast Greenland. Automatic classification of surface water areas shows a down-glacier progression of drainage, which occurs in the majority of years between 2007 and 2014. We demonstrate that a linear elastic fracture mechanics model can reliably predict the drainage of the uppermost supraglacial lake in the system but cannot explain the pattern of filling and draining observed in areas of surface water downstream. We propose that the water levels in crevasses downstream of the supraglacial lake can be explained by a transient high-pressure wave passing through the subglacial system following the lake drainage. We support this hypothesis with analysis of the subglacial hydrological conditions, which can explain both the position and interannual variation in filling order of these crevasses. Similar behavior has been observed in association with jokulhaups, surging glaciers, and Antarctic subglacial lakes but has not previously been observed on major outlets of the Greenland ice sheet. Our results suggest that the behavior of near-terminus surface water may differ considerably from that of inland supraglacial lakes, with the potential for basal water pressures to influence the presence of surface water in crevasses close to the terminus of tidewater glaciers.</t>
  </si>
  <si>
    <t>[Everett, A.; Murray, T.; Selmes, N.; Rutt, I. C.; Luckman, A.; James, T. D.; O'Leary, M.] Swansea Univ, Coll Sci, Glaciol Grp, Swansea, W Glam, Wales; [Clason, C.] Stockholm Univ, Dept Phys Geog &amp; Quaternary Geol, Stockholm, Sweden; [Clason, C.] Univ Plymouth, Sch Geog Earth &amp; Environm Sci, Plymouth, Devon, England; [Karunarathna, H.; Moloney, V.; Reeve, D. E.] Swansea Univ, Coll Engn, Energy &amp; Environm Grp, Swansea, W Glam, Wales</t>
  </si>
  <si>
    <t>Swansea University; Stockholm University; University of Plymouth; Swansea University</t>
  </si>
  <si>
    <t>Everett, A (corresponding author), Swansea Univ, Coll Sci, Glaciol Grp, Swansea, W Glam, Wales.</t>
  </si>
  <si>
    <t>a.everett.743498@swansea.ac.uk</t>
  </si>
  <si>
    <t>Reeve, Dominic/W-8125-2019; Rutt, Ian C/A-6307-2012; Karunarathna, Harshinie/L-6945-2015; Luckman, Adrian/GVS-1716-2022; Clason, Caroline/HZH-6336-2023; Selmes, Nick/N-3634-2013; James, Timothy/C-9219-2013</t>
  </si>
  <si>
    <t>Reeve, Dominic/0000-0003-1293-4743; Clason, Caroline/0000-0001-8236-2555; Everett, Alistair/0000-0002-4045-4491; Selmes, Nick/0000-0002-6557-1379; James, Timothy/0000-0003-4082-7822; Luckman, Adrian/0000-0002-9618-5905; Murray, Tavi/0000-0001-6714-6512</t>
  </si>
  <si>
    <t>Swansea University; NERC [NE/I007148/1]; DLR [HYD0178]; Natural Environment Research Council [NE/I007148/1] Funding Source: researchfish; NERC [NE/I007148/1] Funding Source: UKRI</t>
  </si>
  <si>
    <t>Swansea University; NERC(UK Research &amp; Innovation (UKRI)Natural Environment Research Council (NERC)); DLR(Helmholtz AssociationGerman Aerospace Centre (DLR)); Natural Environment Research Council(UK Research &amp; Innovation (UKRI)Natural Environment Research Council (NERC)); NERC(UK Research &amp; Innovation (UKRI)Natural Environment Research Council (NERC))</t>
  </si>
  <si>
    <t>A.E. and V.M. are supported by Swansea University Scholarships. Collection of aerial photographs and lidar data used in this work were supported by NERC grant NE/I007148/1. TerraSAR-X data were provided by DLR under project number HYD0178. Data used in this paper are freely available in online repositories, the repositories used here are stated in text. Other data and model code are available by contacting the corresponding author. We also thank Tim Bartholomaus and two anonymous reviewers whose comments greatly improved this paper.</t>
  </si>
  <si>
    <t>OCT</t>
  </si>
  <si>
    <t>10.1002/2016JF003831</t>
  </si>
  <si>
    <t>EI9LS</t>
  </si>
  <si>
    <t>Green Submitted, Green Published, Green Accepted, hybrid</t>
  </si>
  <si>
    <t>WOS:000392830200010</t>
  </si>
  <si>
    <t>Barros, MJO; Urrutia, MAS</t>
  </si>
  <si>
    <t>Ovalle Barros, Maria Jesus; Salazar Urrutia, Miguel Angel</t>
  </si>
  <si>
    <t>GEOSTRATEGIC ANALYSIS OF RUSSIA IN THE DEFROSTED SEAS OF THE NORTH. A NEW SCENE OF CONFLICT OR COOPERATION IN THE 21ST CENTURY?</t>
  </si>
  <si>
    <t>REVISTA ESTUDIOS HEMISFERICOS Y POLARES</t>
  </si>
  <si>
    <t>Spanish</t>
  </si>
  <si>
    <t>Arctic; Antarctic; Climate Change; Russia</t>
  </si>
  <si>
    <t>The current geopolitical environment situation generated by the climate change in the last decades has shown the geostrategic interests between Russia, coastal States and other States in the Arctic, as occurred with Antarctica in the mid-twentieth century. Accordingly, this work is a descriptive and analytic study of the political, environmental, economic and social situation of this region, complemented with a comparative analysis of the two polar regions of the planet, and that addresses the differences, similarities, continuities, breaks or changes in foreign policies taken by the actors involved.</t>
  </si>
  <si>
    <t>[Ovalle Barros, Maria Jesus] Velehuen ONG, Santiago, Chile; [Salazar Urrutia, Miguel Angel] Duoc UC, Valparaiso, Chile</t>
  </si>
  <si>
    <t>Barros, MJO (corresponding author), Campoamor 3178, Santiago, Chile.;Urrutia, MAS (corresponding author), Rudolth 173 Dept 2, Valparaiso, Chile.</t>
  </si>
  <si>
    <t>jesuovalle@gmail.com; miguelsalazaru@gmail.com</t>
  </si>
  <si>
    <t>CENTRO ESTUDIOS HEMISFERICOS &amp; POLARES</t>
  </si>
  <si>
    <t>VINA DEL MAR</t>
  </si>
  <si>
    <t>CALLE ROMA, 116, CALETA ABARCA, VINA DEL MAR, 2580060, CHILE</t>
  </si>
  <si>
    <t>0718-9230</t>
  </si>
  <si>
    <t>REV ESTUD HEMISFERIC</t>
  </si>
  <si>
    <t>Rev. Estud. Hemisfericos Polares</t>
  </si>
  <si>
    <t>OCT-DEC</t>
  </si>
  <si>
    <t>Area Studies</t>
  </si>
  <si>
    <t>EI2SH</t>
  </si>
  <si>
    <t>WOS:000392337800002</t>
  </si>
  <si>
    <t>Tyml, T; Skulinová, K; Kavan, J; Ditrich, O; Kostka, M; Dyková, I</t>
  </si>
  <si>
    <t>Tyml, Tomas; Skulinova, Katelina; Kavan, Jan; Ditrich, Oleg; Kostka, Martin; Dykova, Iva</t>
  </si>
  <si>
    <t>Heterolobosean amoebae from Arctic and Antarctic extremes: 18 novel strains of Allovahlkampfia, Vahlkampfia and Naegleria</t>
  </si>
  <si>
    <t>EUROPEAN JOURNAL OF PROTISTOLOGY</t>
  </si>
  <si>
    <t>Arctic; Antarctic; Heterolobosea; Molecular taxonomy; Tetramitia</t>
  </si>
  <si>
    <t>FREE-LIVING AMEBAS; N. SP; GENUS NAEGLERIA; RIBOSOMAL DNA; DIVERSITY; SOIL; PRESERVATION; VERMISTELLA; TETRAMITUS; GREENLAND</t>
  </si>
  <si>
    <t>The diversity of heterolobosean amoebae, important members of soil, marine and freshwater microeukaryote communities in the temperate zones, is greatly under-explored in high latitudes. To address this imbalance, we studied the diversity of this group of free-living amoebae in the Arctic and the Antarctic using culture dependent methods. Eighteen strain representatives of three heterolobosean genera, Allovahlkampfia Walochnik et Mulec, 2009 (1 strain), Vahlkampfia Chatton et Lalung-Bonnaier, 1912 (2) and Naegleria Alexeieff, 1912 (15) were isolated from 179 samples of wet soil and fresh water with sediments collected in 6 localities. The Allovahkampfia strain is the first representative of the genus from the Antarctic; 14 strains (7 from the Arctic, 7 from the Antarctic) of the highly represented genus Naegleria complete the 'polar' cluster of five Naegleria species previously known from the Arctic and Sub-Antarctic regions, whereas one strain enriches the 'dobsoni' cluster of Naegleria strains of diverse origin. Present isolations of Naegleria polaris De Jonckheere, 2006 from Svalbard, in the Arctic and Vega Island, in the Antarctic and N. neopolaris De Jonckheere, 2006 from Svalbard and Greenland in the Arctic, and James Ross Island, the Antarctic demonstrate their bipolar distribution, which in free-living amoebae has so far only been known for Vermistella Morand et Anderson, 2007. (C) 2016 Elsevier GmbH. All rights reserved.</t>
  </si>
  <si>
    <t>[Tyml, Tomas; Kavan, Jan; Ditrich, Oleg; Kostka, Martin] Univ South Bohemia, Fac Sci, Branisovska 31, Ceske Budejovice 37005, Czech Republic; [Tyml, Tomas; Skulinova, Katelina; Kavan, Jan; Dykova, Iva] Masaryk Univ, Fac Sci, Kotlarska 2, CS-61137 Brno, Czech Republic; [Tyml, Tomas] Biol Ctr ASCR, Inst Parasitol, Branisovska 31, Ceske Budejovice 37005, Czech Republic</t>
  </si>
  <si>
    <t>University of South Bohemia Ceske Budejovice; Masaryk University Brno; Czech Academy of Sciences; Biology Centre of the Czech Academy of Sciences</t>
  </si>
  <si>
    <t>Dyková, I (corresponding author), Masaryk Univ, Fac Sci, Kotlarska 2, CS-61137 Brno, Czech Republic.</t>
  </si>
  <si>
    <t>Skulinova, Katerina/P-5857-2019; Kostka, Martin/G-9770-2014; Skulinova, Katerina/I-3949-2017; Kavan, Jan/ACU-4986-2022; Dykova, Iva/B-9699-2013; Tyml, Tomas/S-4720-2016</t>
  </si>
  <si>
    <t>Skulinova, Katerina/0000-0002-3737-8838; Skulinova, Katerina/0000-0002-3737-8838; Kavan, Jan/0000-0003-4524-3009; Dykova, Iva/0000-0001-9254-5582; Tyml, Tomas/0000-0003-2558-9846</t>
  </si>
  <si>
    <t>Ministry of Education, Youth and Sports [LM2015078]; European Social Fund Project [CZ.1.07/2.2.00/28.0190]; Czech Science Foundation [505/12/G112]; [PICTO-2010-0096]</t>
  </si>
  <si>
    <t>Ministry of Education, Youth and Sports(Ministry of Education, Youth &amp; Sports - Czech Republic); European Social Fund Project(European Social Fund (ESF)); Czech Science Foundation(Grant Agency of the Czech Republic);</t>
  </si>
  <si>
    <t>This work was supported by funding from the Ministry of Education, Youth and Sports (LM2015078), European Social Fund Project (CZ.1.07/2.2.00/28.0190), Czech Science Foundation (505/12/G112), and PICTO-2010-0096 Project. We are very grateful to the Czech Research Arctic Infrastructure (University of South Bohemia), J. G. Mendel Antarctic station (Masaryk University), and Argentine Antarctic Institute which facilitated this work in many ways. We also extend our thanks to Otakar Strunecky for providing samples collected during his stay at the Zackenberg Research Station, Greenland. We are grateful to Keith Edwards who corrected the English text.</t>
  </si>
  <si>
    <t>ELSEVIER GMBH, URBAN &amp; FISCHER VERLAG</t>
  </si>
  <si>
    <t>JENA</t>
  </si>
  <si>
    <t>OFFICE JENA, P O BOX 100537, 07705 JENA, GERMANY</t>
  </si>
  <si>
    <t>0932-4739</t>
  </si>
  <si>
    <t>1618-0429</t>
  </si>
  <si>
    <t>EUR J PROTISTOL</t>
  </si>
  <si>
    <t>Eur. J. Protistol.</t>
  </si>
  <si>
    <t>10.1016/j.ejop.2016.08.003</t>
  </si>
  <si>
    <t>EG3UL</t>
  </si>
  <si>
    <t>WOS:000390970100014</t>
  </si>
  <si>
    <t>Lindow, J; Kamp, PJJ; Mukasa, SB; Kleber, M; Lisker, F; Gohl, K; Kuhn, G; Spiegel, C</t>
  </si>
  <si>
    <t>Lindow, Julia; Kamp, Peter J. J.; Mukasa, Samuel B.; Kleber, Michel; Lisker, Frank; Gohl, Karsten; Kuhn, Gerhard; Spiegel, Cornelia</t>
  </si>
  <si>
    <t>Exhumation history along the eastern Amundsen Sea coast, West Antarctica, revealed by low-temperature thermochronology</t>
  </si>
  <si>
    <t>TECTONICS</t>
  </si>
  <si>
    <t>MARIE BYRD LAND; PINE ISLAND BAY; ICE-SHEET; RADIATION-DAMAGE; THERMAL HISTORY; DIFFUSION KINETICS; STOPPING DISTANCES; CRUSTAL STRUCTURE; EMBAYMENT SHELF; SOUTH-PACIFIC</t>
  </si>
  <si>
    <t>West Antarctica experienced a complex tectonic history, which is still poorly documented, in part due to extensive ice cover. Here we reconstruct the Cretaceous to present thermotectonic history of Pine Island Bay area and its adjacent coasts, based on a combination of apatite and zircon fission track and apatite (U-Th-Sm)/He thermochronology. In addition, we report petrographic information for the catchments of Pine Island, Thurston Island, and Thwaites glaciers. Our data suggest that the underlying bedrock of the Pine Island and Thwaites Glacier catchments are very different and vary from granitoids to (Cenozoic?) volcanogenic sequences and low-grade metamorphics. Our thermochronology data show that the upper crustal rocks of Pine Island Bay experienced very rapid cooling during the late Cretaceous. We attribute this rapid cooling of basement rocks and associated reduction in mean elevation to tectonic denudation driven by gravitational collapse of the Cretaceous orogen along the proto-Pacific Gondwana margin. Rapid Cretaceous crustal cooling was followed by very slow cooling during the Cenozoic, with no erosional response-within the limits of thermochronological methods-to the onset of glaciation and subsequent climatic changes. Cenozoic rifting within the West Antarctic Rift appears to have had little effect on erosion processes around Pine Island Bay; instead, our data suggest Cenozoic crustal tilting toward Pine Island Trough, a major geomorphic feature previously suggested to be a branch of the rift system.</t>
  </si>
  <si>
    <t>[Lindow, Julia; Kleber, Michel; Lisker, Frank; Spiegel, Cornelia] Univ Bremen, Dept Geosci, Bremen, Germany; [Kamp, Peter J. J.] Univ Waikato, Sch Sci, Hamilton, New Zealand; [Mukasa, Samuel B.] Univ New Hampshire, Coll Engn &amp; Phys Sci, Durham, NH 03824 USA; [Gohl, Karsten; Kuhn, Gerhard] Helmholtz Ctr Polar &amp; Marine Res AWI, Alfred Wegener Inst, Bremerhaven, Germany</t>
  </si>
  <si>
    <t>University of Bremen; University of Waikato; University System Of New Hampshire; University of New Hampshire; Helmholtz Association; Alfred Wegener Institute, Helmholtz Centre for Polar &amp; Marine Research</t>
  </si>
  <si>
    <t>Lindow, J (corresponding author), Univ Bremen, Dept Geosci, Bremen, Germany.</t>
  </si>
  <si>
    <t>lindow.julia@outlook.com</t>
  </si>
  <si>
    <t>Lindow, Julia/IWU-9276-2023</t>
  </si>
  <si>
    <t>Lindow, Julia/0000-0002-7922-5135; Spiegel, Cornelia/0000-0002-1432-3447; Kleber, Michel/0000-0002-1695-1834; Lisker, Frank/0000-0002-1615-7315; Gohl, Karsten/0000-0002-9558-2116</t>
  </si>
  <si>
    <t>Deutsche Forschungsgemeinschaft (DFG) [SP673/6-1]; New Zealand Government (MBIE) [UOWX1501]; AINSE; New Zealand Ministry of Business, Innovation &amp; Employment (MBIE) [UOWX1501] Funding Source: New Zealand Ministry of Business, Innovation &amp; Employment (MBIE)</t>
  </si>
  <si>
    <t>Deutsche Forschungsgemeinschaft (DFG)(German Research Foundation (DFG)); New Zealand Government (MBIE); AINSE; New Zealand Ministry of Business, Innovation &amp; Employment (MBIE)(New Zealand Ministry of Business, Innovation and Employment (MBIE))</t>
  </si>
  <si>
    <t>We thank Friederike Bauer and Massimiliano Zattin for their very constructive and helpful reviews. For sampling assistance, we thank captain Uwe Pahl and the crew of RV Polarstern cruise ANT-XXVI/3 and the team from Heli Service International, J. Smith, I. MacNab (British Antarctic Survey), M. Scheinert, and R. Rosenau (University of Dresden). For their help with sample processing and analysis we acknowledge A. Toltz (University of Bremen) and her team of student assistants. B. Kohn (University of Melbourne) is thanked for his support regarding apatite (U-Th-Sm)/He analyses. This work was financially supported by the Deutsche Forschungsgemeinschaft (DFG) in the framework of the priority program Antarctic Research with comparative investigations in Arctic ice areas through grant SP673/6-1. P.J.J. Kamp acknowledges technical assistance from Xu Ganqing in the UoW lab, the provision of samples by John Bradshaw and Steve Weaver (University of Canterbury), New Zealand Government funding support (MBIE contract UOWX1501), and AINSE funding support for irradiations at ANSTO, Lucas Heights, Australia. All data used are documented in the listed references, tables, and supporting information.</t>
  </si>
  <si>
    <t>0278-7407</t>
  </si>
  <si>
    <t>1944-9194</t>
  </si>
  <si>
    <t>Tectonics</t>
  </si>
  <si>
    <t>10.1002/2016TC004236</t>
  </si>
  <si>
    <t>EE1HP</t>
  </si>
  <si>
    <t>WOS:000389332000002</t>
  </si>
  <si>
    <t>Godin, OA; Zabotin, NA</t>
  </si>
  <si>
    <t>Godin, Oleg A.; Zabotin, Nikolay A.</t>
  </si>
  <si>
    <t>Resonance vibrations of the Ross Ice Shelf and observations of persistent atmospheric waves</t>
  </si>
  <si>
    <t>JOURNAL OF GEOPHYSICAL RESEARCH-SPACE PHYSICS</t>
  </si>
  <si>
    <t>ACOUSTIC-GRAVITY WAVES; INFRAGRAVITY WAVES; SEA-ICE; OCEAN WAVES; DEEP-OCEAN; THERMOSPHERE; MODEL; EARTHQUAKES; MECHANISM; CAVITY</t>
  </si>
  <si>
    <t>Recently reported lidar observations have revealed a persistent wave activity in the Antarctic middle and upper atmosphere that has no counterpart in observations at midlatitude and low-latitude locations. The unusual wave activity suggests a geographically specific source of atmospheric waves with periods of 3-10h. Here we investigate theoretically the hypothesis that the unusual atmospheric wave activity in Antarctica is generated by the fundamental and low-order modes of vibrations of the Ross Ice Shelf (RIS). Simple models are developed to describe basic physical properties of resonant vibrations of large ice shelves and their coupling to the atmosphere. Dispersion relation of the long surface waves, which propagate in the floating ice sheet and are responsible for its low-order resonances, is found to be similar to the dispersion relation of infragravity waves in the ice-free ocean. The phase speed of the surface waves and the resonant frequencies determine the periods and wave vectors of atmospheric waves that are generated by the RIS resonant oscillations. The altitude-dependent vertical wavelengths and the periods of the acoustic-gravity waves in the atmosphere are shown to be sensitive to the physical parameters of the RIS, which can be difficult to measure by other means. Predicted properties of the atmospheric waves prove to be in a remarkable agreement with the key features of the observed persistent wave activity.</t>
  </si>
  <si>
    <t>[Godin, Oleg A.] Naval Postgrad Sch, Dept Phys, Monterey, CA 93943 USA; [Zabotin, Nikolay A.] Univ Colorado, Dept Elect Comp &amp; Energy Engn, Boulder, CO 80309 USA</t>
  </si>
  <si>
    <t>United States Department of Defense; United States Navy; Naval Postgraduate School; University of Colorado System; University of Colorado Boulder</t>
  </si>
  <si>
    <t>Godin, OA (corresponding author), Naval Postgrad Sch, Dept Phys, Monterey, CA 93943 USA.</t>
  </si>
  <si>
    <t>oagodin@nps.edu</t>
  </si>
  <si>
    <t>Godin, Oleg A/E-6554-2011; Zabotin, Nikolay/A-9639-2015</t>
  </si>
  <si>
    <t>Basic Research Challenge program of the Office of Naval Research [N000141310348]; National Science Foundation [CNS-0821794]</t>
  </si>
  <si>
    <t>Basic Research Challenge program of the Office of Naval Research(Office of Naval Research); National Science Foundation(National Science Foundation (NSF))</t>
  </si>
  <si>
    <t>We are grateful to the Editor, Michael Liemohn, and two anonymous referees for comments and suggestions that helped us to improve presentation. All data for this paper are properly cited and referred to in the reference list. The research reported in this paper was supported by the Basic Research Challenge program of the Office of Naval Research, award N000141310348 and utilized the research computing facility at the University of Colorado Boulder, which is supported by the National Science Foundation, award CNS-0821794.</t>
  </si>
  <si>
    <t>2169-9380</t>
  </si>
  <si>
    <t>2169-9402</t>
  </si>
  <si>
    <t>J GEOPHYS RES-SPACE</t>
  </si>
  <si>
    <t>J. Geophys. Res-Space Phys.</t>
  </si>
  <si>
    <t>10.1002/2016JA023226</t>
  </si>
  <si>
    <t>ED6LA</t>
  </si>
  <si>
    <t>WOS:000388965900055</t>
  </si>
  <si>
    <t>Jung, W; Kim, E; Han, S; Choi, HG; Kim, S</t>
  </si>
  <si>
    <t>Jung, Woongsic; Kim, Eun Jae; Han, Se Jong; Choi, Han-Gu; Kim, Sanghee</t>
  </si>
  <si>
    <t>Characterization of Stearoyl-CoA Desaturases from a Psychrophilic Antarctic Copepod, Tigriopus kingsejongensis</t>
  </si>
  <si>
    <t>MARINE BIOTECHNOLOGY</t>
  </si>
  <si>
    <t>Antarctic copepod; Tigriopus kingsejongensis; Psychrophilic; Palmitoleic acidmethyl ester; Oleic acid methyl ester; FAME(fatty acid methyl ester)</t>
  </si>
  <si>
    <t>FATTY-ACID; SUBSTRATE-SPECIFICITY; PROTEIN; EXPRESSION; COENZYME; SEQUENCE; CLONING; CDNA; COLD</t>
  </si>
  <si>
    <t>Stearoyl-CoA desaturase is a key regulator in fatty acid metabolism that catalyzes the desaturation of stearic acid to oleic acid and controls the intracellular levels of monounsaturated fatty acids (MUFAs). Two stearoyl-CoA desaturases (SCD, Delta 9 desaturases) genes were identified in an Antarctic copepod, Tigriopus kingsejongensis, that was collected in a tidal pool near the King Sejong Station, King George Island, Antarctica. Full-length complementary DNA (cDNA) sequences of two T. kingsejongensis SCDs (TkSCDs) were obtained from next-generation sequencing and isolated by reverse transcription PCR. DNA sequence lengths of the open reading frames of TkSCD-1 and TkSCD-2 were determined to be 1110 and 681 bp, respectively. The molecular weights deduced from the corresponding genes were estimated to be 43.1 kDa (TkSCD-1) and 26.1 kDa (TkSCD-2). The amino acid sequences were compared with those of fatty acid desaturases and sterol desaturases from various organisms and used to analyze the relationships among TkSCDs. As assessed by heterologous expression of recombinant proteins in Escherichia coli, the enzymatic functions of both stearoyl-CoA desaturases revealed that the amount of C16:1 and C18:1 fatty acids increased by greater than 3-fold after induction with isopropyl beta-d-thiogalactopyranoside. In particular, C18:1 fatty acid production increased greater than 10-fold in E. coli expressing TkSCD-1 and TkSCD-2. The results of this study suggest that both SCD genes from an Antarctic marine copepod encode a functional desaturase that is capable of increasing the amounts of palmitoleic acid and oleic acid in a prokaryotic expression system.</t>
  </si>
  <si>
    <t>[Jung, Woongsic; Kim, Eun Jae; Han, Se Jong; Choi, Han-Gu; Kim, Sanghee] Korea Polar Res Inst, Div Polar Life Sci, KIOST, Inchon 21990, South Korea; [Kim, Eun Jae; Han, Se Jong] Univ Sci &amp; Technol, Dept Polar Life Sci, Inchon 21990, South Korea</t>
  </si>
  <si>
    <t>Korea Institute of Ocean Science &amp; Technology (KIOST); Korea Polar Research Institute (KOPRI)</t>
  </si>
  <si>
    <t>Kim, S (corresponding author), Korea Polar Res Inst, Div Polar Life Sci, KIOST, Inchon 21990, South Korea.</t>
  </si>
  <si>
    <t>sangheekim@kopri.re.kr</t>
  </si>
  <si>
    <t>HAN, Se Jong/0000-0001-9576-2179</t>
  </si>
  <si>
    <t>Korea Polar Research Institute (KOPRI) [PE15020, PE14260]</t>
  </si>
  <si>
    <t>Korea Polar Research Institute (KOPRI)(Korea Polar Research Institute of Marine Research Placement (KOPRI))</t>
  </si>
  <si>
    <t>This work was supported by an Antarctic copepod genome project (PE14260 to S. Kim) and the basic research program (PE15020 to W. Jung) of the Korea Polar Research Institute (KOPRI).</t>
  </si>
  <si>
    <t>1436-2228</t>
  </si>
  <si>
    <t>1436-2236</t>
  </si>
  <si>
    <t>MAR BIOTECHNOL</t>
  </si>
  <si>
    <t>Mar. Biotechnol.</t>
  </si>
  <si>
    <t>10.1007/s10126-016-9714-8</t>
  </si>
  <si>
    <t>Biotechnology &amp; Applied Microbiology; Marine &amp; Freshwater Biology</t>
  </si>
  <si>
    <t>ED4PA</t>
  </si>
  <si>
    <t>WOS:000388831000004</t>
  </si>
  <si>
    <t>Alfonsi, L; Cilliers, PJ; Romano, V; Hunstad, I; Correia, E; Linty, N; Dovis, F; Terzo, O; Ruiu, P; Ward, J; Riley, P</t>
  </si>
  <si>
    <t>Alfonsi, L.; Cilliers, P. J.; Romano, V.; Hunstad, I.; Correia, E.; Linty, N.; Dovis, F.; Terzo, O.; Ruiu, P.; Ward, J.; Riley, P.</t>
  </si>
  <si>
    <t>First Observations of GNSS Ionospheric Scintillations From DemoGRAPE Project</t>
  </si>
  <si>
    <t>SPACE WEATHER-THE INTERNATIONAL JOURNAL OF RESEARCH AND APPLICATIONS</t>
  </si>
  <si>
    <t>The Istituto Nazionale di Geofisica e Vulcanologia leads an international project funded by the Italian National Program for Antarctic Research, called Demonstrator of Global Navigation Satellite System (GNSS) Research and Application for Polar Environment (DemoGRAPE), in partnership with Politecnico di Torino, Istituto Superiore Mario Boella, and with South African National Space Agency and the Brazilian National Institute of Space Physics, as key collaborators. DemoGRAPE is a new prototype of support for the satellite navigation in Antarctica. Besides the scientific interest, the accuracy of satellite navigation in Antarctica is of paramount importance since there is always the danger that people and vehicles can fall into a crevasse during a snowstorm, when visibility is limited and travel is restricted to following specified routes using satellite navigation systems. The variability of ionospheric delay and ionospheric scintillation are two of the primary factors which affect the accuracy of satellite navigation. The project will provide a demonstrator of cutting edge technology for the empirical assessment of the ionospheric delay and ionospheric scintillations in the polar regions. The scope of the project includes new equipment for the recording and dissemination of GNSS data and products installed at the South African and Brazilian bases in Antarctica. The new equipment will facilitate the exchange of software and derived products via the Cloud computing technology infrastructure. The project portal is accessible at . We report the first Global Navigation Satellite System (GNSS) signal scintillations observed in Antarctica.</t>
  </si>
  <si>
    <t>[Alfonsi, L.; Romano, V.; Hunstad, I.] Ist Nazl Geofis &amp; Vulcanol, Rome, Italy; [Cilliers, P. J.] South African Natl Space Agcy, Space Sci Directorate, Hermanus, South Africa; [Correia, E.] Inst Nacl Pesquisas Espaciais, Sao Paulo, Brazil; [Linty, N.] Politecn Torino, Dept Elect &amp; Telecommun, Turin, Italy; [Dovis, F.] Politecn Torino, Dept Elect &amp; Telecommun, Turin, Italy; [Terzo, O.; Ruiu, P.] Ist Superiore Mario Boella, Turin, Italy; [Ward, J.] South African Natl Space Agcy, Space Sci Directorate, Elect Engn Engn &amp; Data Acquisit Unit, Hermanus, South Africa; [Riley, P.] South African Natl Space Agcy, Space Sci Directorate, SANAE 4, Overwintering Team 2016, Hermanus, South Africa</t>
  </si>
  <si>
    <t>Istituto Nazionale Geofisica e Vulcanologia (INGV); Instituto Nacional de Pesquisas Espaciais (INPE); Polytechnic University of Turin; Polytechnic University of Turin</t>
  </si>
  <si>
    <t>Alfonsi, L (corresponding author), Ist Nazl Geofis &amp; Vulcanol, Rome, Italy.</t>
  </si>
  <si>
    <t>lucilla.alfonsi@ingv.it</t>
  </si>
  <si>
    <t>Linty, Nicola/I-1212-2019; Ruiu, Pietro/AFO-0316-2022; Cilliers, Pierre/ABI-2944-2020; Correia, Emilia/F-6802-2012; Alfonsi, Lucilla/V-2969-2018; Dovis, Fabio/F-3843-2012; Romano, Vincenzo/HKV-6552-2023; Cilliers, Pierre/AAA-2032-2019</t>
  </si>
  <si>
    <t>Linty, Nicola/0000-0001-9795-8693; Ruiu, Pietro/0000-0003-4420-3363; Cilliers, Pierre/0000-0003-3175-5134; Correia, Emilia/0000-0003-4778-3834; Dovis, Fabio/0000-0001-6078-9099; Romano, Vincenzo/0000-0002-7532-4507; Hunstad, Ingrid/0000-0002-3573-873X; Alfonsi, Lucilla/0000-0002-1806-9327</t>
  </si>
  <si>
    <t>Italian Ministry of Education, Universities and Research (Ministero dell'Istruzione, dell'Universita e della Ricerca, MIUR); Italian National Research Programme for Antarctica (Programma Nazionale di Ricerche in Antartide, PNRA) [2013/C3.01]; South African National Research Foundation [93084]; SCAR; Joint Research Center of the European Commission at ISPRA; CNRS; CNES; Observatoire de Paris; Universite Paul Sabatier, Toulouse</t>
  </si>
  <si>
    <t>Italian Ministry of Education, Universities and Research (Ministero dell'Istruzione, dell'Universita e della Ricerca, MIUR)(Ministry of Education, Universities and Research (MIUR)); Italian National Research Programme for Antarctica (Programma Nazionale di Ricerche in Antartide, PNRA); South African National Research Foundation(National Research Foundation - South Africa); SCAR; Joint Research Center of the European Commission at ISPRA; CNRS(Centre National de la Recherche Scientifique (CNRS)); CNES(Centre National D'etudes Spatiales); Observatoire de Paris; Universite Paul Sabatier, Toulouse</t>
  </si>
  <si>
    <t>This study was carried out with financial support from the Italian Ministry of Education, Universities and Research (Ministero dell'Istruzione, dell'Universita e della Ricerca, MIUR), the Italian National Research Programme for Antarctica (Programma Nazionale di Ricerche in Antartide, PNRA), in the framework of the DemoGRAPE project, under contract 2013/C3.01. This work is also based on research supported by the South African National Research Foundation through grant 93084 to the South African National Space Agency. The DemoGRAPE equipment at SANAE IV was installed and is maintained by the Engineering and Data Acquisition Unit of SANSA Space Science under the leadership of Gert Lamprecht. The DemoGRAPE equipment at EACF is maintained by INPE under the leadership of Emilia Correia, under the Brazilian Antarctic Program (PROANTAR). The authors thank the GRAPE Expert Group funded by SCAR (http://www.grape.scar.org/). The authors thank the Joint Research Center of the European Commission at ISPRA for their support to the DemoGRAPE project, providing assistance and hardware support. Dst data analysis was performed with the AMDA science analysis system provided by the Centre de Donnees de la Physique des Plasmas (CDPP) supported by CNRS, CNES, Observatoire de Paris and Universite Paul Sabatier, Toulouse. Dst data are provided by the World Data Center of Kyoto. The DemoGRAPE elaborated data, as the examples shown in this paper, will be available at prototype level by becoming a registered user through the project portal (www.demogrape.net). DemoGRAPE raw data are available upon request to the single institution owner or contacting the project coordinator (lucilla.alfonsi@ingv.it).</t>
  </si>
  <si>
    <t>1542-7390</t>
  </si>
  <si>
    <t>SPACE WEATHER</t>
  </si>
  <si>
    <t>Space Weather</t>
  </si>
  <si>
    <t>10.1002/2016SW001488</t>
  </si>
  <si>
    <t>Astronomy &amp; Astrophysics; Geochemistry &amp; Geophysics; Meteorology &amp; Atmospheric Sciences</t>
  </si>
  <si>
    <t>EC0PK</t>
  </si>
  <si>
    <t>WOS:000387802900002</t>
  </si>
  <si>
    <t>Freeman, NM; Lovenduski, NS; Gent, PR</t>
  </si>
  <si>
    <t>Freeman, Natalie M.; Lovenduski, Nicole S.; Gent, Peter R.</t>
  </si>
  <si>
    <t>Temporal variability in the Antarctic Polar Front (2002-2014)</t>
  </si>
  <si>
    <t>JOURNAL OF GEOPHYSICAL RESEARCH-OCEANS</t>
  </si>
  <si>
    <t>Antarctic Polar Front; climate variability; Southern Ocean; Antarctic Circumpolar Current</t>
  </si>
  <si>
    <t>SEA-SURFACE TEMPERATURE; SOUTHERN ANNULAR MODE; CIRCUMPOLAR CURRENT; OCEAN FRONTS; EXTRATROPICAL CIRCULATION; INDIAN-OCEAN; ICE; TRENDS; ATMOSPHERE; LOCATION</t>
  </si>
  <si>
    <t>We investigate intraannual to interannual variability in the Antarctic Polar Front (PF) using weekly PF realizations spanning 2002-2014 (found at doi.pangaea.de/10.1594/PANGAEA.855640). While several PF studies have used gradient maxima in sea surface temperature (SST) or height to define its location, results from this study are based on a PF defined using SST measurements that avoid cloud contamination and the influence of steric sea level change. With a few regional exceptions, we find that the latitudinal position of the PF does not vary seasonally, yet its temperature exhibits a clear seasonal cycle. Consistent with previous studies, the position and intensity of the PF is largely influenced by bathymetry; generally, over steep topography, we find that the front intensifies and interannual variability in its position is low. We also investigate drivers of PF variability in the context of large-scale climate variability on various spatial and temporal scales, but find that the major modes of Southern Hemisphere climate variability explain only a tiny fraction of the interannual PF variance. Over the study time period, the PF intensifies at nearly all longitudes while exhibiting no discernible meridional displacement in its zonal mean path.</t>
  </si>
  <si>
    <t>[Freeman, Natalie M.; Lovenduski, Nicole S.] Dept Atmospher &amp; Ocean Sci, Boulder, CO USA; [Freeman, Natalie M.; Lovenduski, Nicole S.] Inst Arctic &amp; Alpine Res, Boulder, CO 80309 USA; [Gent, Peter R.] Natl Ctr Atmospher Res, Climate &amp; Global Dynam Lab, POB 3000, Boulder, CO 80307 USA</t>
  </si>
  <si>
    <t>National Center Atmospheric Research (NCAR) - USA</t>
  </si>
  <si>
    <t>Freeman, NM (corresponding author), Dept Atmospher &amp; Ocean Sci, Boulder, CO USA.;Freeman, NM (corresponding author), Inst Arctic &amp; Alpine Res, Boulder, CO 80309 USA.</t>
  </si>
  <si>
    <t>natalie.freeman@colorado.edu</t>
  </si>
  <si>
    <t>Lovenduski, Nicole S/A-6226-2011; Gent, Peter/HGB-9457-2022; Lovenduski, Nicole/V-4014-2019; Freeman, Natalie/F-8672-2015</t>
  </si>
  <si>
    <t>Lovenduski, Nicole/0000-0001-5893-1009; Freeman, Natalie/0000-0002-4718-5650</t>
  </si>
  <si>
    <t>National Oceanographic Partnership Program (NOPP); NASA Earth Science Physical Oceanography Program; NASA MEaSUREs Program; NSF [PLR-1543457, OCE-1258995, OCE-1155240]; NOAA [NA12OAR4310058]; National Science Foundation; Directorate For Geosciences; Office of Polar Programs (OPP) [1543457] Funding Source: National Science Foundation; Division Of Ocean Sciences; Directorate For Geosciences [1155240] Funding Source: National Science Foundation; Division Of Ocean Sciences; Directorate For Geosciences [1258995] Funding Source: National Science Foundation</t>
  </si>
  <si>
    <t>National Oceanographic Partnership Program (NOPP); NASA Earth Science Physical Oceanography Program(National Aeronautics &amp; Space Administration (NASA)); NASA MEaSUREs Program; NSF(National Science Foundation (NSF)); NOAA(National Oceanic Atmospheric Admin (NOAA) - USA); National Science Foundation(National Science Foundation (NSF)); Directorate For Geosciences; Office of Polar Programs (OPP)(National Science Foundation (NSF)NSF - Directorate for Geosciences (GEO)); Division Of Ocean Sciences; Directorate For Geosciences(National Science Foundation (NSF)NSF - Directorate for Geosciences (GEO)); Division Of Ocean Sciences; Directorate For Geosciences(National Science Foundation (NSF)NSF - Directorate for Geosciences (GEO))</t>
  </si>
  <si>
    <t>Weekly PF realizations are available at doi.pangaea.de/10.1594/PANGAEA.855640. Microwave OI SST data are produced by Remote Sensing Systems and sponsored by National Oceanographic Partnership Program (NOPP) and the NASA Earth Science Physical Oceanography Program; data are available at www.remss.com. Microwave radiometer wind speed data are processed by Remote Sensing Systems with funding from the NASA MEaSUREs Program and from the NASA Earth Science Physical Oceanography Program; data are available at www.remss.com. N.M.F. and N.S.L. are grateful for support from NSF (PLR-1543457, OCE-1258995, and OCE-1155240) and NOAA (NA12OAR4310058). NCAR is funded by the National Science Foundation.</t>
  </si>
  <si>
    <t>2169-9275</t>
  </si>
  <si>
    <t>2169-9291</t>
  </si>
  <si>
    <t>J GEOPHYS RES-OCEANS</t>
  </si>
  <si>
    <t>J. Geophys. Res.-Oceans</t>
  </si>
  <si>
    <t>10.1002/2016JC012145</t>
  </si>
  <si>
    <t>ED1JS</t>
  </si>
  <si>
    <t>WOS:000388602200003</t>
  </si>
  <si>
    <t>Graham, JA; Dinniman, MS; Klinck, JM</t>
  </si>
  <si>
    <t>Graham, Jennifer A.; Dinniman, Michael S.; Klinck, John M.</t>
  </si>
  <si>
    <t>Impact of model resolution for on-shelf heat transport along the West Antarctic Peninsula</t>
  </si>
  <si>
    <t>West Antarctic Peninsula; on-shelf heat transport; model resolution; circumpolar deep water; Antarctic continental shelves; shelf water temperature</t>
  </si>
  <si>
    <t>CIRCUMPOLAR DEEP-WATER; CONTINENTAL-SHELF; ICE-SHELF; BELLINGSHAUSEN SEA; OCEAN; CIRCULATION; EXCHANGE; SYSTEM; BREAK; VARIABILITY</t>
  </si>
  <si>
    <t>The flux of warm deep water onto Antarctic continental shelves plays a vital role in determining water mass properties adjacent to the continent. A regional model, with two different grid resolutions, has been used to simulate ocean processes along the West Antarctic Peninsula. At both 4 km and 1.5 km resolution, the model reproduces the locations of warm intrusions, as shown through comparison with observations from instrumented seals. However, the 1.5 km simulation shows greater on-shelf heat transport, leading to improved representation of heat content on the shelf. This increased heat transport is associated with increased eddy activity, both at the shelf-break and in the deep ocean off-shore. Cross-shelf troughs are key locations of on-shelf heat transport. Comparison of two troughs, Belgica and Marguerite, shows differing responses to increased resolution. At higher resolution, there is an increased on-shelf volume transport at Belgica Trough, but not at Marguerite Trough. This is likely related to the differing structure of the shelf-break jet between these two locations. The increased heat flux at Marguerite Trough is attributed to increased heat content in the on-shelf transport. Increased eddy activity off-shelf may lead to greater cross-front heat transport, and therefore increased heat available above the continental slope. While these simulations differ in their magnitude of heat transport, both show similar patterns of variability. Variations in wind stress lead to variations in speed of the shelf-break jet, and therefore on-shelf heat transport. These results demonstrate the importance of model resolution for understanding cross-shelf transport around Antarctica.</t>
  </si>
  <si>
    <t>[Graham, Jennifer A.; Dinniman, Michael S.; Klinck, John M.] Old Dominion Univ, Ctr Coastal Phys Oceanog, Norfolk, VA 23529 USA; [Graham, Jennifer A.] Met Off Hadley Ctr, Fitzroy Rd, Exeter, Devon, England</t>
  </si>
  <si>
    <t>Old Dominion University; Met Office - UK; Hadley Centre</t>
  </si>
  <si>
    <t>Graham, JA (corresponding author), Old Dominion Univ, Ctr Coastal Phys Oceanog, Norfolk, VA 23529 USA.;Graham, JA (corresponding author), Met Off Hadley Ctr, Fitzroy Rd, Exeter, Devon, England.</t>
  </si>
  <si>
    <t>jennifer.graham@metoffice.gov.uk</t>
  </si>
  <si>
    <t>Klinck, John/0000-0003-4312-5201; Dinniman, Michael/0000-0001-7519-9278; Graham, Jennifer/0000-0002-1950-5266</t>
  </si>
  <si>
    <t>Turing High Performance Computing cluster at Old Dominion University (ODU); National Science Foundation [ANT-0944223]; Public Weather Service (PWS) funding at the Met Office, UK</t>
  </si>
  <si>
    <t>Turing High Performance Computing cluster at Old Dominion University (ODU); National Science Foundation(National Science Foundation (NSF)); Public Weather Service (PWS) funding at the Met Office, UK</t>
  </si>
  <si>
    <t>This research was supported by the Turing High Performance Computing cluster at Old Dominion University (ODU). The data for this study are stored on the ODU mass storage system, and are available upon request to the corresponding author (Jennifer Graham, jennifer.graham@metoffice.gov.uk). This work was partially supported by a grant from the National Science Foundation (ANT-0944223), and Public Weather Service (PWS) funding at the Met Office, UK. We would also like to thank two anonymous reviewers for their constructive comments, which significantly improved this manuscript.</t>
  </si>
  <si>
    <t>10.1002/2016JC011875</t>
  </si>
  <si>
    <t>Green Published, Green Accepted</t>
  </si>
  <si>
    <t>WOS:000388602200037</t>
  </si>
  <si>
    <t>Kuhn, DE; O'Brien, KM; Crockett, EL</t>
  </si>
  <si>
    <t>Kuhn, Donald E.; O'Brien, Kristin M.; Crockett, Elizabeth L.</t>
  </si>
  <si>
    <t>Expansion of capacities for iron transport and sequestration reflects plasma volumes and heart mass among white-blooded notothenioid fishes</t>
  </si>
  <si>
    <t>AMERICAN JOURNAL OF PHYSIOLOGY-REGULATORY INTEGRATIVE AND COMPARATIVE PHYSIOLOGY</t>
  </si>
  <si>
    <t>Antarctic notothenioid fishes; iron processing; transferrin; ferritin, ceruloplasmin</t>
  </si>
  <si>
    <t>BINDING-CAPACITY; ANTARCTIC FISH; OXIDATIVE STRESS; HEMOGLOBIN; TRANSFERRIN; MYOGLOBIN; CERULOPLASMIN; METABOLISM; ASSAY; FERRITIN</t>
  </si>
  <si>
    <t>The family Channichthyidae or icefishes (suborder Notothenioidei) represents the only vertebrates lacking hemoglobin (Hb) as adults. Several icefish species also do not express cardiac myoglobin (Mb). We address how levels of proteins involved in iron (Fe) processing (transport, sequestration, and export) vary among white-and red-blooded notothenioids, and whether absence of Hb and/or Mb in channichthyids is accompanied by expansion of contents of Fe-binding proteins to protect against unchaperoned Fe. Levels of transferrin (Tf), ferritin (Ft), ceruloplasmin (Cp), and non-heme Fe were quantified in plasma, serum, and/or nonhematopoietic tissues (cardiac ventricle, skeletal muscle, and liver) from species of white-blooded (Chaenocephalus aceratus, Champsocephalus gunnari, Chionodraco rastrospinosus, Pseudochaenichthys georgianus) (the first two species not expressing Mb) and red-blooded (Notothenia coriiceps, Gobionotothen gibberifrons) notothenioids. We also measured levels of ascorbate (Asc), a mediator of Fe uptake. While plasma concentrations of Tf and tissue levels of Asc are similar among species, concentrations of plasma Asc are lower in white-blooded species. Concentrations of Ft and non-heme Fe and activities of Cp are also generally reduced in icefishes compared with red-blooded notothenioids. The presence of cardiac Mb in some icefish species does not appear to influence levels of proteins involved in Fe processing. To address further the question of Fe sequestration within a physiological context, we account for well-characterized differences in blood volume and heart mass among white-and red-blooded notothenioids. We report that total contents of plasma Tf are greater, while ventricle non-heme Fe is at least at parity in white-vs. red-blooded species.</t>
  </si>
  <si>
    <t>[Kuhn, Donald E.; Crockett, Elizabeth L.] Ohio Univ, Dept Biol Sci, Athens, OH 45701 USA; [O'Brien, Kristin M.] Univ Alaska, Inst Arctic Biol, Fairbanks, AK 99775 USA</t>
  </si>
  <si>
    <t>University System of Ohio; Ohio University; University of Alaska System; University of Alaska Fairbanks</t>
  </si>
  <si>
    <t>Crockett, EL (corresponding author), Ohio Univ, Dept Biol Sci, Athens, OH 45701 USA.</t>
  </si>
  <si>
    <t>crockett@ohio.edu</t>
  </si>
  <si>
    <t>National Science Foundation (NSF) [ANT 1043781]; NSF [ANT 1043576]; Office of Polar Programs (OPP); Directorate For Geosciences [1043781, 1043576] Funding Source: National Science Foundation</t>
  </si>
  <si>
    <t>National Science Foundation (NSF)(National Science Foundation (NSF)); NSF(National Science Foundation (NSF)); Office of Polar Programs (OPP); Directorate For Geosciences(National Science Foundation (NSF)NSF - Directorate for Geosciences (GEO))</t>
  </si>
  <si>
    <t>This research has been supported by National Science Foundation (NSF) ANT 1043781 to K. M. O'Brien and NSF ANT 1043576 to E. L. Crockett.</t>
  </si>
  <si>
    <t>AMER PHYSIOLOGICAL SOC</t>
  </si>
  <si>
    <t>BETHESDA</t>
  </si>
  <si>
    <t>9650 ROCKVILLE PIKE, BETHESDA, MD 20814 USA</t>
  </si>
  <si>
    <t>0363-6119</t>
  </si>
  <si>
    <t>1522-1490</t>
  </si>
  <si>
    <t>AM J PHYSIOL-REG I</t>
  </si>
  <si>
    <t>Am. J. Physiol.-Regul. Integr. Comp. Physiol.</t>
  </si>
  <si>
    <t>OCT 1</t>
  </si>
  <si>
    <t>R649</t>
  </si>
  <si>
    <t>R657</t>
  </si>
  <si>
    <t>10.1152/ajpregu.00188.2016</t>
  </si>
  <si>
    <t>Physiology</t>
  </si>
  <si>
    <t>EC9HX</t>
  </si>
  <si>
    <t>WOS:000388456500004</t>
  </si>
  <si>
    <t>Li, KF; Zhang, Q; Tung, KK; Yung, YL</t>
  </si>
  <si>
    <t>Li, King-Fai; Zhang, Qiong; Tung, Ka-Kit; Yung, Yuk L.</t>
  </si>
  <si>
    <t>Resolving a long-standing model-observation discrepancy on ozone solar cycle response</t>
  </si>
  <si>
    <t>EARTH AND SPACE SCIENCE</t>
  </si>
  <si>
    <t>orbital drifts; diurnal asymmetry; artificial decadal variability</t>
  </si>
  <si>
    <t>QUASI-BIENNIAL OSCILLATION; STRATOSPHERIC OZONE; ANTARCTIC OZONE; SPECTRAL IRRADIANCE; LOWER THERMOSPHERE; ATMOSPHERIC OZONE; WATER-VAPOR; VARIABILITY; QBO; CLIMATE</t>
  </si>
  <si>
    <t>To have the capability for long-term prediction of stratospheric ozone (O-3), chemistry-climate models have often been tested against observations on decadal timescales. A model-observation discrepancy in the tropical O-3 response to the 11year solar cycle, first noted in 1993, persists for more than 20years: While standard photochemical models predict a single-peak response in the stratosphere, satellite observations show an unexpected double-peak structure. Such discrepancy has led to the question of whether the current standard O-3 photochemistry is deficient. Various studies have explored uncertainties in photochemistry and dynamics but there has not been compelling evidence of model biases. Here we suggest that decadal satellite orbital drifts relative to the diurnal cycle could be the primary cause of the discrepancy. We show that the double-peak structure can be reproduced by adding the A.M./P.M. diurnal difference to the single-peak response predicted by the standard photochemistry. Thus we argue that the standard photochemistry is consistent with the observed solar cycle modulation in stratospheric O-3.</t>
  </si>
  <si>
    <t>[Li, King-Fai; Tung, Ka-Kit] Univ Washington, Dept Appl Math, Seattle, WA 98195 USA; [Zhang, Qiong; Yung, Yuk L.] CALTECH, Div Geol &amp; Planetary Sci, Pasadena, CA 91125 USA</t>
  </si>
  <si>
    <t>University of Washington; University of Washington Seattle; California Institute of Technology</t>
  </si>
  <si>
    <t>Li, KF (corresponding author), Univ Washington, Dept Appl Math, Seattle, WA 98195 USA.</t>
  </si>
  <si>
    <t>kfli@uw.edu</t>
  </si>
  <si>
    <t>Li, King-Fai/AAZ-9552-2020; Yung, Yuk/AAM-4850-2021</t>
  </si>
  <si>
    <t>Yung, Yuk/0000-0002-4263-2562; Tung, Ka-Kit/0000-0001-8667-7167; Li, King-Fai/0000-0003-0150-2910</t>
  </si>
  <si>
    <t>Direct For Mathematical &amp; Physical Scien; Division Of Mathematical Sciences [0940342] Funding Source: National Science Foundation; Directorate For Geosciences; Div Atmospheric &amp; Geospace Sciences [1262231] Funding Source: National Science Foundation</t>
  </si>
  <si>
    <t>Direct For Mathematical &amp; Physical Scien; Division Of Mathematical Sciences(National Science Foundation (NSF)NSF - Directorate for Mathematical &amp; Physical Sciences (MPS)); Directorate For Geosciences; Div Atmospheric &amp; Geospace Sciences(National Science Foundation (NSF)NSF - Directorate for Geosciences (GEO))</t>
  </si>
  <si>
    <t>2333-5084</t>
  </si>
  <si>
    <t>EARTH SPACE SCI</t>
  </si>
  <si>
    <t>Earth Space Sci.</t>
  </si>
  <si>
    <t>10.1002/2016EA000199</t>
  </si>
  <si>
    <t>Astronomy &amp; Astrophysics; Geosciences, Multidisciplinary</t>
  </si>
  <si>
    <t>Astronomy &amp; Astrophysics; Geology</t>
  </si>
  <si>
    <t>EC0LZ</t>
  </si>
  <si>
    <t>Green Accepted, gold</t>
  </si>
  <si>
    <t>WOS:000387793900003</t>
  </si>
  <si>
    <t>Fitzsimmons, JN; Conway, TM; Lee, JM; Kayser, R; Thyng, KM; John, SG; Boyle, EA</t>
  </si>
  <si>
    <t>Fitzsimmons, Jessica N.; Conway, Tim M.; Lee, Jong-Mi; Kayser, Richard; Thyng, Kristen M.; John, Seth G.; Boyle, Edward A.</t>
  </si>
  <si>
    <t>Dissolved iron and iron isotopes in the southeastern Pacific Ocean</t>
  </si>
  <si>
    <t>SIZE-FRACTIONATED IRON; FE-ISOTOPE; EAST PACIFIC; HYDROTHERMAL PLUME; SOUTH-PACIFIC; WATER COLUMN; NUTRIENT-LIMITATION; CONTINENTAL-SHELF; EARLY DIAGENESIS; BINDING LIGANDS</t>
  </si>
  <si>
    <t>The Southeast Pacific Ocean is a severely understudied yet dynamic region for trace metals such as iron, since it experiences steep redox and productivity gradients in upper waters and strong hydrothermal iron inputs to deep waters. In this study, we report the dissolved iron (dFe) distribution from seven stations and Fe isotope ratios (delta Fe-56) from three of these stations across a near-zonal transect from 20 to 27 degrees S. We found elevated dFe concentrations associated with the oxygen-deficient zone (ODZ), with light delta Fe-56 implicating porewater fluxes of reduced Fe. However, temporal dFe variability and rapid delta Fe-56 shifts with depth suggest gradients in ODZ Fe source and/or redox processes vary over short-depth/spatial scales. The dFe concentrations decreased rapidly offshore, and in the upper ocean dFe was controlled by biological processes, resulting in an Fe:C ratio of 4.2 mu mol/mol. Calculated vertical diffusive Fe fluxes were greater than published dust inputs to surface waters, but both were orders of magnitude lower than horizontal diffusive fluxes, which dominate dFe delivery to the gyre. The delta Fe-56 data in the deep sea showed evidence for a -0.2 parts per thousand Antarctic Intermediate Water end-member and a heavy delta Fe-56 of +0.55 parts per thousand for distally transported hydrothermal dissolved Fe from the East Pacific Rise. These heavy delta Fe-56 values were contrasted with the near-crustal delta Fe-56 recorded in the hydrothermal plume reaching Station ALOHA in the North Pacific. The heavy hydrothermal delta Fe-56 precludes a nanopyrite composition of hydrothermal dFe and instead suggests the presence of oxides or, more likely, binding of hydrothermal dFe by organic ligands in the distal plume.</t>
  </si>
  <si>
    <t>[Fitzsimmons, Jessica N.; Thyng, Kristen M.] Texas A&amp;M Univ, Dept Oceanog, College Stn, TX 77843 USA; [Fitzsimmons, Jessica N.; Lee, Jong-Mi; Kayser, Richard; Boyle, Edward A.] MIT, Dept Earth Atmospher &amp; Planetary Sci, Cambridge, MA 02139 USA; [Conway, Tim M.; John, Seth G.] Univ South Carolina, Dept Earth &amp; Ocean Sci, Columbia, SC USA; [Conway, Tim M.] Swiss Fed Inst Technol, Dept Earth Sci, Zurich, Switzerland; [Conway, Tim M.] Univ S Florida, Coll Marine Sci, St Petersburg, FL USA; [Lee, Jong-Mi] Univ Calif Santa Cruz, Dept Ocean Sci, Santa Cruz, CA 95064 USA; [John, Seth G.] Univ Southern Calif, Dept Earth Sci, Los Angeles, CA USA</t>
  </si>
  <si>
    <t>Texas A&amp;M University System; Texas A&amp;M University College Station; Massachusetts Institute of Technology (MIT); University of South Carolina System; University of South Carolina Columbia; Swiss Federal Institutes of Technology Domain; ETH Zurich; State University System of Florida; University of South Florida; University of California System; University of California Santa Cruz; University of Southern California</t>
  </si>
  <si>
    <t>Fitzsimmons, JN (corresponding author), Texas A&amp;M Univ, Dept Oceanog, College Stn, TX 77843 USA.;Fitzsimmons, JN (corresponding author), MIT, Dept Earth Atmospher &amp; Planetary Sci, Cambridge, MA 02139 USA.</t>
  </si>
  <si>
    <t>jessfitz@tamu.edu</t>
  </si>
  <si>
    <t>Fitzsimmons, Jessica N/G-1343-2011; John, Sunday/GRS-5348-2022</t>
  </si>
  <si>
    <t>John, Sunday/0000-0003-2296-7653; John, Seth/0000-0002-8257-626X; Fitzsimmons, Jessica/0000-0002-9829-2464</t>
  </si>
  <si>
    <t>NSF Graduate Research Fellowship [0645960]; Center for Microbial Oceanography: Research and Education (NSF-OIA Award) [EF-0424599]; National Science Foundation [OCE 1235150]; Directorate For Geosciences; Division Of Ocean Sciences [1649439] Funding Source: National Science Foundation</t>
  </si>
  <si>
    <t>NSF Graduate Research Fellowship(National Science Foundation (NSF)); Center for Microbial Oceanography: Research and Education (NSF-OIA Award); National Science Foundation(National Science Foundation (NSF)); Directorate For Geosciences; Division Of Ocean Sciences(National Science Foundation (NSF)NSF - Directorate for Geosciences (GEO))</t>
  </si>
  <si>
    <t>We thank Filipa Carvalho for the generation of the chlorophyll/station map and Angela Rosenberg for technical assistance at USC. We also thank Dan Repeta (Chief Scientist) and the officers and crew of the R/V Melville for a successful sampling program on the BiG RAPA expedition. We thank two anonymous reviewers for aid in improving this manuscript. Data from this project can be found enumerated in the supporting information Table or on BCODMO (www.bco-dmo.org). Funding was provided to J.N. Fitzsimmons through an NSF Graduate Research Fellowship (NSF Award 0645960). Research funding was provided by the Center for Microbial Oceanography: Research and Education to E.A. Boyle (NSF-OIA Award EF-0424599) and by the National Science Foundation to S.G. John (OCE 1235150).</t>
  </si>
  <si>
    <t>10.1002/2015GB005357</t>
  </si>
  <si>
    <t>EC9IK</t>
  </si>
  <si>
    <t>Bronze, Green Published</t>
  </si>
  <si>
    <t>WOS:000388458000001</t>
  </si>
  <si>
    <t>Losev, SM; Dyment, LN</t>
  </si>
  <si>
    <t>Losev, S. M.; Dyment, L. N.</t>
  </si>
  <si>
    <t>Frequency of large-scale vortices in the velocity field of ice drift in the Arctic basin as a parameter of its intensity</t>
  </si>
  <si>
    <t>RUSSIAN METEOROLOGY AND HYDROLOGY</t>
  </si>
  <si>
    <t>Ice drift velocity; vortices; frequency of gyres; frequency cycles</t>
  </si>
  <si>
    <t>The general description of macro-scale vortices in the monthly fields ofice drift velocity is presented which indicates their basic parameters and formation features. The interannual and long-term variability of the frequency of anticyclonic and cyclonic gyres is analyzed. It is demonstrated that there is the stable feedback between the trends in their frequency according to which the direction of the processes of velocity field formation changed to the opposite one in 1995. It is revealed that as the frequency of anticyclonic vortices increases, the total intensity of the drift increases and the ice movement directed towards the Fram Strait intensifies significantly in the zone of the line of the maximum drift velocity. The conclusion is that the general background of high drift intensity in the Arctic basin and ice transport through the Fram Strait will be kept in next 7-10 years.</t>
  </si>
  <si>
    <t>[Losev, S. M.; Dyment, L. N.] Arctic &amp; Antarctic Res Inst, Ul Beringa 38, St Petersburg 199397, Russia</t>
  </si>
  <si>
    <t>Arctic &amp; Antarctic Research Institute</t>
  </si>
  <si>
    <t>Dyment, LN (corresponding author), Arctic &amp; Antarctic Res Inst, Ul Beringa 38, St Petersburg 199397, Russia.</t>
  </si>
  <si>
    <t>ldyment@yandex.ru</t>
  </si>
  <si>
    <t>Dyment, Ludmila N/J-4289-2014</t>
  </si>
  <si>
    <t>ALLERTON PRESS INC</t>
  </si>
  <si>
    <t>18 WEST 27TH ST, NEW YORK, NY 10001 USA</t>
  </si>
  <si>
    <t>1068-3739</t>
  </si>
  <si>
    <t>1934-8096</t>
  </si>
  <si>
    <t>RUSS METEOROL HYDRO+</t>
  </si>
  <si>
    <t>Russ. Meteorol. Hydrol.</t>
  </si>
  <si>
    <t>10.3103/S1068373916100071</t>
  </si>
  <si>
    <t>Meteorology &amp; Atmospheric Sciences</t>
  </si>
  <si>
    <t>EC4YW</t>
  </si>
  <si>
    <t>WOS:000388141300007</t>
  </si>
  <si>
    <t>Jue, NK; Batta-Lona, PG; Trusiak, S; Obergfell, C; Bucklin, A; O'Neill, MJ; O'Neill, RJ</t>
  </si>
  <si>
    <t>Jue, Nathaniel K.; Batta-Lona, Paola G.; Trusiak, Sarah; Obergfell, Craig; Bucklin, Ann; O'Neill, Michael J.; O'Neill, Rachel J.</t>
  </si>
  <si>
    <t>Rapid Evolutionary Rates and Unique Genomic Signatures Discovered in the First Reference Genome for the Southern Ocean Salp, Salpa thompsoni (Urochordata, Thaliacea)</t>
  </si>
  <si>
    <t>GENOME BIOLOGY AND EVOLUTION</t>
  </si>
  <si>
    <t>Salpa thompsoni; Thaliacean genome; urochordate; miRNA; Antarctic ecosystem</t>
  </si>
  <si>
    <t>EASTERN ATLANTIC SECTOR; CIONA-INTESTINALIS; CHORDATE; TOOL; CONSERVATION; REPERTOIRE; ANNOTATION; ADAPTATION; MICRORNAS; ABUNDANCE</t>
  </si>
  <si>
    <t>A preliminary genome sequence has been assembled for the Southern Ocean salp, Salpa thompsoni (Urochordata, Thaliacea). Despite the ecological importance of this species in Antarctic pelagic food webs and its potential role as an indicator of changing Southern Ocean ecosystems in response to climate change, no genomic resources are available for S. thompsoni or any closely-related urochordate species. Using a multiple-platform, multiple-individual approach, we have produced a 318,767,936 bp genome sequence, covering more than &gt;50% of the estimated 602 MB (+/- 173 MB) genome size for S. thompsoni. Using a non-redundant set of predicted proteins, more than &gt;50% (16,823) of sequences showed significant homology to known proteins and similar to 38% (12,151) of the total protein predictions were associated with Gene Ontology functional information. We have generated 109,958 SNP variant and 9,782 indel predictions for this species, serving as a resource for future phylogenomic and population genetic studies. Comparing the salp genome to available assemblies for four other urochordates, Botryllus schlosseri, Ciona intestinalis, Ciona savignyi and Oikopleura dioica, we found that S. thompsoni shares the previously-estimated rapid rates of evolution for these species. High mutation rates are thus independent of genome size, suggesting that rates of evolution &gt;1.5 times that observed for vertebrates are a broad taxonomic characteristic of urochordates. Tests for positive selection implemented in PAML revealed a small number of genes with sites undergoing rapid evolution, including genes involved in ribosome biogenesis and metabolic and immune process that may be reflective of both adaptation to polar, planktonic environments as well as the complex life history of the salps. Finally, we performed an initial survey of small RNAs, revealing the presence of known, conserved miRNAs, as well as novel miRNA genes; unique piRNAs; and mature miRNA signatures for varying developmental stages. Collectively, these resources provide a genomic foundation supporting S. thompsoni as a model species for further examination of the exceptional rates and patterns of genomic evolution shown by urochordates. Additionally, genomic data will allow for the development of molecular indicators of key life history events and processes and afford new understandings and predictions of impacts of climate change on this key species of Antarctic pelagic ecosystems.</t>
  </si>
  <si>
    <t>[Jue, Nathaniel K.; Trusiak, Sarah; Obergfell, Craig; O'Neill, Michael J.; O'Neill, Rachel J.] Univ Connecticut, Inst Syst Genom, Dept Mol &amp; Cell Biol, Storrs, CT 06269 USA; [Jue, Nathaniel K.] Calif State Univ, Sch Nat Sci, Monterey, CA USA; [Batta-Lona, Paola G.; Bucklin, Ann] Univ Connecticut, Dept Marine Sci, Storrs, CT USA; [Batta-Lona, Paola G.] CICESE, Dept Biotecnol Marina, Ensenada, Baja California, Mexico</t>
  </si>
  <si>
    <t>University of Connecticut; University of Connecticut; CICESE - Centro de Investigacion Cientifica y de Educacion Superior de Ensenada</t>
  </si>
  <si>
    <t>O'Neill, RJ (corresponding author), Univ Connecticut, Inst Syst Genom, Dept Mol &amp; Cell Biol, Storrs, CT 06269 USA.</t>
  </si>
  <si>
    <t>rachel.oneill@uconn.edu</t>
  </si>
  <si>
    <t>; Batta-Lona, Paola G/B-7848-2016</t>
  </si>
  <si>
    <t>Bucklin, Ann/0000-0003-3750-9348; Batta-Lona, Paola G/0000-0002-6477-6110; O'Neill, Rachel/0000-0002-1525-6821; Jue, Nathaniel/0000-0003-3769-5638</t>
  </si>
  <si>
    <t>National Science Foundation [1044982, 0920088]; Direct For Biological Sciences; Division Of Integrative Organismal Systems [0920088] Funding Source: National Science Foundation; Division Of Polar Programs; Directorate For Geosciences [1044982] Funding Source: National Science Foundation</t>
  </si>
  <si>
    <t>National Science Foundation(National Science Foundation (NSF)); Direct For Biological Sciences; Division Of Integrative Organismal Systems(National Science Foundation (NSF)NSF - Directorate for Biological Sciences (BIO)NSF - Division of Integrative Organismal Systems (IOS)); Division Of Polar Programs; Directorate For Geosciences(National Science Foundation (NSF)NSF - Directorate for Geosciences (GEO))</t>
  </si>
  <si>
    <t>This work was funded by: National Science Foundation [grant number: 1044982 to A. Bucklin and R. O'Neill; and grant number: 0920088 to M. O'Neill and R. O'Neill]. We thank P.H. Wiebe (Woods Hole Oceanographic Institution) for his assistance with the manuscript. Photographs of living specimens of Salpa thompsoni were taken by L.P. Madin (Woods Hole Oceanographic Institution).</t>
  </si>
  <si>
    <t>OXFORD UNIV PRESS</t>
  </si>
  <si>
    <t>GREAT CLARENDON ST, OXFORD OX2 6DP, ENGLAND</t>
  </si>
  <si>
    <t>1759-6653</t>
  </si>
  <si>
    <t>GENOME BIOL EVOL</t>
  </si>
  <si>
    <t>Genome Biol. Evol.</t>
  </si>
  <si>
    <t>10.1093/gbe/evw215</t>
  </si>
  <si>
    <t>EC2YR</t>
  </si>
  <si>
    <t>WOS:000387991000001</t>
  </si>
  <si>
    <t>Schoenemann, SW; Steig, EJ</t>
  </si>
  <si>
    <t>Schoenemann, Spruce W.; Steig, Eric J.</t>
  </si>
  <si>
    <t>Seasonal and spatial variations of 17Oexcess and dexcess in Antarctic precipitation: Insights from an intermediate complexity isotope model</t>
  </si>
  <si>
    <t>JOURNAL OF GEOPHYSICAL RESEARCH-ATMOSPHERES</t>
  </si>
  <si>
    <t>seasonal water isotopes; O-17(excess); deuterium excess; Antarctica; ice core; intermediate complexity isotope model</t>
  </si>
  <si>
    <t>DEUTERIUM EXCESS SIGNAL; WATER-VAPOR; SURFACE SNOW; ICE-CORE; DELTA-D; HYDROGEN ISOTOPES; EAST ANTARCTICA; STABLE-ISOTOPES; TIME-VARIATION; LAW DOME</t>
  </si>
  <si>
    <t>An intermediate complexity model (ICM) is used to investigate the sensitivity of water isotope ratios in precipitation, including O-17(excess), to climate variations in the Southern Hemisphere. The ICM is forced with boundary conditions from seasonal National Centers for Environmental Prediction/Department of Energy II reanalysis data. Perturbations to the surface temperature and humidity fields are used to investigate the isotopic sensitivity. The response of O-17(excess) to a uniform temperature change is insignificant over the ocean, while there is a large magnitude response over the ice sheet, particularly in East Antarctica. A decrease of ocean surface relative humidity produces increased O-17(excess) and d(excess), with a coherent response over both the ocean and Antarctica. For interior East Antarctica, the model simulates a seasonal cycle in O-17(excess) that is positively correlated with O-18 and of large magnitude (similar to 50per meg), consistent with the observations from Vostok. The seasonal cycle in O-17(excess) for interior West Antarctica is predicted to be considerably smaller in magnitude (12per meg), and is negatively correlated with O-18, consistent with new data from a firn core near the West Antarctic Ice Sheet Divide site. Over the ocean, the ICM predicts much smaller seasonal cycles in O-17(excess). Oceanic source changes (i.e., humidity) are insufficient to explain the amplitude of the simulated seasonal cycle over the Antarctic continent. Spatial differences in the seasonal response of O-17(excess) to local temperature reflect the balance of equilibrium and kinetic fractionation during snow formation.</t>
  </si>
  <si>
    <t>[Schoenemann, Spruce W.; Steig, Eric J.] Univ Washington, Dept Earth &amp; Space Sci, IsoLab, Seattle, WA 98195 USA; [Schoenemann, Spruce W.] Univ Montana Western, Dept Environm Sci, Dillon, MT 59725 USA</t>
  </si>
  <si>
    <t>University of Washington; University of Washington Seattle; University of Montana System; University of Montana; University of Montana Western</t>
  </si>
  <si>
    <t>Schoenemann, SW (corresponding author), Univ Washington, Dept Earth &amp; Space Sci, IsoLab, Seattle, WA 98195 USA.;Schoenemann, SW (corresponding author), Univ Montana Western, Dept Environm Sci, Dillon, MT 59725 USA.</t>
  </si>
  <si>
    <t>schoes@uw.edu</t>
  </si>
  <si>
    <t>/G-9088-2015</t>
  </si>
  <si>
    <t>/0000-0002-8191-5549</t>
  </si>
  <si>
    <t>US National Science Foundation [0837990, 1043092, OPP-0806387]; Directorate For Geosciences; Office of Polar Programs (OPP) [1043092] Funding Source: National Science Foundation; Directorate For Geosciences; Office of Polar Programs (OPP) [1341360] Funding Source: National Science Foundation</t>
  </si>
  <si>
    <t>US 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</si>
  <si>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We thank J. Kavanaugh for providing the Intermediate Complexity Isotope Model code and his advice on its use. We also thank A. Schauer, R. Smith, and M. Shusterman for assistance with the 17Oexcess CRDS measurements and Summer Rupper for providing the SEAT 2011-3 ice core samples. We also appreciate Amaelle Landais and Alexandra Touzeau sharing with us the Syowa - Dome F traverse data. This work was supported by the US National Science Foundation grants 0837990, 1043092, and OPP-0806387. Constructive comments by Shuning Li, Hans Christian Steen-Larsen, and one anonymous reviewer helped to improve the manuscript. Access to data related to research in this paper is published at doi: 10.17911/S9RP4C.</t>
  </si>
  <si>
    <t>2169-897X</t>
  </si>
  <si>
    <t>2169-8996</t>
  </si>
  <si>
    <t>J GEOPHYS RES-ATMOS</t>
  </si>
  <si>
    <t>J. Geophys. Res.-Atmos.</t>
  </si>
  <si>
    <t>10.1002/2016JD025117</t>
  </si>
  <si>
    <t>EA9PK</t>
  </si>
  <si>
    <t>WOS:000386976100009</t>
  </si>
  <si>
    <t>Laye, V; DasSarma, P; Pecher, W; DasSarma, S</t>
  </si>
  <si>
    <t>Laye, Victoria; DasSarma, Priya; Pecher, Wolf; DasSarma, Shiladitya</t>
  </si>
  <si>
    <t>Analysis of a polyextremophilic? -galactosidase from an Antarctic Haloarchaeon: Mutagenic analysis of residues important for cold activity</t>
  </si>
  <si>
    <t>PROTEIN SCIENCE</t>
  </si>
  <si>
    <t>30th Anniversary Symposium of the Protein-Society</t>
  </si>
  <si>
    <t>JUL 16-19, 2016</t>
  </si>
  <si>
    <t>Baltimore, MD</t>
  </si>
  <si>
    <t>Univ Maryland, Dept Microbiol &amp; Immunol, Baltimore, MD 21201 USA; Univ Maryland, Inst Marine &amp; Environm Technol, Baltimore, MD 21201 USA</t>
  </si>
  <si>
    <t>University System of Maryland; University of Maryland Baltimore; University System of Maryland; University of Maryland Baltimore; University of Maryland Center for Environmental Science; Institute of Marine &amp; Environmental Technology</t>
  </si>
  <si>
    <t>WILEY-BLACKWELL</t>
  </si>
  <si>
    <t>0961-8368</t>
  </si>
  <si>
    <t>1469-896X</t>
  </si>
  <si>
    <t>PROTEIN SCI</t>
  </si>
  <si>
    <t>Protein Sci.</t>
  </si>
  <si>
    <t>S1</t>
  </si>
  <si>
    <t>Biochemistry &amp; Molecular Biology</t>
  </si>
  <si>
    <t>Science Citation Index Expanded (SCI-EXPANDED); Conference Proceedings Citation Index - Science (CPCI-S)</t>
  </si>
  <si>
    <t>EB1YJ</t>
  </si>
  <si>
    <t>WOS:000387152400152</t>
  </si>
  <si>
    <t>Calviño-Cancela, M; Martín-Herrero, J</t>
  </si>
  <si>
    <t>Calvino-Cancela, Maria; Martin-Herrero, Julio</t>
  </si>
  <si>
    <t>Spectral Discrimination of Vegetation Classes in Ice-Free Areas of Antarctica</t>
  </si>
  <si>
    <t>REMOTE SENSING</t>
  </si>
  <si>
    <t>Antarctica; classification; field spectroscopy; hyperspectral imaging; species discrimination; lichen; moss; Deschampsia antarctica</t>
  </si>
  <si>
    <t>KING-GEORGE ISLAND; SOUTH ORKNEY ISLANDS; BIOLOGICAL INVASIONS; ENVIRONMENTAL-CHANGE; REFLECTANCE SPECTRA; BARTON PENINSULA; SIGNY ISLAND; TERRESTRIAL; LICHEN; DIVERSITY</t>
  </si>
  <si>
    <t>Detailed monitoring of vegetation changes in ice-free areas of Antarctica is crucial to determine the effects of climate warming and increasing human presence in this vulnerable ecosystem. Remote sensing techniques are especially suitable in this distant and rough environment, with high spectral and spatial resolutions needed owing to the patchiness and similarity between vegetation elements. We analyze the reflectance spectra of the most representative vegetation elements in ice-free areas of Antarctica to assess the potential for discrimination. This research is aimed as a basis for future aircraft/satellite research for long-term vegetation monitoring. The study was conducted in the Barton Peninsula, King George Island. The reflectance of ground patches of different types of vegetation or bare ground (c. 0.25m(2), n = 30 patches per class) was recorded with a spectrophotometer measuring between 340 nm to 1025 nm at a resolution of 0.38 nm. We used Linear Discriminant Analysis (LDA) to classify the cover classes according to reflectance spectra, after reduction of the number of bands using Principal Component Analysis (PCA). The first five principal components explained an accumulated 99.4% of the total variance and were added to the discriminant function. The LDA classification resulted in c. 92% of cases correctly classified (a hit ratio 11.9 times greater than chance). The most important region for discrimination was the visible and near ultraviolet (UV), with the relative importance of spectral bands steeply decreasing in the Near Infra-Red (NIR) region. Our study shows the feasibility of discriminating among representative taxa of Antarctic vegetation using their spectral patterns in the near UV, visible and NIR. The results are encouraging for hyperspectral vegetation mapping in Antarctica, which could greatly facilitate monitoring vegetation changes in response to a changing environment, reducing the costs and environmental impacts of field surveys.</t>
  </si>
  <si>
    <t>[Calvino-Cancela, Maria] Univ Vigo, Sch Sci, Dept Ecol &amp; Anim Biol, Campus Lagoas Marcosende, Vigo 36310, Spain; [Martin-Herrero, Julio] Univ Vigo, Dept Signal Theory &amp; Commun, AtlantTIC Res Ctr, Vigo 36310, Spain</t>
  </si>
  <si>
    <t>Universidade de Vigo; Universidade de Vigo; atlanTTic</t>
  </si>
  <si>
    <t>Calviño-Cancela, M (corresponding author), Univ Vigo, Sch Sci, Dept Ecol &amp; Anim Biol, Campus Lagoas Marcosende, Vigo 36310, Spain.</t>
  </si>
  <si>
    <t>maria@uvigo.es; julio@uvigo.es</t>
  </si>
  <si>
    <t>Martin-Herrero, Julio/D-3827-2009</t>
  </si>
  <si>
    <t>Calvino-Cancela, Maria/0000-0002-7833-4671; Martin-Herrero, Julio/0000-0003-1109-6338</t>
  </si>
  <si>
    <t>project HISURF (PROPOLAR/FCT Portugal); AtlantTIC (University of Vigo); Chilean Antarctic Institute (INACH)</t>
  </si>
  <si>
    <t>This research was supported by project HISURF (PROPOLAR/FCT Portugal) and AtlantTIC (University of Vigo). We are indebted to the Korean Polar Research Institute (KOPRI) for welcoming us to their research station King Sejong at Barton Peninsula. We are very grateful to all researchers and staff of the station for their unfaltering kindness and professionalism. We also thank the Chilean Antarctic Institute (INACH) for support at Professor Julio Escudero Station (Fildes Peninsula), and for logistics in the transfers between Sandy Point (Chile) and Antarctica. Special thanks are due to Soon Gyu Hong and Young-Jun Yoon (KOPRI) for advice on vegetation distribution and for identification of lichens and mosses, and to Goncalo Vieira and Pedro Pina (PROPOLAR) for the logistics, support and motivation.</t>
  </si>
  <si>
    <t>MDPI AG</t>
  </si>
  <si>
    <t>BASEL</t>
  </si>
  <si>
    <t>ST ALBAN-ANLAGE 66, CH-4052 BASEL, SWITZERLAND</t>
  </si>
  <si>
    <t>2072-4292</t>
  </si>
  <si>
    <t>REMOTE SENS-BASEL</t>
  </si>
  <si>
    <t>Remote Sens.</t>
  </si>
  <si>
    <t>10.3390/rs8100856</t>
  </si>
  <si>
    <t>Environmental Sciences; Geosciences, Multidisciplinary; Remote Sensing; Imaging Science &amp; Photographic Technology</t>
  </si>
  <si>
    <t>Environmental Sciences &amp; Ecology; Geology; Remote Sensing; Imaging Science &amp; Photographic Technology</t>
  </si>
  <si>
    <t>EB4QI</t>
  </si>
  <si>
    <t>WOS:000387357300070</t>
  </si>
  <si>
    <t>Lucieer, V; Nau, AW; Forrest, AL; Hawes, I</t>
  </si>
  <si>
    <t>Lucieer, Vanessa; Nau, Amy W.; Forrest, Alexander L.; Hawes, Ian</t>
  </si>
  <si>
    <t>Fine-Scale Sea Ice Structure Characterized Using Underwater Acoustic Methods</t>
  </si>
  <si>
    <t>sea ice; autonomous underwater vehicles; multibeam acoustic data; underwater acoustic processing methods</t>
  </si>
  <si>
    <t>TERRA-NOVA BAY; PLATELET ICE; ROSS SEA; OCEAN; ANTARCTICA; VEHICLE; SOUND; ENVIRONMENT; WATERS; ALGAE</t>
  </si>
  <si>
    <t>Antarctic sea ice is known to provide unique ecosystem habitat at the ice-ocean interface. Mapping sea ice characteristics-such as thickness and roughness-at high resolution from beneath the ice is difficult due to access. A Geoswath Plus phase-measuring bathymetric sonar mounted on an autonomous underwater vehicle (AUV) was employed in this study to collect data underneath the sea ice at Cape Evans in Antarctica in November 2014. This study demonstrates how acoustic data can be collected and processed to resolutions of 1 m for acoustic bathymetry and 5 cm for acoustic backscatter in this challenging environment. Different ice textures such as platelet ice, smooth ice, and sea ice morphologies, ranging in size from 1 to 50 m were characterized. The acoustic techniques developed in this work could provide a key to understanding the distribution of sea ice communities, as they are nondisruptive to the fragile ice environments and provide geolocated data over large spatial extents. These results improve our understanding of sea ice properties and the complex, highly variable ecosystem that exists at this boundary.</t>
  </si>
  <si>
    <t>[Lucieer, Vanessa; Nau, Amy W.] Univ Tasmania, Inst Marine &amp; Antarctic Studies, Hobart, Tas 7000, Australia; [Lucieer, Vanessa; Forrest, Alexander L.] Univ Tasmania, Australian Maritime Coll, Launceston, Tas 7250, Australia; [Nau, Amy W.] CSIRO, Hobart, Tas 7000, Australia; [Forrest, Alexander L.] Univ Calif Davis, Civil &amp; Environm Engn, Davis, CA 95616 USA; [Hawes, Ian] Univ Canterbury, Gateway Antarctica, Christchurch 4800, New Zealand</t>
  </si>
  <si>
    <t>University of Tasmania; University of Tasmania; Australian Maritime College; Commonwealth Scientific &amp; Industrial Research Organisation (CSIRO); University of California System; University of California Davis; University of Canterbury</t>
  </si>
  <si>
    <t>Lucieer, V (corresponding author), Univ Tasmania, Inst Marine &amp; Antarctic Studies, Hobart, Tas 7000, Australia.;Lucieer, V (corresponding author), Univ Tasmania, Australian Maritime Coll, Launceston, Tas 7250, Australia.</t>
  </si>
  <si>
    <t>vanessa.lucieer@utas.edu.au; Amy.Nau@csiro.au; alforrest@ucdavis.edu; ian.hawes@canterbury.ac.nz</t>
  </si>
  <si>
    <t>Forrest, Alexander L/C-3765-2014; Lucieer, Vanessa/D-1697-2009</t>
  </si>
  <si>
    <t>Lucieer, Vanessa/0000-0001-7531-5750; Hawes, Ian/0000-0003-2471-6903</t>
  </si>
  <si>
    <t>New Zealand Antarctic Research Institute [NZARI-2014-3]; Australian Research Council [SR140300001]</t>
  </si>
  <si>
    <t>New Zealand Antarctic Research Institute; Australian Research Council(Australian Research Council)</t>
  </si>
  <si>
    <t>The authors are grateful for the financial support of the New Zealand Antarctic Research Institute through grant NZARI-2014-3, and for logistics provided by Antarctica New Zealand. Lucieer and Forrest were supported under the Australian Research Council's Special Research Initiative for Antarctic Gateway Partnership (Project ID SR140300001). The CARIS Help Desk provided invaluable help and guidance in developing new processing procedures using CARIS. The authors wish to acknowledge the Australian Defense Science and Technology Group (DSTG) for the loan of the Geoswath Plus, the other members of K081; L. Chresten Lund Hansen, B. Sorrell and R. Cossu for their field assistance and the staff at Scott Base for their professional support with logistics that ensured the success of this project. The authors are grateful to the four reviewers who substantially improved this manuscript.</t>
  </si>
  <si>
    <t>10.3390/rs8100821</t>
  </si>
  <si>
    <t>WOS:000387357300035</t>
  </si>
  <si>
    <t>Bowman, JS; Vick-Majors, TJ; Morgan-Kiss, R; Takacs-Vesbach, C; Ducklow, HW; Priscu, JC</t>
  </si>
  <si>
    <t>Bowman, Jeff S.; Vick-Majors, Trista J.; Morgan-Kiss, Rachael; Takacs-Vesbach, Cristina; Ducklow, Hugh W.; Priscu, John C.</t>
  </si>
  <si>
    <t>Microbial Community Dynamics in Two Polar Extremes: The Lakes of the McMurdo Dry Valleys and the West Antarctic Peninsula Marine Ecosystem</t>
  </si>
  <si>
    <t>BIOSCIENCE</t>
  </si>
  <si>
    <t>community ecology; limnology; oceanography; microbiology; climate change</t>
  </si>
  <si>
    <t>ICE-COVERED LAKES; BACTERIAL PRODUCTION; ROSS SEA; PHYTOPLANKTON DYNAMICS; GERLACHE STRAITS; TAYLOR VALLEY; NITROUS-OXIDE; FOOD-WEB; BACTERIOPLANKTON; DIVERSITY</t>
  </si>
  <si>
    <t>The Palmer and McMurdo LTER (Long Term Ecological Research) sites represent climatic and trophic extremes on the Antarctic continent. Despite these differences, the microbial components of the McMurdo lake and Palmer marine ecosystems share fundamental characteristics, including the production of organic carbon via autotrophy and its assimilation via heterotrophy. We leveraged 20+ years of observations at the Palmer and McMurdo LTERs to identify key differences in microbial ecosystem dynamics between these sites. Although the relationships between fundamental biological parameters, including autotrophy and heterotrophy, are different between these sites, recent climate events have influenced the coupling of these parameters. We hypothesize that for the lakes of the McMurdo LTER, decoupling is largely driven by physical processes, whereas in the coastal Antarctic, it is largely driven by biological processes. We combined this hypothesis with a new analysis of microbial community and metabolic structure to develop novel conceptual microbial food-web models.</t>
  </si>
  <si>
    <t>[Bowman, Jeff S.; Ducklow, Hugh W.] Lamont Doherty Earth Observ, Palisades, NY 10964 USA; [Bowman, Jeff S.] Scripps Inst Oceanog, La Jolla, CA 92037 USA; [Vick-Majors, Trista J.; Priscu, John C.] Montana State Univ, Bozeman, MT 59717 USA; [Vick-Majors, Trista J.] McGill Univ, Montreal, PQ H3A 2T5, Canada; [Morgan-Kiss, Rachael] Miami Univ, Dept Microbiol, Oxford, OH 45056 USA; [Takacs-Vesbach, Cristina] Univ New Mexico, Albuquerque, NM 87131 USA</t>
  </si>
  <si>
    <t>Columbia University; University of California System; University of California San Diego; Scripps Institution of Oceanography; Montana State University System; Montana State University Bozeman; McGill University; University System of Ohio; Miami University; University of New Mexico</t>
  </si>
  <si>
    <t>Bowman, JS (corresponding author), Lamont Doherty Earth Observ, Palisades, NY 10964 USA.;Bowman, JS (corresponding author), Scripps Inst Oceanog, La Jolla, CA 92037 USA.</t>
  </si>
  <si>
    <t>jsbowman@ucsd.edu</t>
  </si>
  <si>
    <t>Vick-Majors, Trista/AAQ-6258-2020</t>
  </si>
  <si>
    <t>Vick-Majors, Trista/0000-0002-6868-4010; Bowman, Jeff/0000-0002-8811-6280</t>
  </si>
  <si>
    <t>NSF LTER award [OPP 1115254, OPP 0823101, 1440435]; Lamont-Doherty Earth Observatory; NSF [OPP-1056396, PLR 1440435, OPP 1115245, OPP 11340292, OPP 0839075]; American Association of University Women Dissertation Fellowship; Office of Polar Programs (OPP); Directorate For Geosciences [1056396] Funding Source: National Science Foundation</t>
  </si>
  <si>
    <t>NSF LTER award; Lamont-Doherty Earth Observatory; NSF(National Science Foundation (NSF)); American Association of University Women Dissertation Fellowship; Office of Polar Programs (OPP); Directorate For Geosciences(National Science Foundation (NSF)NSF - Directorate for Geosciences (GEO))</t>
  </si>
  <si>
    <t>This work was supported by NSF LTER awards nos. OPP 1115254 (MCM), OPP 0823101, and 1440435 (PAL). JSB was funded by a postdoctoral fellowship through the Lamont-Doherty Earth Observatory. RM-K was supported by NSF award no. OPP-1056396. TJV was funded by an American Association of University Women Dissertation Fellowship. HWD was funded by NSF award no. PLR 1440435. JCP was funded by NSF awards nos. OPP 1115245, OPP 11340292, and OPP 0839075.</t>
  </si>
  <si>
    <t>0006-3568</t>
  </si>
  <si>
    <t>1525-3244</t>
  </si>
  <si>
    <t>Bioscience</t>
  </si>
  <si>
    <t>10.1093/biosci/biw103</t>
  </si>
  <si>
    <t>Biology</t>
  </si>
  <si>
    <t>Life Sciences &amp; Biomedicine - Other Topics</t>
  </si>
  <si>
    <t>EA3FH</t>
  </si>
  <si>
    <t>Bronze, Green Submitted</t>
  </si>
  <si>
    <t>WOS:000386485900005</t>
  </si>
  <si>
    <t>Fountain, AG; Saba, G; Adams, B; Doran, P; Fraser, W; Gooseff, M; Obryk, M; Priscu, JC; Stammerjohn, S; Virginia, RA</t>
  </si>
  <si>
    <t>Fountain, Andrew G.; Saba, Grace; Adams, Byron; Doran, Peter; Fraser, William; Gooseff, Michael; Obryk, Maciej; Priscu, John C.; Stammerjohn, Sharon; Virginia, Ross A.</t>
  </si>
  <si>
    <t>The Impact of a Large-Scale Climate Event on Antarctic Ecosystem Processes</t>
  </si>
  <si>
    <t>climate change; coastal ecosystems; deserts; microbiology</t>
  </si>
  <si>
    <t>MCMURDO DRY VALLEYS; SOUTHERN VICTORIA LAND; SEA-ICE; PENINSULA REGION; MARINE; DYNAMICS; VARIABILITY; LAKES; CIRCULATION; DIVERSITY</t>
  </si>
  <si>
    <t>Extreme climate and weather events, such as a drought, hurricanes, or ice storms, can strongly imprint ecosystem processing and may alter ecosystem structure. Ecosystems in extreme environments are particularly vulnerable because of their adaptation to severe limitations in energy, water, or nutrients. The vulnerability can be expressed as a relatively long-lasting ecosystem response to a small or brief change in environmental conditions. Such an event occurred in Antarctica and affected two vastly different ecosystems: a marine-dominated coastal system and a terrestrial polar desert. Both sites experienced winds that warmed air temperatures above the 0 degrees C threshold, resulting in extensive snow and ice melt and triggering a series of cascading effects through the ecosystems that are continuing to play out more than a decade later. This highlights the sensitivity of Antarctic ecosystems to warming events, which should occur more frequently in the future with global climate warming.</t>
  </si>
  <si>
    <t>[Fountain, Andrew G.; Obryk, Maciej] Portland State Univ, Proc Melt Water Generat Routing &amp; Mass Change, Portland, OR 97207 USA; [Saba, Grace] Rutgers State Univ, Plankton Ecol Physiol &amp; Biogeochem Cycling, New Brunswick, NJ USA; [Adams, Byron] Brigham Young Univ, Provo, UT 84602 USA; [Doran, Peter] Louisiana State Univ, Baton Rouge, LA 70803 USA; [Fraser, William] Polar Oceans Res Grp, Sheridan, MT USA; [Gooseff, Michael; Stammerjohn, Sharon] Univ Colorado, Boulder, CO 80309 USA; [Obryk, Maciej] Portland State Univ, Portland, OR 97207 USA; [Priscu, John C.] Montana State Univ, Bozeman, MT 59717 USA; [Virginia, Ross A.] Dartmouth Coll, Polar Soil Ecol &amp; Biogeochem, Hanover, NH 03755 USA</t>
  </si>
  <si>
    <t>Portland State University; Rutgers University System; Rutgers University New Brunswick; Brigham Young University; Louisiana State University System; Louisiana State University; University of Colorado System; University of Colorado Boulder; Portland State University; Montana State University System; Montana State University Bozeman; Dartmouth College</t>
  </si>
  <si>
    <t>Fountain, AG (corresponding author), Portland State Univ, Proc Melt Water Generat Routing &amp; Mass Change, Portland, OR 97207 USA.</t>
  </si>
  <si>
    <t>andrew@pdx.edu</t>
  </si>
  <si>
    <t>Gooseff, Michael N/N-6087-2015; Adams, Byron/C-3808-2009</t>
  </si>
  <si>
    <t>Gooseff, Michael N/0000-0003-4322-8315; Adams, Byron/0000-0002-7815-3352; Obryk, Maciej/0000-0002-8182-8656</t>
  </si>
  <si>
    <t>NSF [OPP 0096250, ANT-0423595, OPP-0130525, OPP-9632763, ANT-0823101]</t>
  </si>
  <si>
    <t>NSF(National Science Foundation (NSF))</t>
  </si>
  <si>
    <t>The sea-ice concentration data were provided by the EOS Distributed Active Archive Center (DAAC) at the National Snow and Ice Data Center (NSIDC, University of Colorado at Boulder, http://nsidc.org). This work was supported by NSF grants, nos. OPP 0096250 and ANT-0423595 for the MCM team and nos. OPP-0130525, OPP-9632763, and ANT-0823101 for the PAL team. We thank the three anonymous reviewers for their keen suggestions that improved the article significantly.</t>
  </si>
  <si>
    <t>10.1093/biosci/biw110</t>
  </si>
  <si>
    <t>Green Published, Bronze, Green Submitted</t>
  </si>
  <si>
    <t>WOS:000386485900006</t>
  </si>
  <si>
    <t>Obryk, MK; Doran, PT; Friedlaender, AS; Gooseff, MN; Li, W; Morgan-Kiss, RM; Priscu, JC; Schofield, O; Stammerjohn, SE; Steinberg, DK; Ducklow, HW</t>
  </si>
  <si>
    <t>Obryk, Maciej K.; Doran, Peter T.; Friedlaender, Ari S.; Gooseff, Michael N.; Li, Wei; Morgan-Kiss, Rachael M.; Priscu, John C.; Schofield, Oscar; Stammerjohn, Sharon E.; Steinberg, Deborah K.; Ducklow, Hugh W.</t>
  </si>
  <si>
    <t>Responses of Antarctic Marine and Freshwater Ecosystems to Changing Ice Conditions</t>
  </si>
  <si>
    <t>sea ice; lake ice; ice phenology; ecosystem responses</t>
  </si>
  <si>
    <t>MCMURDO DRY VALLEYS; SEA-ICE; LAKE BONNEY; SPATIOTEMPORAL VARIABILITY; PHYTOPLANKTON DYNAMICS; CLIMATE-CHANGE; PENINSULA; PRODUCTIVITY; BIOMASS; IMPACT</t>
  </si>
  <si>
    <t>Polar regions are warming more rapidly than lower latitudes, and climate models predict that this trend will continue into the coming decades. Despite these observations and predictions, relatively little is known about how polar ecosystems have responded and will continue to respond to this change. Two Long-Term Ecological Research (LTER) sites, located in contrasting environments in Antarctica, have been studying marine and aquatic terrestrial ecosystems for more than two decades. We use data from these research areas to show that the extent and thickness of ice covers are highly sensitive to short- and long-term climate variation and that this variation significantly influences ecosystem processes in these respective environments. Declining sea-ice extent and duration diminishes phytoplankton blooms as a consequence of reduced water stratification, whereas the thinning of lake-ice cover enhances phytoplankton blooms because of increased penetrating light into the water column. Both responses have cascading effects on upper trophic levels.</t>
  </si>
  <si>
    <t>[Obryk, Maciej K.] Portland State Univ, Portland, OR 97207 USA; [Obryk, Maciej K.; Doran, Peter T.] Louisiana State Univ, Baton Rouge, LA 70803 USA; [Friedlaender, Ari S.] Oregon State Univ, Marine Mammal Inst, Corvallis, OR 97331 USA; [Gooseff, Michael N.] Univ Colorado, Boulder, CO 80309 USA; [Priscu, John C.] Montana State Univ, Bozeman, MT 59717 USA; [Schofield, Oscar] Rutgers State Univ, New Brunswick, NJ USA; [Stammerjohn, Sharon E.] Univ Colorado, Inst Alpine &amp; Arctic Res, Boulder, CO 80309 USA; [Steinberg, Deborah K.] Virginia Inst Marine Sci, Gloucester Point, VA 23062 USA; [Li, Wei; Morgan-Kiss, Rachael M.] Miami Univ, Dept Microbiol, Oxford, OH 45056 USA; [Ducklow, Hugh W.] Columbia Univ, New York, NY 10027 USA</t>
  </si>
  <si>
    <t>Portland State University; Louisiana State University System; Louisiana State University; Oregon State University; University of Colorado System; University of Colorado Boulder; Montana State University System; Montana State University Bozeman; Rutgers University System; Rutgers University New Brunswick; University of Colorado System; University of Colorado Boulder; William &amp; Mary; Virginia Institute of Marine Science; University System of Ohio; Miami University; Columbia University</t>
  </si>
  <si>
    <t>Obryk, MK (corresponding author), Portland State Univ, Portland, OR 97207 USA.;Obryk, MK (corresponding author), Louisiana State Univ, Baton Rouge, LA 70803 USA.</t>
  </si>
  <si>
    <t>mobryk@pdx.edu; hducklow@ldeo.columbia.edu</t>
  </si>
  <si>
    <t>Gooseff, Michael N/N-6087-2015; Schofield, Oscar/H-4169-2018</t>
  </si>
  <si>
    <t>Gooseff, Michael N/0000-0003-4322-8315; Obryk, Maciej/0000-0002-8182-8656; Schofield, Oscar/0000-0003-2359-4131; Steinberg, Deborah K./0000-0001-9884-4655</t>
  </si>
  <si>
    <t>Office of Polar Programs (NSF) [1115245, 1440435]; NSF; Directorate For Geosciences; Office of Polar Programs (OPP) [1056396, 1115245] Funding Source: National Science Foundation; Directorate For Geosciences; Office of Polar Programs (OPP) [1440435] Funding Source: National Science Foundation</t>
  </si>
  <si>
    <t>Office of Polar Programs (NSF); NSF(National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</si>
  <si>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This research was supported by the Office of Polar Programs (NSF grants no. 1115245 (MCM) and no. 1440435 (PAL)). Logistical support was provided by the US Antarctic Program through funding from the NSF. We thank the reviewers for their suggestions improving this manuscript.</t>
  </si>
  <si>
    <t>10.1093/biosci/biw109</t>
  </si>
  <si>
    <t>Green Published, Green Submitted, Bronze</t>
  </si>
  <si>
    <t>WOS:000386485900007</t>
  </si>
  <si>
    <t>Obryk, MK; Doran, PT; Hicks, JA; McKay, CP; Priscu, JC</t>
  </si>
  <si>
    <t>Obryk, M. K.; Doran, P. T.; Hicks, J. A.; McKay, C. P.; Priscu, J. C.</t>
  </si>
  <si>
    <t>Modeling the thickness of perennial ice covers on stratified lakes of the Taylor Valley, Antarctica</t>
  </si>
  <si>
    <t>JOURNAL OF GLACIOLOGY</t>
  </si>
  <si>
    <t>energy balance; ice and climate; ice thickness measurements; lake ice</t>
  </si>
  <si>
    <t>MCMURDO DRY VALLEYS; SEA-ICE; THERMODYNAMIC MODEL; WATER BODIES; ECOSYSTEM; HOARE; TEMPERATURE; ABLATION; BONNEY; RATES</t>
  </si>
  <si>
    <t>A 1-D ice cover model was developed to predict and constrain drivers of long-termice thickness trends in chemically stratified lakes of Taylor Valley, Antarctica. The model is driven by surface radiative heat fluxes and heat fluxes from the underlying water column. The model successfully reproduced 16 a (between 1996 and 2012) of ice thickness changes for the west lobe of Lake Bonney (average ice thickness = 3.53 m) and Lake Fryxell (average ice thickness = 4.22 m). Long-term ice thickness trends require coupling with the thermal structure of the water column. The heat stored within the temperature maximum of lakes exceeding a liquid water column depth of 20 m can either impede or facilitate ice thickness change depending on the predominant climatic trend (cooling or warming). As such, shallow (&lt;20 m deep water columns) perennially ice-covered lakes without deep temperature maxima are more sensitive indicators of climate change. The long-term ice thickness trends are a result of surface energy flux and heat flux from the deep temperature maximum in the water column, the latter of which results from absorbed solar radiation.</t>
  </si>
  <si>
    <t>[Obryk, M. K.] Portland State Univ, Dept Geol, Portland, OR 97207 USA; [Obryk, M. K.; Doran, P. T.] Louisiana State Univ, Dept Geol &amp; Geophys, Baton Rouge, LA 70803 USA; [Hicks, J. A.] Northwestern Univ, Engn Sci &amp; Appl Math, Evanston, IL USA; [McKay, C. P.] NASA, Div Space Sci, Ames Res Ctr, Moffett Field, CA 94035 USA; [Priscu, J. C.] Montana State Univ, Dept Land Resources &amp; Environm Sci, Bozeman, MT 59717 USA</t>
  </si>
  <si>
    <t>Portland State University; Louisiana State University System; Louisiana State University; Northwestern University; National Aeronautics &amp; Space Administration (NASA); NASA Ames Research Center; Montana State University System; Montana State University Bozeman</t>
  </si>
  <si>
    <t>Obryk, MK (corresponding author), Portland State Univ, Dept Geol, Portland, OR 97207 USA.;Obryk, MK (corresponding author), Louisiana State Univ, Dept Geol &amp; Geophys, Baton Rouge, LA 70803 USA.</t>
  </si>
  <si>
    <t>mobryk@pdx.edu</t>
  </si>
  <si>
    <t>McKay, Christopher/0000-0002-6243-1362; Obryk, Maciej/0000-0002-8182-8656</t>
  </si>
  <si>
    <t>Office of Polar Programs [9810219, 0096250, 0832755, 1041742, 1115245]; NSF; Office of Polar Programs (OPP); Directorate For Geosciences [0096250, 9810219] Funding Source: National Science Foundation</t>
  </si>
  <si>
    <t>Office of Polar Programs(National Science Foundation (NSF)NSF - Directorate for Geosciences (GEO)); NSF(National Science Foundation (NSF)); Office of Polar Programs (OPP); Directorate For Geosciences(National Science Foundation (NSF)NSF - Directorate for Geosciences (GEO))</t>
  </si>
  <si>
    <t>This research was supported by the Office of Polar Programs (grants 9810219, 0096250, 0832755, 1041742 and 1115245). Logistical support was provided by the US Antarctic Program through funding from NSF. We thank the Long Term Ecological Research project personnel for collecting the ice thickness measurements throughout the duration of this project and Douglas MacAyeal for insightful conversations on the topic.</t>
  </si>
  <si>
    <t>CAMBRIDGE UNIV PRESS</t>
  </si>
  <si>
    <t>EDINBURGH BLDG, SHAFTESBURY RD, CB2 8RU CAMBRIDGE, ENGLAND</t>
  </si>
  <si>
    <t>0022-1430</t>
  </si>
  <si>
    <t>1727-5652</t>
  </si>
  <si>
    <t>J GLACIOL</t>
  </si>
  <si>
    <t>J. Glaciol.</t>
  </si>
  <si>
    <t>10.1017/jog.2016.69</t>
  </si>
  <si>
    <t>EA5PP</t>
  </si>
  <si>
    <t>WOS:000386673900003</t>
  </si>
  <si>
    <t>Petlicki, M; Kinnard, C</t>
  </si>
  <si>
    <t>Petlicki, Michal; Kinnard, Christophe</t>
  </si>
  <si>
    <t>Calving of Fuerza Aerea Glacier (Greenwich Island, Antarctica) observed with terrestrial laser scanning and continuous video monitoring</t>
  </si>
  <si>
    <t>Antarctic glaciology; calving; glacier monitoring; glaciological instruments and methods</t>
  </si>
  <si>
    <t>KING-GEORGE-ISLAND; TIDEWATER-GLACIER; ICE CAP; LIVINGSTON ISLAND; SURFACE VELOCITY; HELHEIM GLACIER; WEST ANTARCTICA; SNOW DEPTH; MODEL; DYNAMICS</t>
  </si>
  <si>
    <t>A short-term series of quantitative observations of calving activity of Fuerza Aerea Glacier (Greenwich Island, the South Shetland Islands, Antarctica) was conducted in order to test new methods of monitoring calving. The volume of single calving events was quantified by combining terrestrial laser scanning (TLS) surveys with continuous video recording of the ice front. An empirical formula for area/volume scaling of the calved ice block was proposed based on the TLS measured calved ice volume and the calved ice front area obtained by manual delineation on the images acquired with the video camera. This combination of methods proves to be a valuable tool for glacier monitoring, providing both high-temporal resolution and precise quantitative measurements of the calving volume. The size distribution of calving events is best approximated by a power law and within the short period of observations (14 d) calving was found to be an intrinsic process not dependent on environmental forcings. Over the period of 21 January-04 February 2013 the ice flow velocity at the terminus of Fuerza Aerea Glacier was 0.26 +/- 0.07 m d(-1) and the calving rate was 0.41 +/- 0.07 m d(-1).</t>
  </si>
  <si>
    <t>[Petlicki, Michal] Polish Acad Sci, Inst Geophys, Ul Ksiecia Janusza 64, PL-01452 Warsaw, Poland; [Kinnard, Christophe] Univ Quebec Trois Rivieres, Dept Sci Environm, 3351 Boul Forges,CP 500, Trois Rivieres, PQ G9A 5H7, Canada; [Petlicki, Michal] Ctr Estudios Avanzados Zonas Aridas, Raul Bitran S-N, La Serena, Chile</t>
  </si>
  <si>
    <t>Polish Academy of Sciences; Institute of Geophysics of the Polish Academy of Sciences; University of Quebec; University of Quebec Trois Rivieres</t>
  </si>
  <si>
    <t>Petlicki, M (corresponding author), Polish Acad Sci, Inst Geophys, Ul Ksiecia Janusza 64, PL-01452 Warsaw, Poland.</t>
  </si>
  <si>
    <t>petlicki@igf.edu.pl</t>
  </si>
  <si>
    <t>Kinnard, Christophe/AAI-2468-2020; Petlicki, Michal/GPC-5755-2022; Petlicki, Michal/H-7901-2016</t>
  </si>
  <si>
    <t>Kinnard, Christophe/0000-0002-4553-5258; Petlicki, Michal/0000-0003-3383-2586</t>
  </si>
  <si>
    <t>Chilean National Antarctic Institute (INACH) [RT12_12]; Ministry of Science and Higher Education of Poland [3841/E-41/S/2016]; Centre of Polar Studies from the funds of the Leading National Research Centre (KNOW)</t>
  </si>
  <si>
    <t>Chilean National Antarctic Institute (INACH); Ministry of Science and Higher Education of Poland(Ministry of Science and Higher Education, Poland); Centre of Polar Studies from the funds of the Leading National Research Centre (KNOW)</t>
  </si>
  <si>
    <t>We thank Sandro Zambra for valuable help in processing of video data, Jakob Abermann for his help in collection of data and the staff of Chilean Navy Antarctic Base Arturo Prat for logistic support during field work. This study was funded by the Chilean National Antarctic Institute (INACH) grant RT12_12 and, within statutory activities, Grant No. 3841/E-41/S/2016 of the Ministry of Science and Higher Education of Poland. The publication has been partially financed by the Centre of Polar Studies from the funds of the Leading National Research Centre (KNOW) received for the period 2014-2018. We thank reviewers Ryan Cassotto and Roger LeB. Hooke for helpful comments.</t>
  </si>
  <si>
    <t>10.1017/jog.2016.72</t>
  </si>
  <si>
    <t>WOS:000386673900004</t>
  </si>
  <si>
    <t>Fountain, AG; Basagic, HJ; Niebuhr, S</t>
  </si>
  <si>
    <t>Fountain, Andrew G.; Basagic, Hassan J.; Niebuhr, Spencer</t>
  </si>
  <si>
    <t>Glaciers in equilibrium, McMurdo Dry Valleys, Antarctica</t>
  </si>
  <si>
    <t>Antarctica; glaciers; mass balance</t>
  </si>
  <si>
    <t>TAYLOR VALLEY; MASS-BALANCE; ICE CAPS; CLIMATE; SNOW; STREAM; TEMPERATURES; SUBLIMATION; VARIABILITY; WASHINGTON</t>
  </si>
  <si>
    <t>The McMurdo Dry Valleys are a cold, dry polar desert and the alpine glaciers therein exhibit small annual and seasonal mass balances, often &lt;+/- 0.06 m w.e. Typically, winter is the accumulation season, but significant snow storms can occur any time of year occasionally making summer the accumulation season. The yearly equilibrium line altitude is poorly correlated with mass balance because the elevation gradient of mass balance on each glacier can change dramatically from year to year. Most likely, winds redistribute the light snowfall disrupting the normal gradient of increasing mass balance with elevation. Reconstructed cumulative mass balance shows that the glaciers have lost &lt;2 m w.e. over the past half century and area changes show minimal retreat. In most cases these changes are less than the uncertainty and the glaciers are considered in equilibrium. Since 2000, however, the glaciers have lost mass despite relatively stable summer air temperatures suggesting a different mechanism in play. Whether this trend is a harbinger of future changes or a temporary excursion is unclear.</t>
  </si>
  <si>
    <t>[Fountain, Andrew G.; Basagic, Hassan J.] Portland State Univ, Dept Geol, Portland, OR 97201 USA; [Niebuhr, Spencer] Univ Minnesota, Polar Geospatial Ctr, St Paul, MN 55108 USA</t>
  </si>
  <si>
    <t>Portland State University; University of Minnesota System; University of Minnesota Twin Cities</t>
  </si>
  <si>
    <t>Fountain, AG (corresponding author), Portland State Univ, Dept Geol, Portland, OR 97201 USA.</t>
  </si>
  <si>
    <t>McMurdo LTER NSF OPP [1115245]; Office of Polar Programs (OPP); Directorate For Geosciences [1115245] Funding Source: National Science Foundation</t>
  </si>
  <si>
    <t>McMurdo LTER NSF OPP; Office of Polar Programs (OPP); Directorate For Geosciences(National Science Foundation (NSF)NSF - Directorate for Geosciences (GEO))</t>
  </si>
  <si>
    <t>This research was funded by McMurdo LTER NSF OPP grant 1115245. We greatly appreciate the effort of many people who helped take the field measurements, particularly Thomas Nylen, Paul Langevin and Karen Lewis, and the logistical support provided by Antarctic Support Center, its predecessors, and PHI Helicopters. Discussions with our wonderful colleagues within the LTER and with fellow scientists in general are warmly acknowledged. We appreciate the suggestions of the two reviewers, Peter Jansson and anonymous that improved the manuscript significantly. Finally, we appreciate the efforts of the Chief Editor, Jo Jacka, who has gently guided this and many other manuscripts toward publication. He is now in the final weeks of his tenure and deserves many thanks.</t>
  </si>
  <si>
    <t>10.1017/jog.2016.86</t>
  </si>
  <si>
    <t>WOS:000386673900015</t>
  </si>
  <si>
    <t>Zwally, HJ; Li, J; Robbins, JW; Saba, JL; Yi, DH; Brenner, AC</t>
  </si>
  <si>
    <t>Zwally, H. Jay; Li, Jun; Robbins, John W.; Saba, Jack L.; Yi, Donghui; Brenner, Anita C.</t>
  </si>
  <si>
    <t>Response to Comment by T. SCAMBOS and C. SHUMAN (2016) on 'Mass gains of the Antarctic ice sheet exceed losses' by H. J. Zwally and others (2015)</t>
  </si>
  <si>
    <t>Letter</t>
  </si>
  <si>
    <t>ELEVATION CHANGE; GREENLAND; BALANCE</t>
  </si>
  <si>
    <t>[Zwally, H. Jay] NASA, Cryospher Sci Lab, Goddard Space Flight Ctr, Greenbelt, MD 20771 USA; [Zwally, H. Jay] Univ Maryland, Earth Syst Sci Interdisciplinary Ctr, College Pk, MD 20742 USA; [Li, Jun; Yi, Donghui] NASA, SGT Inc, Goddard Space Flight Ctr, Greenbelt, MD USA; [Robbins, John W.] NASA, Craig Technol, Goddard Space Flight Ctr, Greenbelt, MD USA; [Saba, Jack L.] NASA, Sci Syst &amp; Applicat Inc, Goddard Space Flight Ctr, Greenbelt, MD USA; [Brenner, Anita C.] Sigma Space Corp, Lanham, MD USA</t>
  </si>
  <si>
    <t>National Aeronautics &amp; Space Administration (NASA); NASA Goddard Space Flight Center; University System of Maryland; University of Maryland College Park; National Aeronautics &amp; Space Administration (NASA); NASA Goddard Space Flight Center; Stinger Ghaffarian Technologies, Inc. (SGT); National Aeronautics &amp; Space Administration (NASA); NASA Goddard Space Flight Center; National Aeronautics &amp; Space Administration (NASA); NASA Goddard Space Flight Center; Science Systems and Applications Inc</t>
  </si>
  <si>
    <t>Zwally, HJ (corresponding author), NASA, Cryospher Sci Lab, Goddard Space Flight Ctr, Greenbelt, MD 20771 USA.;Zwally, HJ (corresponding author), Univ Maryland, Earth Syst Sci Interdisciplinary Ctr, College Pk, MD 20742 USA.</t>
  </si>
  <si>
    <t>jayzwallyice@verizon.net</t>
  </si>
  <si>
    <t>10.1017/jog.2016.91</t>
  </si>
  <si>
    <t>WOS:000386673900016</t>
  </si>
  <si>
    <t>Response to Comment by A. RICHTER, M. HORWATH, R. DIETRICH (2016) on 'Mass gains of the Antarctic ice sheet exceed losses' by H. J. Zwally and others (2015)</t>
  </si>
  <si>
    <t>EAST ANTARCTICA; ACCUMULATION</t>
  </si>
  <si>
    <t>National Aeronautics &amp; Space Administration (NASA); NASA Goddard Space Flight Center; University System of Maryland; University of Maryland College Park; National Aeronautics &amp; Space Administration (NASA); NASA Goddard Space Flight Center; Stinger Ghaffarian Technologies, Inc. (SGT); National Aeronautics &amp; Space Administration (NASA); NASA Goddard Space Flight Center; Science Systems and Applications Inc; National Aeronautics &amp; Space Administration (NASA); NASA Goddard Space Flight Center</t>
  </si>
  <si>
    <t>10.1017/jog.2016.92</t>
  </si>
  <si>
    <t>WOS:000386673900017</t>
  </si>
  <si>
    <t>Alter, K; Andrewartha, SJ; Elliott, NG</t>
  </si>
  <si>
    <t>Alter, Katharina; Andrewartha, Sarah J.; Elliott, Nick G.</t>
  </si>
  <si>
    <t>HATCHERY CONDITIONS DO NOT NEGATIVELY IMPACT RESPIRATORY RESPONSE OF EARLY LIFE-STAGE DEVELOPMENT IN AUSTRALIAN HYBRID ABALONE</t>
  </si>
  <si>
    <t>JOURNAL OF SHELLFISH RESEARCH</t>
  </si>
  <si>
    <t>Article; Proceedings Paper</t>
  </si>
  <si>
    <t>9th International Abalone Symposium</t>
  </si>
  <si>
    <t>OCT 05-10, 2015</t>
  </si>
  <si>
    <t>Yeosu, SOUTH KOREA</t>
  </si>
  <si>
    <t>hybrids; hatchery; metabolism; development; respiration</t>
  </si>
  <si>
    <t>MARINE INVERTEBRATE EMBRYOS; HALIOTIS-DISCUS-HANNAI; OXYGEN-CONSUMPTION; GREENLIP ABALONE; GROWTH; ENERGY; LARVAE; RECRUITMENT; SETTLEMENT; LAEVIGATA</t>
  </si>
  <si>
    <t>On Australian aquaculture farms, early life stages of abalone are reared under controlled abiotic and biotic conditions in an attempt to optimize individual growth and reduce potential stressors. Yet, physiological responses to the rearing conditions are largely unknown. This study tests if commercial stocking densities, light conditions, and oxygen levels influence the oxygen consumption rate (MO2) of early life stages of Haliotis rubra and Haliotis laevigata hybrids at a standard commercial hatchery temperature of 16 degrees C. Oxygen consumption rate of fertilized eggs and larvae in the trochophore, mid-veliger, and early benthic veliger stages were measured at densities from 100 to 2,400 individuals/ml, in light and dark conditions and oxygen levels of 100%-0% air saturation (% O(2)sat). Neither density nor light conditions affected MO2 of any of the tested life stages. Normoxic MO2 varied across developmental stage and was higher in the actively swimming mid-veliger stages (114.92 +/- 2.68 pmol O-2/ind/h) in comparison with less active earlier (49.48 +/- 2.33 pmol O-2/ind/h) and later life stages (65.90 +/- 3.05 pmol O-2/ind/h). Critical oxygen tensions, taken as the point at which animals could no longer maintain MO2, ranged from 22.7% +/- 2.7% O(2)sat in fertilized eggs to 14.0% +/- 1.0% O(2)sat in mid-veliger larvae. These results suggest that current conditions in Australian abalone aquaculture farms should not negatively impact the development of early life stages of hybrid abalones.</t>
  </si>
  <si>
    <t>[Alter, Katharina] Univ Tasmania, Inst Marine &amp; Antarctic Studies, 20 Castray Esplanade, Hobart, Tas 7004, Australia; [Alter, Katharina; Andrewartha, Sarah J.; Elliott, Nick G.] Commonwealth Sci &amp; Ind Res Org, Hobart, Tas 7004, Australia</t>
  </si>
  <si>
    <t>University of Tasmania; Commonwealth Scientific &amp; Industrial Research Organisation (CSIRO)</t>
  </si>
  <si>
    <t>Alter, K (corresponding author), Univ Tasmania, Inst Marine &amp; Antarctic Studies, 20 Castray Esplanade, Hobart, Tas 7004, Australia.;Alter, K (corresponding author), Commonwealth Sci &amp; Ind Res Org, Hobart, Tas 7004, Australia.</t>
  </si>
  <si>
    <t>katharina.alter@csiro.au</t>
  </si>
  <si>
    <t>Alter, Katharina/AAA-6902-2019; Andrewartha, Sarah/K-4189-2012</t>
  </si>
  <si>
    <t>Andrewartha, Sarah/0000-0003-1973-9502</t>
  </si>
  <si>
    <t>NATL SHELLFISHERIES ASSOC</t>
  </si>
  <si>
    <t>GROTON</t>
  </si>
  <si>
    <t>C/O DR. SANDRA E. SHUMWAY, UNIV CONNECTICUT, 1080 SHENNECOSSETT RD, GROTON, CT 06340 USA</t>
  </si>
  <si>
    <t>0730-8000</t>
  </si>
  <si>
    <t>1943-6319</t>
  </si>
  <si>
    <t>J SHELLFISH RES</t>
  </si>
  <si>
    <t>J. Shellfish Res.</t>
  </si>
  <si>
    <t>10.2983/035.035.0303</t>
  </si>
  <si>
    <t>Fisheries; Marine &amp; Freshwater Biology</t>
  </si>
  <si>
    <t>EA3IR</t>
  </si>
  <si>
    <t>WOS:000386496100003</t>
  </si>
  <si>
    <t>Chakraborty, B; Vardhan, YV; Haris, K; Menezes, A; Karisiddaiah, SM; Fernandes, WA; Kurian, J</t>
  </si>
  <si>
    <t>Chakraborty, Bishwajit; Vardhan, Y. Vishnu; Haris, K.; Menezes, Andrew; Karisiddaiah, S. M.; Fernandes, William A.; Kurian, John</t>
  </si>
  <si>
    <t>Multifractal Detrended Fluctuation Analysis to Compare Coral Bank and Seafloor Seepage Area-Related Characterization Along the Central Western Continental Margin of India</t>
  </si>
  <si>
    <t>IEEE GEOSCIENCE AND REMOTE SENSING LETTERS</t>
  </si>
  <si>
    <t>Backscatter; bathymetry; coral bank; multibeam; multifractal detrended fluctuation analysis (MFDFA); western continental margin of India (WCMI)</t>
  </si>
  <si>
    <t>MORPHOLOGY; ROUGHNESS; MANGALORE; SEDIMENTS; POCKMARKS; SHELF</t>
  </si>
  <si>
    <t>In this letter, the characterization of two coral banks is initiated employing the multifractal detrended fluctuation analysis (MFDFA) for multibeam bathymetry and associated backscatter data. The seafloor roughness was estimated using the Hurst exponent of a second-order moment. The two coral banks are located around the buried channels off Malpe, western continental margin of India (WCMI). The Gaveshani bank is lying on a submerged headland with high backscatter strength. The presence of greater seafloor roughness and medium multifractality in the backscatter data series indicates less heterogeneity of the involved process. In an evolutionary process, the Gaveshani bank may not be affected by the paleochannels. Contrary to the Gaveshani bank, another unnamed coral bank located on lowland and with lower backscatter strength shows lower seafloor roughness and greater multifractality, comparatively. This smoothness is due to the considerable heterogeneity of the seafloor process of a paleochannel system. During the Holocene period, the waves and the current action have further modified the morphology of the coral banks. To support the present analysis, we have juxtaposed the multifractal data analysis of seepage and nonseepage seafloor off Goa, WCMI, along with the coral banks.</t>
  </si>
  <si>
    <t>[Chakraborty, Bishwajit; Vardhan, Y. Vishnu; Haris, K.; Menezes, Andrew; Karisiddaiah, S. M.; Fernandes, William A.] CSIR NIO, Panaji 403004, India; [Kurian, John] ESSO NCAOR, Vasco Da Gama 403804, India</t>
  </si>
  <si>
    <t>Council of Scientific &amp; Industrial Research (CSIR) - India; CSIR - National Institute of Oceanography (NIO); Ministry of Earth Sciences (MoES) - India; National Centre for Polar and Ocean Research (NCPOR)</t>
  </si>
  <si>
    <t>Chakraborty, B (corresponding author), CSIR NIO, Panaji 403004, India.</t>
  </si>
  <si>
    <t>bishwajit@nio.org; yvardhan@nio.org; harihassainar@gmail.com; amenezes@nio.org; kari@nio.org; william@nio.org; john@ncaor.gov.in</t>
  </si>
  <si>
    <t>Kunnath, Haris/JAX-5531-2023</t>
  </si>
  <si>
    <t>Kunnath, Haris/0000-0001-6832-8289</t>
  </si>
  <si>
    <t>Ministry of Earth Sciences (MoES), New Delhi, India; Earth System Science Organization National Centre for Antarctic and Oceanic Research (ESSO-NCAOR), Vasco da Gama, Goa, India; Council of Scientific and Industrial Research National Institute of Oceanography (CSIR-NIO), Dona Paula, Goa, India</t>
  </si>
  <si>
    <t>This work was supported in part by the Ministry of Earth Sciences (MoES), New Delhi, India; by the Earth System Science Organization National Centre for Antarctic and Oceanic Research (ESSO-NCAOR), Vasco da Gama, Goa, India; and by the Council of Scientific and Industrial Research National Institute of Oceanography (CSIR-NIO), Dona Paula, Goa, India. This is CSIR-NIO contribution 5924.</t>
  </si>
  <si>
    <t>IEEE-INST ELECTRICAL ELECTRONICS ENGINEERS INC</t>
  </si>
  <si>
    <t>PISCATAWAY</t>
  </si>
  <si>
    <t>445 HOES LANE, PISCATAWAY, NJ 08855-4141 USA</t>
  </si>
  <si>
    <t>1545-598X</t>
  </si>
  <si>
    <t>1558-0571</t>
  </si>
  <si>
    <t>IEEE GEOSCI REMOTE S</t>
  </si>
  <si>
    <t>IEEE Geosci. Remote Sens. Lett.</t>
  </si>
  <si>
    <t>10.1109/LGRS.2016.2595628</t>
  </si>
  <si>
    <t>Geochemistry &amp; Geophysics; Engineering, Electrical &amp; Electronic; Remote Sensing; Imaging Science &amp; Photographic Technology</t>
  </si>
  <si>
    <t>Geochemistry &amp; Geophysics; Engineering; Remote Sensing; Imaging Science &amp; Photographic Technology</t>
  </si>
  <si>
    <t>EA0CS</t>
  </si>
  <si>
    <t>WOS:000386253500031</t>
  </si>
  <si>
    <t>Astorga-España, MS; Rodríguez-Galdón, B; Rodríguez-Rodríguez, EM; Díaz-Romero, C</t>
  </si>
  <si>
    <t>Soledad Astorga-Espana, Ma; Rodriguez-Galdon, Beatriz; Rodriguez-Rodriguez, Elena M.; Diaz-Romero, Carlos</t>
  </si>
  <si>
    <t>Amino acid content in seaweeds from the Magellan Straits (Chile)</t>
  </si>
  <si>
    <t>JOURNAL OF FOOD COMPOSITION AND ANALYSIS</t>
  </si>
  <si>
    <t>Amino acids profile; Protein content seaweeds; Quality protein; Algae; Ecoregion of Magellan (Chile); Glutamic acid; FAO WHO UNU; HPLC</t>
  </si>
  <si>
    <t>PROTEIN CONVERSION FACTORS; ULVA-LACTUCA; CHEMICAL-COMPOSITION; NUTRITIONAL ASPECTS; MARINE MACROALGAE; EDIBLE SEAWEEDS; DIETARY FIBER; FATTY-ACIDS; PRODUCTS; CHLOROPHYTA</t>
  </si>
  <si>
    <t>Total proteins, amino acid (AA) profile and AA score (AAS) were determined in 73 red, green and brown seaweeds collected in the sub-Antarctic ecoregion of Magallanes. Significant differences were found between the genera and seaweed colour for protein contents, essential AA (EAA), non-essential AA (NEAA) and ratio EAA/NEAA. A serving of brown seaweed would contribute to a lower protein intake than a portion of red or green seaweed. However, AAS and the EAA index (EAAI) showed that brown seaweeds had a better protein quality than red and green seaweeds. Sulfur AA were the limiting AA in red and green seaweeds while leucine was the limiting AA in brown seaweed. A high concentration of lysine was found, which is often the limiting amino acid in animal feeds. Seaweeds might be important sources of proteins with high level of EAA, however the protein and AA content varies depending on the seaweed colour and genus. (C) 2016 Elsevier Inc. All rights reserved.</t>
  </si>
  <si>
    <t>[Soledad Astorga-Espana, Ma] Univ Magallanes, Dept Sci &amp; Nat Resources, POB 113-D, Punta Arenas, Chile; [Rodriguez-Galdon, Beatriz; Rodriguez-Rodriguez, Elena M.; Diaz-Romero, Carlos] Univ La Laguna, Dept Ingn Quim &amp; Tecnol Farmaceut, Area Nutr &amp; Bromatol, Avda Astrofis Francisco Sanchez S-N, E-38206 Tenerife, Spain</t>
  </si>
  <si>
    <t>Universidad de Magallanes; Universidad de la Laguna</t>
  </si>
  <si>
    <t>Astorga-España, MS (corresponding author), Univ Magallanes, Dept Sci &amp; Nat Resources, POB 113-D, Punta Arenas, Chile.</t>
  </si>
  <si>
    <t>msoledad.astorga@umag.cl</t>
  </si>
  <si>
    <t>Rodríguez-Galdón, Beatriz/AAB-7894-2020; Romero, Carlos Díaz/L-7358-2014; Rodriguez-Rodriguez, Elena M/B-8346-2015</t>
  </si>
  <si>
    <t>Rodríguez-Galdón, Beatriz/0000-0002-6934-1837; Rodriguez-Rodriguez, Elena M/0000-0003-3807-4593; Astorga Espana, Maria Soledad/0000-0003-0647-7515; Diaz Romero, Carlos/0000-0001-8314-4584</t>
  </si>
  <si>
    <t>Universidad de Magallanes [PR-F2-05CRN-09, PR-F4RN-07-08]; Regional Government of Magallanes</t>
  </si>
  <si>
    <t>Universidad de Magallanes; Regional Government of Magallanes</t>
  </si>
  <si>
    <t>This work was financed by Projects PR-F2-05CRN-09 and PR-F4RN-07-08 of the Universidad de Magallanes. We would also like to mention the collaboration of Project Diagnostic del Macrobentos en el AMCP-MU Francisco Coloane (financed by the Regional Government of Magallanes) and to thank Mrs. Ma. Luisa Ojeda, Seremi of National Heritage (2007) for providing part of the samples. It is a contribution to travel Ma. Soledad Astorga-Espana at the program PMI MAG1203 Gaia-Antartica: conocimiento y cultura antartica of the Universidad de Magallanes.</t>
  </si>
  <si>
    <t>0889-1575</t>
  </si>
  <si>
    <t>1096-0481</t>
  </si>
  <si>
    <t>J FOOD COMPOS ANAL</t>
  </si>
  <si>
    <t>J. Food Compos. Anal.</t>
  </si>
  <si>
    <t>10.1016/j.jfca.2016.09.004</t>
  </si>
  <si>
    <t>Chemistry, Applied; Food Science &amp; Technology</t>
  </si>
  <si>
    <t>Chemistry; Food Science &amp; Technology</t>
  </si>
  <si>
    <t>EA2FE</t>
  </si>
  <si>
    <t>WOS:000386407400010</t>
  </si>
  <si>
    <t>Moyano-Cambero, CE; Trigo-Rodríguez, JM; Llorca, J; Fornasier, S; Barucci, MA; Rimola, A</t>
  </si>
  <si>
    <t>Moyano-Cambero, Carles E.; Trigo-Rodriguez, Josep M.; Llorca, Jordi; Fornasier, Sonia; Barucci, Maria A.; Rimola, Albert</t>
  </si>
  <si>
    <t>A plausible link between the asteroid 21 Lutetia and CH carbonaceous chondrites</t>
  </si>
  <si>
    <t>SPECTRAL REFLECTANCE PROPERTIES; INTERSTELLAR SILICATE MINERALOGY; MAIN-BELT; ROSETTA MISSION; MU-M; SURFACE-COMPOSITION; DUST GRAINS; SPECTROSCOPY; TARGET; 21-LUTETIA</t>
  </si>
  <si>
    <t>A crucial topic in planetology research is establishing links between primitive meteorites and their parent asteroids. In this study, we investigate the feasibility of a connection between asteroids similar to 21 Lutetia, encountered by the Rosetta mission in July 2010, and the CH3 carbonaceous chondrite Pecora Escarpment 91467 (PCA 91467). Several spectra of this meteorite were acquired in the ultraviolet to near-infrared (0.3-2.2m) and in the midinfrared to thermal infrared (2.5-30.0m or 4000 to similar to 333cm(-1)), and they are compared here to spectra from the asteroid 21 Lutetia. There are several similarities in absorption bands and overall spectral behavior between this CH3 meteorite and 21 Lutetia. Considering also that the bulk density of Lutetia is similar to that of CH chondrites, we suggest that this asteroid could be similar, or related to, the parent body of these meteorites, if not the parent body itself. However, the apparent surface diversity of Lutetia pointed out in previous studies indicates that it could simultaneously be related to other types of chondrites. Future discovery of additional unweathered CH chondrites could provide deeper insight in the possible connection between this family of metal-rich carbonaceous chondrites and 21 Lutetia or other featureless, possibly hydrated high-albedo asteroids.</t>
  </si>
  <si>
    <t>[Moyano-Cambero, Carles E.; Trigo-Rodriguez, Josep M.] Inst Ciencies Espai CSIC IEEC, Campus UAB,Carrer Can Magrans S-N, Barcelona 08193, Spain; [Llorca, Jordi] Univ Politecn Cataluna, Inst Tecn Energet, ETSEIB, Diagonal 647, E-08028 Barcelona, Spain; [Llorca, Jordi] Univ Politecn Cataluna, Ctr Recerca Nanoengn, ETSEIB, Diagonal 647, E-08028 Barcelona, Spain; [Fornasier, Sonia; Barucci, Maria A.] Sorbonne Univ, Univ Paris 06, PSL Res Univ, LESIA,Observ Paris,CNRS,Univ Paris Diderot,Sorbon, 5 Pl J Janssen, F-92195 Meudon, France; [Rimola, Albert] Univ Autonoma Barcelona, Dept Quim, Bellaterra 08193, Spain</t>
  </si>
  <si>
    <t>Institut d'Estudis Espacials de Catalunya (IEEC); University of Barcelona; Autonomous University of Barcelona; Consejo Superior de Investigaciones Cientificas (CSIC); CSIC - Instituto de Ciencias del Espacio (ICE); Universitat Politecnica de Catalunya; Universitat Politecnica de Catalunya; Sorbonne Universite; Universite Paris Cite; Centre National de la Recherche Scientifique (CNRS); Universite PSL; Observatoire de Paris; Autonomous University of Barcelona</t>
  </si>
  <si>
    <t>Moyano-Cambero, CE (corresponding author), Inst Ciencies Espai CSIC IEEC, Campus UAB,Carrer Can Magrans S-N, Barcelona 08193, Spain.</t>
  </si>
  <si>
    <t>moyano@ice.csic.es</t>
  </si>
  <si>
    <t>Llorca, Jordi/M-8134-2014; Trigo-Rodríguez, Josep M./L-3870-2014; Trigo-Rodriguez, Josep M./ABF-5444-2020; Rimola, Albert/K-1813-2014</t>
  </si>
  <si>
    <t>Llorca, Jordi/0000-0002-7447-9582; Trigo-Rodríguez, Josep M./0000-0001-8417-702X; Rimola, Albert/0000-0002-9637-4554</t>
  </si>
  <si>
    <t>Spanish Ministry of Science and Innovation [AYA2015-67175-P, CTQ2015-62635-ERC, CTQ2014-60119-P]; CSIC [201050I043]</t>
  </si>
  <si>
    <t>Spanish Ministry of Science and Innovation(Spanish Government); CSIC</t>
  </si>
  <si>
    <t>Current research was supported by the Spanish Ministry of Science and Innovation (projects: AYA2015-67175-P, CTQ2015-62635-ERC, and CTQ2014-60119-P) and CSIC (starting grant #201050I043). J. L. is grateful to ICREA Academia program. We thank the Rosetta-VIRTIS team for providing the Lutetia spectrum in digital form. NASA Meteorite Working Group is also acknowledged for providing the Antarctic carbonaceous chondrites. A.R. is indebted to Programa Banco de Santander for a UAB distinguished postdoctoral research contract. This study was done in the frame of a Ph.D. on Physics at the Autonomous University of Barcelona (UAB).</t>
  </si>
  <si>
    <t>10.1111/maps.12703</t>
  </si>
  <si>
    <t>DZ6GT</t>
  </si>
  <si>
    <t>Green Accepted, Green Submitted</t>
  </si>
  <si>
    <t>WOS:000385960400003</t>
  </si>
  <si>
    <t>Wang, CL; Sun, K; Hu, LW; Qiu, SZ; Su, GH</t>
  </si>
  <si>
    <t>Wang, Chenglong; Sun, Kaichao; Hu, Lin-Wen; Qiu, Suizheng; Su, G. H.</t>
  </si>
  <si>
    <t>Thermal-Hydraulic Analyses of Transportable Fluoride Salt-Cooled High-Temperature Reactor with CFD Modeling</t>
  </si>
  <si>
    <t>NUCLEAR TECHNOLOGY</t>
  </si>
  <si>
    <t>Transportable small reactor; fluoride salt coolant; CFD</t>
  </si>
  <si>
    <t>The technology for the 20-MW(thermal) Transportable Fluoride Salt Cooled High Temperature Reactor (TFHR) is proposed by Massachusetts Institute of Technology for off-grid applications such as Antarctic bases and remote mining sites. The preliminary thermal-hydraulic analyses and improvements based on a 1/12th full-core model were performed using three-dimensional computational fluid dynamics (CFD). A benchmark study was conducted by comparing the CFD results against empirical correlations and experimental data obtained by Cooke, Silverman, and Grele. In the 1/12th full-core analysis, three practical considerations that may challenge the TFHR temperature limits are evaluated as bounding analysis. These include (1) helium gap between fuel compact and graphite block, (2) thermal conductivity degradations of graphite matrix due to neutron irradiation, and (3) full-core scale power distribution obtained from neutronic calculations. These design considerations lead to insufficient margin between the normal operating condition and the predefined thermal limits. In this context, additional design features are implemented to improve the thermal-hydraulic safety of the TFHR. First, bypass flow in the interstitial gaps between the active core and the reflector is found capable of reducing the temperature peaks at the core periphery. Second, improvements of the flow distribution from the central downcomer to individual coolant channels enable a higher mass flow rate to the regions with compromised cooling access. Overall, thermal-hydraulic performance was significantly improved with a fuel temperature margin from 10 to 150 K and a coolant temperature margin from 16 to 160 K, as well as the more uniform temperature distribution across the reactor core. Furthermore, thermal-hydraulic safety can be maintained at a 20% overpower operating condition [i.e., 24 MW(thermal)]. Overall, this study provides an engineering basis for the TFHR thermal-hydraulic design to improve its safety margin.</t>
  </si>
  <si>
    <t>[Wang, Chenglong; Qiu, Suizheng; Su, G. H.] Xi An Jiao Tong Univ, Dept Nucl Sci &amp; Technol, Xian 710049, Shaanxi, Peoples R China; [Wang, Chenglong; Sun, Kaichao; Hu, Lin-Wen] MIT, Nucl Reactor Lab, Cambridge, MA 02139 USA</t>
  </si>
  <si>
    <t>Xi'an Jiaotong University; Massachusetts Institute of Technology (MIT)</t>
  </si>
  <si>
    <t>Hu, LW (corresponding author), MIT, Nucl Reactor Lab, Cambridge, MA 02139 USA.</t>
  </si>
  <si>
    <t>lwhu@mit.edu</t>
  </si>
  <si>
    <t>Su, Guanghui/A-8356-2019; Sun, Kaichao/L-6588-2018</t>
  </si>
  <si>
    <t>Sun, Kaichao/0000-0002-8587-1918</t>
  </si>
  <si>
    <t>U.S. Department of Energy (DOE) Nuclear Energy University Program (NEUP)-Integrated Research Project of FHR; China Scholarship Council; Chinese National Science Foundation [91326201, 11475132]</t>
  </si>
  <si>
    <t>U.S. Department of Energy (DOE) Nuclear Energy University Program (NEUP)-Integrated Research Project of FHR(United States Department of Energy (DOE)); China Scholarship Council(China Scholarship Council); Chinese National Science Foundation(National Natural Science Foundation of China (NSFC))</t>
  </si>
  <si>
    <t>Special thanks to C. Forsberg for reviewing this work. The U.S. Department of Energy (DOE) Nuclear Energy University Program (NEUP)-Integrated Research Project of FHR is gratefully acknowledged for supporting this work. Financial support for C. Wang is provided by China Scholarship Council and the Chinese National Science Foundation (Grant No. 91326201, No. 11475132).</t>
  </si>
  <si>
    <t>0029-5450</t>
  </si>
  <si>
    <t>1943-7471</t>
  </si>
  <si>
    <t>NUCL TECHNOL</t>
  </si>
  <si>
    <t>Nucl. Technol.</t>
  </si>
  <si>
    <t>10.13182/NT15-42</t>
  </si>
  <si>
    <t>Nuclear Science &amp; Technology</t>
  </si>
  <si>
    <t>EA2HE</t>
  </si>
  <si>
    <t>WOS:000386412600003</t>
  </si>
  <si>
    <t>Goodge, JW; Fanning, CM</t>
  </si>
  <si>
    <t>Goodge, John W.; Fanning, C. Mark</t>
  </si>
  <si>
    <t>Mesoarchean and Paleoproterozoic history of the Nimrod Complex, central Transantarctic Mountains, Antarctica: Stratigraphic revisions and relation to the Mawson Continent in East Gondwana</t>
  </si>
  <si>
    <t>PRECAMBRIAN RESEARCH</t>
  </si>
  <si>
    <t>Antarctica; Craton; Nimrod Complex; Zircon; Geochronology</t>
  </si>
  <si>
    <t>PRINCE-CHARLES MOUNTAINS; U-PB ZIRCON; PROTEROZOIC CRUSTAL EVOLUTION; GAWLER CRATON; ROSS OROGEN; GLACIER AREA; RB-SR; SM-ND; TECTONOTHERMAL EVOLUTION; ISOTOPE SYSTEMATICS</t>
  </si>
  <si>
    <t>High-grade metamorphic and igneous rocks originally mapped as the Nimrod Group represent the only known crystalline basement of the East Antarctic shield exposed in the Transantarctic Mountains. SHRIMP U-Pb age data from zircon show that this assemblage preserves multiple geologic events spanning 2.5 b.y. of Archean to early Paleozoic history, culminating in thermomechanical reworking and active-margin magmatism during the Ross Orogeny. New age data from igneous and metamorphic rocks, as well as from detrital zircons in metasedimentary quartzites, refine the Mesoarchean to Paleoproterozoic history and indicate the need to abandon the stratigraphic term Nimrod Group and its five formations. In its place, we redefine only the igneous and high-grade gneissic parts of the assemblage as the Nimrod Complex, and all other metasedimentary rocks exposed in the Miller and Geologists ranges are included in a newly defined Argosy Schist. Within the Nimrod Complex, the oldest layered gneisses represent magmatic Mesoarchean crust formed between about 3150 and 3050 Ma. Correspondence of U-Pb zircon crystallization ages with whole-rock Sm-Nd model ages indicates formation from juvenile mantle melts. Magmatism at ca. 3100 Ma was followed closely by high-temperature metamorphism, recorded by zircon crystallization at 2955-2900 Ma, likely due to high advective heat transfer and/or thermal insulation of newly stabilized crust. Metaigneous units with ages of ca. 2500 Ma indicate a late Neoarchean period of anatexis and/or magmatism, although the geologic context for these events is uncertain. Gneissic, eclogitic and metaigneous rocks record an important period of deep-crustal metamorphism, thickening and magmatism between 1730 and 1700 Ma, referred to as the Nimrod Orogeny, that may have played an early role in assembly of East Gondwana cratons. A new lithodemic unit, Argosy Schist, consists of interlayered mica schist, quartzite, amphibolite, and talc-silicate schist. Quartzites from the schist unit have two distinctive detrital-zircon provenance characteristics; one type has populations that correlate with dated gneissic and metaigneous units of the Nimrod Complex, indicating a proximal provenance, whereas a second type has detrital zircon ages resembling those from Neoproterozoic Beardmore Group sandstones, indicating a common broader East Antarctic shield provenance. Their maximum depositional ages range widely from about 2000 to 900 Ma, leaving unresolved their age and geologic relationship to either the Nimrod Complex or Beardmore Group, yet they comprise a metasedimentary assemblage that is distinctive from the Nimrod Complex. Recent findings of Mesoarchean gneisses in the Gawler Craton, geochronology from Terre Adelie, and our new age data from the Nimrod Complex thus highlight the importance of ca. 3.1, 2.5 and 1.7 Ga events in formation of the composite East Antarctic shield adjacent to the modern Transantarctic Mountains. Correlative crustal units may extend to the southern Prince Charles Mountains and Shackleton Range. Collectively, this extensive crustal province, referred to as the Mawson Continent, represents an elongate belt of primary Mesoarchean crust that experienced major reworking at ca. 2.5 and 1.7 Ga. The latter period includes both high-and low-P/T petrologic signatures, providing evidence of crustal thickening and magmatism that may signify collisional processes related to Paleoproterozoic cratonal amalgamation during formation of the Nuna supercontinent. (C) 2016 Elsevier B.V. All rights reserved.</t>
  </si>
  <si>
    <t>[Goodge, John W.] Univ Minnesota, Dept Earth &amp; Environm Sci, Duluth, MN 55812 USA; [Fanning, C. Mark] Australian Natl Univ, Res Sch Earth Sci, Mills Rd, Canberra, ACT 0200, Australia</t>
  </si>
  <si>
    <t>University of Minnesota System; University of Minnesota Duluth; Australian National University</t>
  </si>
  <si>
    <t>Goodge, JW (corresponding author), Univ Minnesota, Dept Earth &amp; Environm Sci, Duluth, MN 55812 USA.</t>
  </si>
  <si>
    <t>jgoodge@d.umn.edu; Mark.Fanning@anu.edu.au</t>
  </si>
  <si>
    <t>Fanning, C. Mark/I-6449-2016; Goodge, John/GQI-3878-2022</t>
  </si>
  <si>
    <t>Goodge, John/0000-0003-2578-3147</t>
  </si>
  <si>
    <t>United States National Science Foundation [03-50039, 04-40160, 09-44645]</t>
  </si>
  <si>
    <t>United States National Science Foundation(National Science Foundation (NSF))</t>
  </si>
  <si>
    <t>This work has been supported by awards from the United States National Science Foundation to JWG (including 03-50039, 04-40160, 09-44645). We appreciate the many detailed review comments by Steve Boger and Ian Fitzsimons, which have substantially improved the paper.</t>
  </si>
  <si>
    <t>0301-9268</t>
  </si>
  <si>
    <t>1872-7433</t>
  </si>
  <si>
    <t>PRECAMBRIAN RES</t>
  </si>
  <si>
    <t>Precambrian Res.</t>
  </si>
  <si>
    <t>10.1016/j.precamres.2016.09.001</t>
  </si>
  <si>
    <t>EA2EB</t>
  </si>
  <si>
    <t>WOS:000386404500015</t>
  </si>
  <si>
    <t>Alikkunju, AP; Sainjan, N; Silvester, R; Joseph, A; Rahiman, M; Antony, AC; Kumaran, RC; Hatha, M</t>
  </si>
  <si>
    <t>Alikkunju, Aneesa P.; Sainjan, Neethu; Silvester, Reshma; Joseph, Ajith; Rahiman, Mujeeb; Antony, Ally C.; Kumaran, Radhakrishnan C.; Hatha, Mohamed</t>
  </si>
  <si>
    <t>Screening and Characterization of Cold-Active β-Galactosidase Producing Psychrotrophic Enterobacter ludwigii from the Sediments of Arctic Fjord</t>
  </si>
  <si>
    <t>APPLIED BIOCHEMISTRY AND BIOTECHNOLOGY</t>
  </si>
  <si>
    <t>Psychrotrophs; Cold-active beta-galactosidase; Enterobacter sp.; Lactoseintolerance; Whey; Bioremediation</t>
  </si>
  <si>
    <t>PURIFICATION; CLONING; STRAIN; ENZYMES; COPRODUCTION; ENVIRONMENT; BACTERIUM; AMYLASE; GROWTH; MILK</t>
  </si>
  <si>
    <t>Low-temperature-tolerant microorganisms and their cold-active enzymes could be an innovative and invaluable tool in various industrial applications. In the present study, bacterial isolates from the sediment samples of Kongsfjord, Norwegian Arctic, were screened for beta-galactosidase production. Among the isolates, KS25, KS85, KS60, and KS92 have shown good potential in beta-galactosidase production at 20 A degrees C. 16SrRNA gene sequence analysis revealed the relatedness of the isolates to Enterobacter ludwigii. The optimum growth temperature of the isolate was 25 A degrees C. The isolate exhibited good growth and enzyme production at a temperature range of 15-35 A degrees C, pH 5-10. The isolate preferred yeast extract and lactose for the maximum growth and enzyme production at conditions of pH 7.0, temperature of 25 A degrees C, and agitation speed of 100 rpm. The growth and enzyme production was stimulated by Mn2+ and Mg2+ and strongly inhibited by Zn2+, Ni2+, and Cu+. beta-Galactosidases with high specific activity at low temperatures are very beneficial in food industry to compensate the nutritional problem associated with lactose intolerance. The isolate exhibited a remarkable capability to utilize clarified whey, an industrial pollutant, for good biomass and enzyme yield and hence could be well employed in whey bioremediation.</t>
  </si>
  <si>
    <t>[Alikkunju, Aneesa P.; Sainjan, Neethu; Silvester, Reshma; Joseph, Ajith; Antony, Ally C.; Kumaran, Radhakrishnan C.; Hatha, Mohamed] Cochin Univ Sci &amp; Technol, Dept Marine Biol Microbiol &amp; Biochem, Lakeside Campus, Cochin 682016, Kerala, India; [Rahiman, Mujeeb] MES Ponnani Coll, Dept Aquaculture &amp; Fishery Microbiol, Ponnani 679586, Kerala, India</t>
  </si>
  <si>
    <t>Cochin University Science &amp; Technology</t>
  </si>
  <si>
    <t>Alikkunju, AP (corresponding author), Cochin Univ Sci &amp; Technol, Dept Marine Biol Microbiol &amp; Biochem, Lakeside Campus, Cochin 682016, Kerala, India.</t>
  </si>
  <si>
    <t>aneesasiraj2005@gmail.com</t>
  </si>
  <si>
    <t>A, ANEESA P/AGM-1292-2022; Silvester, Reshma/H-3520-2019; Antony, Ally C./AAU-4975-2021</t>
  </si>
  <si>
    <t>A, ANEESA P/0000-0002-8937-1451; Silvester, Reshma/0000-0001-6182-6031; Abdulla, Mohamed Hatha/0000-0003-0136-2911</t>
  </si>
  <si>
    <t>Department of Marine Biology, Microbiology and Biochemistry; Sophisticated Testing and Instrumentation Centre at Cochin University of Science and Technology; National Centre for Antarctic and Ocean Research</t>
  </si>
  <si>
    <t>We are thankful to the Department of Marine Biology, Microbiology and Biochemistry and Sophisticated Testing and Instrumentation Centre at Cochin University of Science and Technology and National Centre for Antarctic and Ocean Research for providing the facilities and financial assistance to carry out the research.</t>
  </si>
  <si>
    <t>0273-2289</t>
  </si>
  <si>
    <t>1559-0291</t>
  </si>
  <si>
    <t>APPL BIOCHEM BIOTECH</t>
  </si>
  <si>
    <t>Appl. Biochem. Biotechnol.</t>
  </si>
  <si>
    <t>10.1007/s12010-016-2111-y</t>
  </si>
  <si>
    <t>Biochemistry &amp; Molecular Biology; Biotechnology &amp; Applied Microbiology</t>
  </si>
  <si>
    <t>DY5JM</t>
  </si>
  <si>
    <t>WOS:000385135900007</t>
  </si>
  <si>
    <t>Lind, EM; Lilja, C; Wastegård, S; Pearce, NJG</t>
  </si>
  <si>
    <t>Lind, Ewa M.; Lilja, Carl; Wastegard, Stefan; Pearce, Nicholas J. G.</t>
  </si>
  <si>
    <t>Revisiting the Borrobol Tephra</t>
  </si>
  <si>
    <t>BOREAS</t>
  </si>
  <si>
    <t>ELECTRON-MICROPROBE ANALYSIS; GLACIAL-INTERGLACIAL TRANSITION; EVENT STRATIGRAPHY; HOLOCENE TEPHRA; VOLCANIC ASH; ICP-MS; PROBE MICROANALYSIS; GLASS; TEPHROCHRONOLOGY; SEDIMENTS</t>
  </si>
  <si>
    <t>The Borrobol Tephra has been identified as one of the key tephra horizons for the Lateglacial time period but it also exemplifies many of the promises and problems of tephrochronology. Additional horizons with similar major element composition and approximately the same age have been identified around the North Atlantic region. Here, we revisit the Borrobol Tephra identified at two Swedish sites, Hasseldala port and Skallahult, and also the Borrobol type-site in Scotland. We present the first set of minor element data (trace and rare earth analyses) along with new analyses of major elements from these three sites. The analysed minor and the trace elements have a similar signature; however, the glass from the Scottish type-site seems to imply two populations. To answer if this truly represents two populations, or if it reflects magmatic differentiation additional and larger data sets of minor elements are needed. The new major elements are compared to other Borrobol-type tephras identified in the North Atlantic region. Our results are in line with earlier investigations, which showed no differences in major elements. Further, comparison of minor elements from glass analyses from our sites with those for eruptions associated with Icelandic central volcanoes implies an Icelandic origin for the Borrobol-type tephras.</t>
  </si>
  <si>
    <t>[Lind, Ewa M.; Lilja, Carl; Wastegard, Stefan] Stockholm Univ, Dept Phys Geog, S-10691 Stockholm, Sweden; [Pearce, Nicholas J. G.] Aberystwyth Univ, Dept Geog &amp; Earth Sci, Aberystwyth SY23 3DB, Dyfed, Wales</t>
  </si>
  <si>
    <t>Stockholm University; Aberystwyth University</t>
  </si>
  <si>
    <t>Lind, EM (corresponding author), Stockholm Univ, Dept Phys Geog, S-10691 Stockholm, Sweden.</t>
  </si>
  <si>
    <t>ewa.lind@natgeo.su.se</t>
  </si>
  <si>
    <t>Wastegard, Stefan/G-5720-2012; Pearce, Nicholas J G/B-5295-2009</t>
  </si>
  <si>
    <t>Pearce, Nicholas J G/0000-0003-3157-9564</t>
  </si>
  <si>
    <t>Swedish Department of Education; Margaret Althin Fund; Hierta-Retzius Fund</t>
  </si>
  <si>
    <t>We would like to thank Chris Hayward at the University of Edinburgh for his invaluable help and dedication in improving geochemical analysis of cryptotephras. Peter Abbott helped guide us through the intricacies of the LA-ICP-MS. John Lowe helpfully provided information about the original coring of the Borrobol site. Both John and Simon Blockley shared in discussions about the problem of the Borrobol horizon. We would also like to thank Stephen Roberts, British Antarctic Survey, for providing us with data. Bjorn Moren was an excellent aid in the field. We are grateful to Siwan Davis for providing us with previously analysed material for renewed analysis and constructive comments on an early version of the manuscript. David Lowe and two anonymous reviewers are thanked for valuable input on the manuscript. Funding was provided by the Swedish Department of Education, the Margaret Althin Fund and the Hierta-Retzius Fund.</t>
  </si>
  <si>
    <t>0300-9483</t>
  </si>
  <si>
    <t>1502-3885</t>
  </si>
  <si>
    <t>Boreas</t>
  </si>
  <si>
    <t>10.1111/bor.12176</t>
  </si>
  <si>
    <t>DY8UD</t>
  </si>
  <si>
    <t>WOS:000385405900004</t>
  </si>
  <si>
    <t>Neill, KF; Nelson, WA; Falshaw, R; Hurd, CL</t>
  </si>
  <si>
    <t>Neill, Kate F.; Nelson, Wendy A.; Falshaw, Ruth; Hurd, Catriona L.</t>
  </si>
  <si>
    <t>Clump structure, population structure and non-destructive biomass estimation of the New Zealand carrageenophyte Sarcothalia lanceata (Gigartinaceae, Rhodophyta)</t>
  </si>
  <si>
    <t>BOTANICA MARINA</t>
  </si>
  <si>
    <t>carrageenophyte; New Zealand; population structure; Sarcothalia lanceata</t>
  </si>
  <si>
    <t>MAZZAELLA-CORNUCOPIAE RHODOPHYTA; CHONDRUS-CRISPUS STACKHOUSE; IRIDAEA-LAMINARIOIDES RHODOPHYTA; ISOMORPHIC REPRODUCTIVE PHASES; LIFE-HISTORY PHASES; SOUTHERN CHILE; ALGA MAZZAELLA; ECOLOGICAL DIFFERENCES; CLONAL SEAWEEDS; NATURAL-HISTORY</t>
  </si>
  <si>
    <t>Sarcothalia lanceata is a New Zealand carrageenophyte with tetrasporophytic thalli that produce carrageenan very close to the idealised structure of lambda-carrageenan. As such there is interest in its potential for commercial utilisation. There is no information on the biology and ecology of natural populations of this species, but this knowledge is critical for determining whether a species is a suitable candidate for sustainable wild harvest or for aquaculture. Population studies were conducted at two sites in New Zealand's South Island in order to provide fundamental information on this species. The structure (abundance and composition of male, female, tetrasporophytic and non-reproductive clumps) of the two populations was assessed monthly over a year, and population biomass estimated using regression methods. Seasonal variation was not evident in most of the parameters measured, but differences between sites were found in total population density, the density of different life-history phases, and clump size and structure. The turnover in biomass occurs more frequently at the blade level than at the clump level and the presence of a basal crust in this species promotes population stability.</t>
  </si>
  <si>
    <t>[Neill, Kate F.; Nelson, Wendy A.] Natl Inst Water &amp; Atmospher Res, Private Bag 14-901, Wellington, New Zealand; [Falshaw, Ruth] 5 Mahana Pl, Rotorua, New Zealand; [Hurd, Catriona L.] Univ Tasmania, Inst Marine &amp; Antarctic Studies, 20 Castray Esplanade, Hobart, Tas, Australia; [Nelson, Wendy A.] Univ Auckland, Sch Biol Sci, Auckland 1, New Zealand; [Falshaw, Ruth] Ind Res Ltd, POB 31-310, Lower Hutt, New Zealand; [Hurd, Catriona L.] Univ Otago, Dept Bot, POB 56, Dunedin, New Zealand</t>
  </si>
  <si>
    <t>National Institute of Water &amp; Atmospheric Research (NIWA) - New Zealand; University of Tasmania; University of Auckland; Callaghan Innovation; University of Otago</t>
  </si>
  <si>
    <t>Neill, KF (corresponding author), Natl Inst Water &amp; Atmospher Res, Private Bag 14-901, Wellington, New Zealand.</t>
  </si>
  <si>
    <t>Kate.Neill@niwa.co.nz</t>
  </si>
  <si>
    <t>; Hurd, Catriona/J-2411-2013</t>
  </si>
  <si>
    <t>Falshaw, Ruth/0000-0001-7107-1912; Hurd, Catriona/0000-0001-9965-4917; nelson, wendy/0000-0003-0014-5560; Neill, Kate/0000-0002-1639-2403</t>
  </si>
  <si>
    <t>University of Otago Postgraduate Scholarship; Industrial Research Limited; University of Otago Research Grant; Te Papa Tongarewa Museum of New Zealand; National Institute of Water &amp; Atmospheric Research under Coasts and Oceans Research Programme 2 [COBR1501 2014/15, COBR1601 2015/16]</t>
  </si>
  <si>
    <t>University of Otago Postgraduate Scholarship; Industrial Research Limited; University of Otago Research Grant; Te Papa Tongarewa Museum of New Zealand; National Institute of Water &amp; Atmospheric Research under Coasts and Oceans Research Programme 2</t>
  </si>
  <si>
    <t>This work was funded by a University of Otago Postgraduate Scholarship to KFN, grants from Industrial Research Limited, a University of Otago Research Grant (CLH) and Te Papa Tongarewa Museum of New Zealand. Additional funds were received from the National Institute of Water &amp; Atmospheric Research under Coasts and Oceans Research Programme 2 (COBR1501 2014/15 and COBR1601 2015/16). The authors are grateful to Dr Roberta D'Archino and an anonymous reviewer for their helpful comments on the manuscript. Thanks are also due to all the people who assisted with fieldwork in weathers fair and foul and to Tony Reay (University of Otago) for identifying rock types.</t>
  </si>
  <si>
    <t>WALTER DE GRUYTER GMBH</t>
  </si>
  <si>
    <t>GENTHINER STRASSE 13, D-10785 BERLIN, GERMANY</t>
  </si>
  <si>
    <t>0006-8055</t>
  </si>
  <si>
    <t>1437-4323</t>
  </si>
  <si>
    <t>BOT MAR</t>
  </si>
  <si>
    <t>Bot. Marina</t>
  </si>
  <si>
    <t>10.1515/bot-2016-0059</t>
  </si>
  <si>
    <t>Plant Sciences; Marine &amp; Freshwater Biology</t>
  </si>
  <si>
    <t>DY8KX</t>
  </si>
  <si>
    <t>WOS:000385380000007</t>
  </si>
  <si>
    <t>Arthur, B; Hindell, M; Bester, MN; Oosthuizen, WC; Wege, M; Lea, MA</t>
  </si>
  <si>
    <t>Arthur, Benjamin; Hindell, Mark; Bester, Marthan N.; Oosthuizen, W. Chris; Wege, Mia; Lea, Mary-Anne</t>
  </si>
  <si>
    <t>South for the winter? Within-dive foraging effort reveals the trade-offs between divergent foraging strategies in a free-ranging predator</t>
  </si>
  <si>
    <t>FUNCTIONAL ECOLOGY</t>
  </si>
  <si>
    <t>Antarctic fur seal; diving behaviour; energetic; foraging ecology; inter-frontal zone; oceanographic front; pinniped; prey</t>
  </si>
  <si>
    <t>ANTARCTIC FUR SEALS; DIVING BEHAVIOR; ARCTOCEPHALUS-GAZELLA; KING PENGUINS; MIROUNGA-LEONINA; MESOPELAGIC FISH; MARINE PREDATOR; ANIMAL MOVEMENT; ELEPHANT SEALS; TIME BUDGETS</t>
  </si>
  <si>
    <t>Central to an animal's fitness is its foraging strategy and understanding the choices made by foraging animals is a fundamental aim in animal ecology. For diving animals, quantifying foraging effort within dives provides a measure of foraging that can be integrated with location information to reveal how animals use their environment as well as the trade-offs associated with contrasting foraging strategies. We investigated the diving behaviour of 12 free-ranging Antarctic fur seals (Arctocephalus gazella) during their post-breeding winter migrations, quantifying within-dive foraging effort using a novel approach to identify divergent foraging strategies and determine the costs and benefits associated with foraging decisions. Significant differences identified in both diving behaviour and foraging effort of female Antarctic fur seals could be attributed to two main, contrasting foraging strategies. Habitat was a major determinant of diving and foraging behaviour, with clear differences occurring either side of the Polar Front, a prominent oceanographic feature in the Southern Ocean. Longer night duration and improved access to vertically migrating prey lead to increased foraging opportunities and a reduced foraging effort south of the Polar Front. Dives in this region were short and shallow. Conversely, seals remaining closer to the breeding colony north of the Polar Front had deep, long dives and an elevated foraging effort. The distinct foraging strategies of fur seals have associated trade-offs related to habitat availability, travel costs, prey accessibility and prey quality, which are likely driving their foraging decisions. This study highlights the trade-offs between contrasting foraging strategies that currently coexist within a population of a wide-ranging predator and raises questions about the viability of strategies with future change to population size or environmental conditions. Finally, understanding the trade-offs associated with foraging strategies is important for assessing the foraging decisions of animals across a variety of environments.</t>
  </si>
  <si>
    <t>[Arthur, Benjamin; Hindell, Mark; Lea, Mary-Anne] Univ Tasmania, Inst Marine &amp; Antarctic Studies, 20 Castray Esplanade, Hobart, Tas 7004, Australia; [Arthur, Benjamin; Hindell, Mark] Univ Tasmania, Antarctic Climate &amp; Ecosyst Cooperat Res Ctr, Hobart, Tas 7004, Australia; [Bester, Marthan N.; Oosthuizen, W. Chris; Wege, Mia] Univ Pretoria, Dept Zool &amp; Entomol, Mammal Res Inst, Pretoria, South Africa</t>
  </si>
  <si>
    <t>University of Tasmania; Antarctic Climate &amp; Ecosystems Cooperative Research Centre (ACE CRC); University of Tasmania; University of Pretoria</t>
  </si>
  <si>
    <t>Arthur, B (corresponding author), Univ Tasmania, Inst Marine &amp; Antarctic Studies, 20 Castray Esplanade, Hobart, Tas 7004, Australia.;Arthur, B (corresponding author), Univ Tasmania, Antarctic Climate &amp; Ecosyst Cooperat Res Ctr, Hobart, Tas 7004, Australia.</t>
  </si>
  <si>
    <t>Benjamin.Arthur@utas.edu.au</t>
  </si>
  <si>
    <t>Wege, Mia/B-1103-2016; Hindell, Mark A/K-1131-2013; Oosthuizen, W. Chris/I-2947-2016; Bester, Marthán N/E-5387-2010; Lea, Mary-Anne/E-9054-2013</t>
  </si>
  <si>
    <t>Wege, Mia/0000-0002-9022-3069; Oosthuizen, W. Chris/0000-0003-2905-6297; Arthur, Benjamin/0000-0002-1390-5760; Lea, Mary-Anne/0000-0001-8318-9299; Hindell, Mark/0000-0002-7823-7185</t>
  </si>
  <si>
    <t>Sea World Research and Rescue Foundation Inc. Australia [SWR/6/2013]; Holsworth Wildlife Research Endowment [L0020491]</t>
  </si>
  <si>
    <t>Sea World Research and Rescue Foundation Inc. Australia; Holsworth Wildlife Research Endowment</t>
  </si>
  <si>
    <t>We sincerely thank Charles Littnan for the generous donation of ten time-depth recorders to facilitate this research. Karine Heerah provided invaluable insight and analytical support of her Broken Stick methodology. We are especially grateful to Nico de Bruyn for accommodating this work within the Marion Island Marine Mammal Programme (MIMMP) and to the Marion Island field teams in 2012 and 2013 for their efforts in deploying and recovering tags. We acknowledge the logistical support provided by the South African National Antarctic Program (SANAP). Thank you to Mike Sumner for assisting with analyses. This work was funded by Sea World Research and Rescue Foundation Inc. Australia (SWR/6/2013) and the Holsworth Wildlife Research Endowment (L0020491). All animal handling and experimentation were approved by the University of Tasmania Animal Ethics Committee (permit A001134) and the University of Pretoria Animal Use and Care Committee (permit AUCC 040824-024). We thank two anonymous reviewers whose suggestions helped improve and clarify this manuscript.</t>
  </si>
  <si>
    <t>0269-8463</t>
  </si>
  <si>
    <t>1365-2435</t>
  </si>
  <si>
    <t>FUNCT ECOL</t>
  </si>
  <si>
    <t>Funct. Ecol.</t>
  </si>
  <si>
    <t>10.1111/1365-2435.12636</t>
  </si>
  <si>
    <t>DZ0EY</t>
  </si>
  <si>
    <t>WOS:000385511500002</t>
  </si>
  <si>
    <t>Van Ekert, E; Chauvigné, F; Finn, RN; Mathew, LG; Hull, JJ; Cerdà, J; Fabrick, JA</t>
  </si>
  <si>
    <t>Van Ekert, Evelien; Chauvigne, Francois; Finn, Roderick Nigel; Mathew, Lolita G.; Hull, J. Joe; Cerda, Joan; Fabrick, Jeffrey A.</t>
  </si>
  <si>
    <t>Molecular and functional characterization of Bemisia tabaci aquaporins reveals the water channel diversity of hemipteran insects</t>
  </si>
  <si>
    <t>INSECT BIOCHEMISTRY AND MOLECULAR BIOLOGY</t>
  </si>
  <si>
    <t>Bemisia tabaci; Whitefly; Osmoregulation; Aquaporin; Entomoglyceroporin; Major intrinsic protein family</t>
  </si>
  <si>
    <t>TRANSMEMBRANE TOPOLOGY; ANTARCTIC MIDGE; FILTER CHAMBER; CDNA CLONING; EXPRESSION; PREDICTION; EVOLUTION; SEQUENCE; PROTEINS; MOSQUITO</t>
  </si>
  <si>
    <t>The Middle East-Asia Minor 1 (MEAM1) whitefly, Bemisia tabaci (Gennadius) is an economically important pest of food, fiber, and ornamental crops. This pest has evolved a number of adaptations to overcome physiological challenges, including 1) the ability to regulate osmotic stress between gut lumen and hemolymph after imbibing large quantities of a low nitrogen, sugar-rich liquid diet; 2) the ability to avoid or prevent dehydration and desiccation, particularly during egg hatching and molting; and 3) to be adapted for survival at elevated temperatures. One superfamily of proteins involved in the maintenance of fluid homeostasis in many organisms includes the aquaporins, which are integral membrane channel proteins that aid in the rapid flux of water and other small solutes across biological membranes. Here, we show that B. tabaci has eight aquaporins (BtAqps), of which seven belong to the classical aquaporin 4 related grade of channels, including Bib, Drip, Prip, and Eglps and one that belongs to the unorthodox grade of aquaporin 12-like channels. B. tabaci has further expanded its repertoire of water channels through the expression of three BtDrip2 amino-terminal splice variants, while other hemipteran species express amino- or carboxyl-terminal isoforms of Drip, Prip, and Eglps. Each BtAqp has unique transcript expression profiles, cellular localization, and/or substrate preference. Our phylogenetic and functional data reveal that hemipteran insects lost the classical glp genes, but have compensated for this by duplicating the eglp genes early in their evolution to comprise at least three separate clades of glycerol transporters. Published by Elsevier Ltd.</t>
  </si>
  <si>
    <t>[Van Ekert, Evelien; Mathew, Lolita G.; Hull, J. Joe; Fabrick, Jeffrey A.] USDA ARS, US Arid Land Agr Res Ctr, Maricopa, AZ 85138 USA; [Chauvigne, Francois; Finn, Roderick Nigel] Univ Bergen, Bergen High Technol Ctr, Dept Biol, N-5020 Bergen, Norway; [Chauvigne, Francois; Cerda, Joan] CSIC, Inst Ciencies Mar, Inst Recerca &amp; Tecnol Agroalimentaries, E-08003 Barcelona, Spain; [Finn, Roderick Nigel] Nordnes, Inst Marine Res, N-5817 Bergen, Norway</t>
  </si>
  <si>
    <t>United States Department of Agriculture (USDA); University of Bergen; Consejo Superior de Investigaciones Cientificas (CSIC); CSIC - Centro Mediterraneo de Investigaciones Marinas y Ambientales (CMIMA); CSIC - Instituto de Ciencias del Mar (ICM); IRTA; Institute of Marine Research - Norway</t>
  </si>
  <si>
    <t>Fabrick, JA (corresponding author), USDA ARS, US Arid Land Agr Res Ctr, Maricopa, AZ 85138 USA.</t>
  </si>
  <si>
    <t>jeff.fabrick@ars.usda.gov</t>
  </si>
  <si>
    <t>Chauvigne, Francois/D-6854-2017; Finn, Roderick Nigel/Y-2916-2019; Cerda, Joan/M-1099-2016</t>
  </si>
  <si>
    <t>Chauvigne, Francois/0000-0001-5571-7517; Finn, Roderick Nigel/0000-0002-8776-3945; Cerda, Joan/0000-0003-2568-6398; Fabrick, Jeffrey/0000-0002-3893-9545</t>
  </si>
  <si>
    <t>base CRIS; National Program - Crop Protection Quarantine [304, 2020-22620-022-00D]; Research Council of Norway [204813/F20, 254872/E40]; Spanish Ministry of Economy and Competitiveness (MINECO) [AGL2013-41196-R]; USDA-ARS Research Associate Program; ARS [813737, ARS-0428993] Funding Source: Federal RePORTER</t>
  </si>
  <si>
    <t>base CRIS; National Program - Crop Protection Quarantine; Research Council of Norway(Research Council of Norway); Spanish Ministry of Economy and Competitiveness (MINECO); USDA-ARS Research Associate Program; ARS(United States Department of Agriculture (USDA)USDA Agricultural Research Service)</t>
  </si>
  <si>
    <t>This work was supported by base CRIS funding to USDA-ARS, National Program 304 - Crop Protection &amp; Quarantine [Project #2020-22620-022-00D)] to J.F., and partially funded by the Research Council of Norway Grants 204813/F20 and 254872/E40 to R.N.F. and the Spanish Ministry of Economy and Competitiveness (MINECO), project AGL2013-41196-R to J.C. E.V.E. was supported by the USDA-ARS Research Associate Program to J.F.</t>
  </si>
  <si>
    <t>0965-1748</t>
  </si>
  <si>
    <t>1879-0240</t>
  </si>
  <si>
    <t>INSECT BIOCHEM MOLEC</t>
  </si>
  <si>
    <t>Insect Biochem. Mol. Biol.</t>
  </si>
  <si>
    <t>10.1016/j.ibmb.2016.07.010</t>
  </si>
  <si>
    <t>Biochemistry &amp; Molecular Biology; Entomology</t>
  </si>
  <si>
    <t>DY7PN</t>
  </si>
  <si>
    <t>WOS:000385321700005</t>
  </si>
  <si>
    <t>Webster, RKE; Aguilar, RF; Argandona-Gonzalez, AK; Conayne, P; De Sousa, D; Sriram, A; Svensson, CM; Gartrell, BD</t>
  </si>
  <si>
    <t>Webster, Rebecca K. E.; Aguilar, Roberto F.; Argandona-Gonzalez, Anna-Karina; Conayne, Pauline; De Sousa, Deneka; Sriram, Aditi; Svensson, Carina M.; Gartrell, Brett D.</t>
  </si>
  <si>
    <t>FORCED MOLT IN FOUR JUVENILE YELLOW-EYED PENGUINS (MEGADYPTES ANTIPODES)</t>
  </si>
  <si>
    <t>JOURNAL OF WILDLIFE DISEASES</t>
  </si>
  <si>
    <t>Induced molt; penguins; thyroid gland; T3; T4</t>
  </si>
  <si>
    <t>TURKEY OSTEOMYELITIS COMPLEX; SPHENISCUS-HUMBOLDTI; DOMESTIC-FOWL; REPRODUCTION; CYCLE; SEX</t>
  </si>
  <si>
    <t>Penguins are dependent on waterproof plumage for survival. The molt in sub-Antarctic penguin species is a seasonal and catastrophic process during which the animals go through periods of fasting and high levels of stress. Their entire plumage is usually replaced in 3 wk. Attempts at consistent hormonal induction of molt in penguins have been unsuccessful. Four Yellow-eyed Penguins (Megadyptes antipodes) were referred for treatment at Wildbase, Massey University, Palmerston North, New Zealand, in late April 2014, following loss of waterproofing, feather breakage, increased body weight, pododermatitis, and damage to caudal feathers from hock sitting. Feather plucking of damaged areas to stimulate feather regrowth was attempted with poor results. Waiting 10-12 mo for a natural molt was not tenable. Catastrophic molt was induced by treatment with 10 g/kg of fresh beef thyroid gland orally once a day. The molt was complete in 18-26 d during which the animals regained full plumage and waterproofing after feather regrowth. The forced molt feathers had abnormal pigmentation but were of sufficient quality to allow release of the birds back to the wild.</t>
  </si>
  <si>
    <t>[Webster, Rebecca K. E.; Aguilar, Roberto F.; Argandona-Gonzalez, Anna-Karina; Conayne, Pauline; De Sousa, Deneka; Sriram, Aditi; Svensson, Carina M.; Gartrell, Brett D.] Massey Univ, Inst Vet Anim &amp; Biomed Sci, Wildbase, Private Bag 11-222, Palmerston North 4442, New Zealand</t>
  </si>
  <si>
    <t>Massey University</t>
  </si>
  <si>
    <t>Webster, RKE (corresponding author), Massey Univ, Inst Vet Anim &amp; Biomed Sci, Wildbase, Private Bag 11-222, Palmerston North 4442, New Zealand.</t>
  </si>
  <si>
    <t>r.webster@massey.ac.nz</t>
  </si>
  <si>
    <t>Gartrell, Brett/0000-0002-8062-9313</t>
  </si>
  <si>
    <t>Department of Conservation</t>
  </si>
  <si>
    <t>We thank Sean McGrath from Auckland Farmers Freezing Company Manawatu Ltd. for providing the fresh beef thyroid glands, Stuart Hunter for assisting in the collection of the thyroid glands, Mel Young and David Agnew from the Department of Conservation for continued support in the treatment of Yellow-eyed Penguins, Julia Clement and Lisa King from Penguin Place for referring the patients to Wildbase, and Sarah Michael and Serena Finlayson for assisting with the hospital treatment of the penguins.</t>
  </si>
  <si>
    <t>WILDLIFE DISEASE ASSOC, INC</t>
  </si>
  <si>
    <t>LAWRENCE</t>
  </si>
  <si>
    <t>810 EAST 10TH ST, LAWRENCE, KS 66044-8897 USA</t>
  </si>
  <si>
    <t>0090-3558</t>
  </si>
  <si>
    <t>1943-3700</t>
  </si>
  <si>
    <t>J WILDLIFE DIS</t>
  </si>
  <si>
    <t>J. Wildl. Dis.</t>
  </si>
  <si>
    <t>10.7589/2015-11-305</t>
  </si>
  <si>
    <t>Veterinary Sciences</t>
  </si>
  <si>
    <t>DZ4RG</t>
  </si>
  <si>
    <t>WOS:000385846300005</t>
  </si>
  <si>
    <t>Erdmann, M; Koepke, J</t>
  </si>
  <si>
    <t>Erdmann, Martin; Koepke, Juergen</t>
  </si>
  <si>
    <t>Silica-rich lavas in the oceanic crust: experimental evidence for fractional crystallization under low water activity</t>
  </si>
  <si>
    <t>CONTRIBUTIONS TO MINERALOGY AND PETROLOGY</t>
  </si>
  <si>
    <t>Crystallization experiments; Phase equilibria; Differentiation; Dacite; Fast-spreading mid-ocean ridge; Oceanic plagiogranite</t>
  </si>
  <si>
    <t>GALAPAGOS SPREADING CENTER; MAGMA STORAGE-CONDITIONS; PACIFIC-ANTARCTIC RISE; OXYGEN FUGACITY; PHASE-EQUILIBRIA; LASER-ABLATION; EXPERIMENTAL CONSTRAINTS; SKAERGAARD INTRUSION; LIQUID IMMISCIBILITY; THOLEIITIC BASALT</t>
  </si>
  <si>
    <t>We experimentally investigated phase relations and phase compositions as well as the influence of water activity (aH(2)O) and redox conditions on the equilibrium crystallization path within an oceanic dacitic potassium depleted system at shallow pressure (200 MPa). Moreover, we measured the partitioning of trace elements between melt and plagioclase via secondary ion mass spectrometry for a highly evolved experiment (SiO2 = 74.6 wt%). As starting material, we used a dacitic glass dredged at the Pacific-Antarctic Rise. Phase assemblages in natural high-silica systems reported from different locations of fast-spreading oceanic crust could be experimentally reproduced only in a relatively small range of temperature and melt-water content (T similar to 950 degrees C; melt H2O &lt; 1.5 wt%) at redox conditions slightly below the quartz-fayalite-magnetite buffer. The relatively low water content is remarkable, because distinct hydrothermal influence is generally regarded as key for producing silica-rich rocks in an oceanic environment. However, our conclusion is also supported by mineral and melt chemistry of natural evolved rocks; these rocks are only congruent to the composition of those experimental phases that are produced under low aH(2)O. Low FeO contents under water-saturated conditions and the characteristic enrichment of Al2O3 in high aH(2)O experiments, in particular, contradict natural observations, while experiments with low aH(2)O match the natural trend. Moreover, the observation that highly evolved experimental melts remain H2O-poor while they are relatively enriched in chlorine implies a decoupling between these two volatiles during crustal contamination.</t>
  </si>
  <si>
    <t>[Erdmann, Martin; Koepke, Juergen] Leibniz Univ Hannover, Inst Mineral, Callinstr 3, D-30167 Hannover, Germany; [Erdmann, Martin] Univ Lorraine, CNRS, CRPG, UMR 7358, 15 Rue Notre Dame Pauvres, F-54501 Vandoeuvre Les Nancy, France</t>
  </si>
  <si>
    <t>Leibniz University Hannover; Centre National de la Recherche Scientifique (CNRS); CNRS - National Institute for Earth Sciences &amp; Astronomy (INSU); Universite de Lorraine</t>
  </si>
  <si>
    <t>Erdmann, M (corresponding author), Leibniz Univ Hannover, Inst Mineral, Callinstr 3, D-30167 Hannover, Germany.;Erdmann, M (corresponding author), Univ Lorraine, CNRS, CRPG, UMR 7358, 15 Rue Notre Dame Pauvres, F-54501 Vandoeuvre Les Nancy, France.</t>
  </si>
  <si>
    <t>m.erdmann@mineralogie.uni-hannover.de</t>
  </si>
  <si>
    <t>Deutsche Forschungsgemeinschaft [KO 1723/13]</t>
  </si>
  <si>
    <t>Deutsche Forschungsgemeinschaft(German Research Foundation (DFG))</t>
  </si>
  <si>
    <t>We thank Otto Dietrich and Julian Feige for their careful sample preparation. We also thank the Editor J. Hoefs and the reviewers M. Perfit and B. Scaillet for their constructive comments that considerably improved the quality of this work. We gratefully acknowledge the chief scientists of RV Sonne, especially K.M. Haase, for access to the sample 3DS1 used in this study. Funding for this research was provided by grants from the Deutsche Forschungsgemeinschaft (KO 1723/13). This is CRPG Contribution Number 2461.</t>
  </si>
  <si>
    <t>233 SPRING ST, NEW YORK, NY 10013 USA</t>
  </si>
  <si>
    <t>0010-7999</t>
  </si>
  <si>
    <t>1432-0967</t>
  </si>
  <si>
    <t>CONTRIB MINERAL PETR</t>
  </si>
  <si>
    <t>Contrib. Mineral. Petrol.</t>
  </si>
  <si>
    <t>10.1007/s00410-016-1294-0</t>
  </si>
  <si>
    <t>DY5RB</t>
  </si>
  <si>
    <t>WOS:000385158300006</t>
  </si>
  <si>
    <t>Seviour, WJM; Gnanadesikan, A; Waugh, DW</t>
  </si>
  <si>
    <t>Seviour, William J. M.; Gnanadesikan, Anand; Waugh, Darryn W.</t>
  </si>
  <si>
    <t>The Transient Response of the Southern Ocean to Stratospheric Ozone Depletion</t>
  </si>
  <si>
    <t>JOURNAL OF CLIMATE</t>
  </si>
  <si>
    <t>ANTARCTIC SEA-ICE; CLIMATE-CHANGE; DEEP CONVECTION; ANNULAR MODE; WIND CHANGES; PART I; HEMISPHERE; VARIABILITY; ATMOSPHERE; TRENDS</t>
  </si>
  <si>
    <t>Recent studies have suggested that the response of the Southern Ocean to stratospheric ozone depletion is nonmonotonic in time; consisting of an initial cooling followed by a long-term warming. This result may be significant for the attribution of observed Southern Ocean temperature and sea ice trends, but the time scale and magnitude of the response is poorly constrained, with a wide spread among climate models. Furthermore, a long-lived initial cooling period has only been observed in a model with idealized geometry and lacking an explicit representation of ozone. Here the authors calculate the transient response of the Southern Ocean to a step-change in ozone in a comprehensive coupled climate model, GFDL-ESM2Mc. The Southern Ocean responds to ozone depletion with an initial cooling, lasting 25 yr, followed by a warming. The authors extend previous studies to investigate the dependence of the response on the ozone forcing as well as the regional pattern of this response. The response of the Southern Ocean relative to natural variability is shown to be largely independent of the initial state. However, the magnitude of this response is much less than that of natural variability found in the model, which limits its influence and detectability.</t>
  </si>
  <si>
    <t>[Seviour, William J. M.; Gnanadesikan, Anand; Waugh, Darryn W.] Johns Hopkins Univ, Dept Earth &amp; Planetary Sci, 3400 N Charles St, Baltimore, MD 21218 USA</t>
  </si>
  <si>
    <t>Johns Hopkins University</t>
  </si>
  <si>
    <t>Seviour, WJM (corresponding author), Johns Hopkins Univ, Dept Earth &amp; Planetary Sci, 3400 N Charles St, Baltimore, MD 21218 USA.</t>
  </si>
  <si>
    <t>wseviou1@jhu.edu</t>
  </si>
  <si>
    <t>Gnanadesikan, Anand/A-2397-2008; Waugh, Darryn W/K-3688-2016</t>
  </si>
  <si>
    <t>Seviour, William/0000-0003-1622-0545; Gnanadesikan, Anand/0000-0001-5784-1116</t>
  </si>
  <si>
    <t>Frontiers of Earth System Dynamics grant from the U.S. National Science Foundation (Directorate for Geosciences) [FESD-1338814]</t>
  </si>
  <si>
    <t>Frontiers of Earth System Dynamics grant from the U.S. National Science Foundation (Directorate for Geosciences)</t>
  </si>
  <si>
    <t>This work was funded by a Frontiers of Earth System Dynamics grant from the U.S. National Science Foundation (Directorate for Geosciences FESD-1338814). We thank Doug Kinnison for providing the WACCM-SD ozone data. We made use of the Iris Python package (Met Office 2010) for data analysis and visualization. We are also grateful for the feedback of Yavor Kostov and two anonymous reviewers. Data from the simulations analyzed here are available from the authors upon request.</t>
  </si>
  <si>
    <t>0894-8755</t>
  </si>
  <si>
    <t>1520-0442</t>
  </si>
  <si>
    <t>J CLIMATE</t>
  </si>
  <si>
    <t>J. Clim.</t>
  </si>
  <si>
    <t>10.1175/JCLI-D-16-0198.1</t>
  </si>
  <si>
    <t>DX1TK</t>
  </si>
  <si>
    <t>hybrid, Green Submitted</t>
  </si>
  <si>
    <t>WOS:000384149700014</t>
  </si>
  <si>
    <t>Liu, XC; Wang, WRZ; Zhao, Y; Liu, J; Chen, H; Cui, YC; Song, BA</t>
  </si>
  <si>
    <t>Liu, Xiaochun; Wang, Wei-(R. Z. ); Zhao, Yue; Liu, Jian; Chen, Hong; Cui, Yingchun; Song, Biao</t>
  </si>
  <si>
    <t>Early Mesoproterozoic arc magmatism followed by early Neoproterozoic granulite facies metamorphism with a near-isobaric cooling path at Mount Brown, Princess Elizabeth Land, East Antarctica</t>
  </si>
  <si>
    <t>Early Mesoproterozoic; Arc magmatism; Early Neoproterozoic; Granulite facies metamorphism; Rayner Complex; East Antarctica</t>
  </si>
  <si>
    <t>MINERAL EQUILIBRIA CALCULATIONS; AMERY ICE SHELF; PB ZIRCON AGES; T-T PATHS; CHARLES MOUNTAINS; U-PB; PRYDZ-BAY; METAPELITIC GRANULITES; GHATS BELT; OYGARDEN ISLANDS</t>
  </si>
  <si>
    <t>Mount Brown is a unique inland outcrop between Prydz Bay and Denman Glacier that provides useful insights into the tectonic evolution of the Indian Ocean sector of Antarctica. The bedrock in this area is dominated by felsic orthogneisses with subordinate amounts of mafic granulites, anatectic paragneisses and pegmatite veins. Sensitive high-resolution ion microprobe (SHRIMP) U-Pb zircon dating reveals the emplacement of mafic granulite and felsic orthogneiss protoliths at ca. 1490-1400 Ma, sedimentation of paragneiss precursors after ca. 1250 Ma, and subsequent high-grade metamorphism accompanied by partial melting at ca. 920-900 Ma. The trace element geochemistry of these early Mesoproterozoic mafic-felsic igneous rocks indicates that they formed in a continental arc setting. Nd isotopic compositions for these rocks yield initial epsilon(Nd) values ranging from +2.8 to -6.6 and Nd depleted mantle model ages clustering between 2.4 and 1.7 Ga, implying a significant crustal formation in the Paleoproterozoic. Petrographic textures, mineral compositions, and pressure-temperature (P-T) pseudosection calculations for mafic granulite and paragneiss in the system NC(K)FMASHTO [Na2O-CaO(-K2O)-FeO-MgO-Al2O3-SiO2-H2O-TiO2-Fe2O3] system suggest that early Neoproterozoic metamorphism reached peak P-T conditions of 830-870 degrees C and 7-8 kbar, followed by near-isobaric cooling to 760-830 degrees C and 7-8.5 kbar. The age spectra and characteristics of geological events at Mount Brown are similar to those in the Rayner Complex, thereby supporting an eastward continuation of the Rayner orogen to Wilhelm II Land. Combined with existing data, we infer that a protracted tectonic evolution between the Indian craton and East Antarctica (possibly the Ruker craton) might have occurred for a period of ca. 600 Myr from long-lived oceanic subduction-accretion at ca. 1500-1000 Ma to final collision at ca. 1000-900 Ma. (C) 2016 Elsevier B.V. All rights reserved.</t>
  </si>
  <si>
    <t>[Liu, Xiaochun; Wang, Wei-(R. Z. ); Zhao, Yue; Liu, Jian; Chen, Hong] Chinese Acad Geol Sci, Inst Geomech, 11 Minzudaxue Nanlu, Beijing 100081, Peoples R China; [Cui, Yingchun] State Ocean Adm, Inst Oceanog 1, Qingdao 266061, Peoples R China; [Song, Biao] Chinese Acad Geol Sci, Inst Geol, Beijing SHRIMP Ctr, Beijing 100037, Peoples R China</t>
  </si>
  <si>
    <t>China Geological Survey; Chinese Academy of Geological Sciences; Institute of Geomechanics, Chinese Academy of Geological Sciences; First Institute of Oceanography, Ministry of Natural Resources; China Geological Survey; Institute of Geology, Chinese Academy of Geological Sciences; Chinese Academy of Geological Sciences</t>
  </si>
  <si>
    <t>Liu, XC (corresponding author), Chinese Acad Geol Sci, Inst Geomech, 11 Minzudaxue Nanlu, Beijing 100081, Peoples R China.</t>
  </si>
  <si>
    <t>liuxchqw@cags.ac.cn</t>
  </si>
  <si>
    <t>cui, yingchun/JLM-6692-2023</t>
  </si>
  <si>
    <t>Wang, Wei-(RZ)/0000-0002-2311-7012</t>
  </si>
  <si>
    <t>National Natural Science Foundation of China [41530209]; Chinese Polar Environment Comprehensive investigation &amp; Assessment Programmes [CHINARE2015-02-05]; Geological Investigation Project of the Chinese Geological Survey [12120113019000]</t>
  </si>
  <si>
    <t>National Natural Science Foundation of China(National Natural Science Foundation of China (NSFC)); Chinese Polar Environment Comprehensive investigation &amp; Assessment Programmes; Geological Investigation Project of the Chinese Geological Survey</t>
  </si>
  <si>
    <t>We thank James Hamilton for assistance during fieldwork of the 2014-2015 Chinese National Antarctic Research Expedition. Logistic support from the Australian Antarctic Division and the Chinese Arctic and Antarctic Administration are gratefully acknowledged. Critical reviews by three anonymous reviewers substantially improved the manuscript. This research was supported by the National Natural Science Foundation of China (No. 41530209), the Chinese Polar Environment Comprehensive investigation &amp; Assessment Programmes (No. CHINARE2015-02-05) and the Geological Investigation Project of the Chinese Geological Survey (No. 12120113019000).</t>
  </si>
  <si>
    <t>10.1016/j.precamres.2016.08.003</t>
  </si>
  <si>
    <t>DY1OS</t>
  </si>
  <si>
    <t>WOS:000384864900003</t>
  </si>
  <si>
    <t>Hu, XM; Li, XL; Xue, M; Wu, D; Fuentes, JD</t>
  </si>
  <si>
    <t>Hu, Xiao-Ming; Li, Xingliang; Xue, Ming; Wu, Dui; Fuentes, Jose D.</t>
  </si>
  <si>
    <t>The Formation of Barrier Winds East of the Loess Plateau and Their Effects on Dispersion Conditions in the North China Plains</t>
  </si>
  <si>
    <t>BOUNDARY-LAYER METEOROLOGY</t>
  </si>
  <si>
    <t>Air pollution; Barrier wind; Dynamic modification process; One-layer slab model</t>
  </si>
  <si>
    <t>CRITERIA AIR-POLLUTANTS; METEOROLOGICAL CONDITIONS; NUMERICAL SIMULATIONS; IDEALIZED SIMULATIONS; ANTARCTIC PENINSULA; TRANSPORT PATHWAYS; COASTAL OROGRAPHY; FIELD CAMPAIGN; ALASKAN COAST; HAZE EVENT</t>
  </si>
  <si>
    <t>The North China Plain (NCP) to the east of the Loess Plateau is one of the most heavily polluted areas in the world. Weak surface flow in the western part of the NCP exacerbates the air pollution in this region. Deceleration of low-level flow when approaching the Loess Plateau, together with enhanced roughness associated with large cities, were previously ascribed as the causes for low wind speeds in the NCP. Using numerical simulations with a one-layer dispersion model, we identify that dynamic modification of airflow by the Loess Plateau (not just simple deceleration due to mountain blocking) plays an important role in reducing the wind speed over the NCP. Dynamically-induced northerly barrier winds, superimposed on the prevailing southerly/south-easterly flow, reduce the wind speed in a 50-100 km wide region to the east of the Plateau, partially explaining the weak winds in the western part of the NCP. Poor dispersion conditions due to weak horizontal winds likely contribute to the accumulation of pollutants in this region.</t>
  </si>
  <si>
    <t>[Hu, Xiao-Ming] Nanjing Univ Informat Sci &amp; Technol, Nanjing 210044, Jiangsu, Peoples R China; [Hu, Xiao-Ming; Xue, Ming] Univ Oklahoma, Ctr Anal &amp; Predict Storms, Norman, OK 73072 USA; [Hu, Xiao-Ming; Xue, Ming] Univ Oklahoma, Sch Meteorol, Norman, OK 73072 USA; [Li, Xingliang] China Meteorol Adm, Natl Meteorol Ctr, Beijing 100081, Peoples R China; [Li, Xingliang] Univ Oklahoma, Ctr Anal &amp; Predict Storms, Norman, OK 73071 USA; [Wu, Dui] Jinan Univ, Inst Technol Atmospher Environm Safety &amp; Pollut C, Guangzhou 510632, Guangdong, Peoples R China; [Fuentes, Jose D.] Penn State Univ, Dept Meteorol, 503 Walker Bldg, University Pk, PA 16802 USA</t>
  </si>
  <si>
    <t>Nanjing University of Information Science &amp; Technology; University of Oklahoma System; University of Oklahoma - Norman; University of Oklahoma System; University of Oklahoma - Norman; China Meteorological Administration; University of Oklahoma System; University of Oklahoma - Norman; Jinan University; Pennsylvania Commonwealth System of Higher Education (PCSHE); Pennsylvania State University; Pennsylvania State University - University Park</t>
  </si>
  <si>
    <t>Hu, XM (corresponding author), Nanjing Univ Informat Sci &amp; Technol, Nanjing 210044, Jiangsu, Peoples R China.;Hu, XM (corresponding author), Univ Oklahoma, Ctr Anal &amp; Predict Storms, Norman, OK 73072 USA.;Hu, XM (corresponding author), Univ Oklahoma, Sch Meteorol, Norman, OK 73072 USA.</t>
  </si>
  <si>
    <t>xhu@ou.edu; lixl@cams.cma.gov.cn</t>
  </si>
  <si>
    <t>WU, Dui/AAC-3682-2019; Hu, Xiao-Ming/D-8085-2011; Fuentes, José/JZT-9323-2024; Xue, Ming/F-8073-2011; Fuentes, Jose D/B-9936-2009</t>
  </si>
  <si>
    <t>WU, Dui/0000-0002-3369-8973; Hu, Xiao-Ming/0000-0002-0769-5090; Xue, Ming/0000-0003-1976-3238;</t>
  </si>
  <si>
    <t>National Natural Science Foundation of China [41375108, 41375109]; Ministry of Science and Technology of China '973' Project [2013CB430103]</t>
  </si>
  <si>
    <t>National Natural Science Foundation of China(National Natural Science Foundation of China (NSFC)); Ministry of Science and Technology of China '973' Project(Ministry of Science and Technology, ChinaNational Basic Research Program of China)</t>
  </si>
  <si>
    <t>This work was supported by the National Natural Science Foundation of China (Nos. 41375108; 41375109) and by a Ministry of Science and Technology of China '973' Project (2013CB430103). Proofreading by Charlotte E. Wainwright is greatly appreciated. Three anonymous reviewers provided helpful comments that improved the manuscript.</t>
  </si>
  <si>
    <t>0006-8314</t>
  </si>
  <si>
    <t>1573-1472</t>
  </si>
  <si>
    <t>BOUND-LAY METEOROL</t>
  </si>
  <si>
    <t>Bound.-Layer Meteor.</t>
  </si>
  <si>
    <t>10.1007/s10546-016-0159-4</t>
  </si>
  <si>
    <t>DX5HZ</t>
  </si>
  <si>
    <t>WOS:000384412900007</t>
  </si>
  <si>
    <t>Zhao, L; Zhu, YX; Liu, HW; Liu, ZF; Liu, YJ; Li, XP; Chen, Z</t>
  </si>
  <si>
    <t>Zhao, Liang; Zhu, Yuxiang; Liu, Haiwen; Liu, Zhongfang; Liu, Yanju; Li, Xiuping; Chen, Zhou</t>
  </si>
  <si>
    <t>A stable snow-atmosphere coupled mode</t>
  </si>
  <si>
    <t>CLIMATE DYNAMICS</t>
  </si>
  <si>
    <t>SNOW; Arctic oscillation; Antarctic oscillation; Siberia high; EOF analysis; Sliding correlation; Snow-atmosphere coupling</t>
  </si>
  <si>
    <t>HEMISPHERE ANNULAR MODE; ARCTIC OSCILLATION; EXTRATROPICAL CIRCULATION; REANALYSIS PROJECT; COVER VARIABILITY; SIBERIAN SNOW; PART I; CLIMATE; 20TH-CENTURY; TRENDS</t>
  </si>
  <si>
    <t>Snow is both an important lower boundary forcing of the atmosphere and a response to atmospheric forcing in the extratropics. It is still unclear whether a stable snow-atmosphere coupled mode exists in the extratropics, like the ENSO in the tropics. Using Sliding Correlation analysis over Any Window, the present study quantitatively evaluates the stability of coupling relationships between the major modes of winter snow over the Northern Hemisphere and the winter atmospheric Arctic Oscillation (AO), the Antarctic Oscillation (AAO) and the Siberian High over the period 1872-2010, and discusses their possible relationships for different seasons. Results show that the first mode of the winter snow cover fraction and the winter AO together constitute a stable snow-atmosphere coupled mode, the SNAO. The coupled mode is stronger during recent decades than before. The snow anomaly over Europe is one key factor of the SNAO mode due to the high stability there, and the polar vortex anomaly in the atmosphere is its other key factor. The continuity of signals in the SNAO between autumn and winter is weaker than that between winter and spring. The second winter snow mode is generally stably correlated with the winter AAO and was more stable before the 1970s. The AAO signal with boreal snow has a strong continuity in seasonal transition. Generally, through these coupled modes, snow and atmosphere can interact in the same season or between different seasons: autumn snow can influence the winter atmosphere; the winter atmosphere can influence spring snow.</t>
  </si>
  <si>
    <t>[Zhao, Liang] 61741 Troops, Beijing, Peoples R China; [Zhao, Liang; Zhu, Yuxiang] China Meteorol Adm, CMA Training Ctr, 46 Zhongguancun South St, Beijing 100081, Peoples R China; [Liu, Haiwen] Chengdu Univ Informat Technol, Coll Atmospher Sci, Plateau Atmosphere &amp; Environm Key Lab Sichuan Pro, Chengdu, Peoples R China; [Liu, Zhongfang] Tongji Univ, State Key Lab Marine Geol, Shanghai, Peoples R China; [Liu, Yanju] Natl Climate Ctr, Beijing, Peoples R China; [Li, Xiuping] Chinese Acad Sci, Inst Tibetan Plateau Res, Key Lab Tibetan Environm Changes &amp; Land Surface P, Beijing, Peoples R China; [Chen, Zhou] Nanchang Univ, Inst Space Sci &amp; Technol, Nanchang, Peoples R China</t>
  </si>
  <si>
    <t>China Meteorological Administration; Chengdu University of Information Technology; Tongji University; Chinese Academy of Sciences; Institute of Tibetan Plateau Research, CAS; Nanchang University</t>
  </si>
  <si>
    <t>Zhu, YX (corresponding author), China Meteorol Adm, CMA Training Ctr, 46 Zhongguancun South St, Beijing 100081, Peoples R China.</t>
  </si>
  <si>
    <t>zhuyx@cma.gov.cn</t>
  </si>
  <si>
    <t>Zhao, Liang/D-7190-2014; Zhao, Liang/T-9147-2019; Li, Xiuping/P-8096-2019</t>
  </si>
  <si>
    <t>Zhao, Liang/0000-0003-4388-526X; chen, zhou/0000-0003-3271-2515</t>
  </si>
  <si>
    <t>U.S. Department of Energy, the Office of Science Innovative and Novel Computational Impact on Theory and Experiment (DOE INCITE) program; U.S. Department of Energy, the Office of Biological and Environmental Research (BER); National Oceanic and Atmospheric Administration Climate Program Office; National Basic Research Program of China [2012CB957800, 2012CB417205]; National Natural Science Foundation of China [41305131, 41375105, 41405146]; China Special Fund for Meteorological Research in the Public Interest [GYHY201406001, GYHY201406020]</t>
  </si>
  <si>
    <t>U.S. Department of Energy, the Office of Science Innovative and Novel Computational Impact on Theory and Experiment (DOE INCITE) program(United States Department of Energy (DOE)); U.S. Department of Energy, the Office of Biological and Environmental Research (BER)(United States Department of Energy (DOE)); National Oceanic and Atmospheric Administration Climate Program Office(National Oceanic Atmospheric Admin (NOAA) - USA); National Basic Research Program of China(National Basic Research Program of China); National Natural Science Foundation of China(National Natural Science Foundation of China (NSFC)); China Special Fund for Meteorological Research in the Public Interest</t>
  </si>
  <si>
    <t>Support for the Twentieth Century Reanalysis Project data set is provided by the U.S. Department of Energy, the Office of Science Innovative and Novel Computational Impact on Theory and Experiment (DOE INCITE) program, and the Office of Biological and Environmental Research (BER), as well as by the National Oceanic and Atmospheric Administration Climate Program Office. We thank Jianping Li for the AO and AAO index data. This research was supported by the National Basic Research Program of China (2012CB957800 and 2012CB417205), the National Natural Science Foundation of China (41305131, 41375105 and 41405146), and the China Special Fund for Meteorological Research in the Public Interest (GYHY201406001 and GYHY201406020).</t>
  </si>
  <si>
    <t>0930-7575</t>
  </si>
  <si>
    <t>1432-0894</t>
  </si>
  <si>
    <t>CLIM DYNAM</t>
  </si>
  <si>
    <t>Clim. Dyn.</t>
  </si>
  <si>
    <t>7-8</t>
  </si>
  <si>
    <t>10.1007/s00382-015-2952-z</t>
  </si>
  <si>
    <t>DX7EN</t>
  </si>
  <si>
    <t>WOS:000384549500005</t>
  </si>
  <si>
    <t>Xia, L; von Storch, H; Feser, F; Wu, J</t>
  </si>
  <si>
    <t>Xia, Lan; von Storch, Hans; Feser, Frauke; Wu, Jian</t>
  </si>
  <si>
    <t>A study of quasi-millennial extratropical winter cyclone activity over the Southern Hemisphere</t>
  </si>
  <si>
    <t>Quasi-millennium; Extratropical cyclone; Southern Hemisphere; Cyclone numbers</t>
  </si>
  <si>
    <t>1000-YR CONTROL SIMULATION; NCEP-NCAR REANALYSIS; STORM-TRACK ACTIVITY; MODEL ECHO-G; NORTHERN-HEMISPHERE; INTERNAL VARIABILITY; SURFACE-TEMPERATURE; DECADAL VARIABILITY; PAST MILLENNIUM; PACIFIC-OCEAN</t>
  </si>
  <si>
    <t>The winter extratropical cyclone activity in the Southern Hemisphere during the last one thousand years within a global climate simulation was analyzed by tracking cyclones, and then clustering them into ten clusters consecutively for each hundred years. There is very strong year-to-year variability for Southern Hemispheric winter extratropical cyclone numbers and larger variations on centennial time scale, more so than for its Northern Hemispherical counterparts. However, no obvious trend can be found. The mean tracks of clusters over the Southern Indian Ocean and near New Zealand shift poleward from the eleventh to the twentieth century while the clusters in the central Southern Pacific shift equatorward. Storm track clusters with largest deepening rates are found over the Southwestern Indian Ocean. In the twentieth century, rapidly deepening cyclones appear more often while long lifespan cyclones appear less frequently. The winter storm activity in the Southern Hemisphere is closely related to the Antarctic Oscillation. The cyclone frequency over the Indian Ocean and South Pacific Ocean can be associated with the Indian Ocean Dipole and El Nino-Southern Oscillation respectively.</t>
  </si>
  <si>
    <t>[Xia, Lan; Wu, Jian] Yunnan Univ, Dept Atmospher Sci, Kunming, Yunnan, Peoples R China; [von Storch, Hans; Feser, Frauke] Helmholtz Zentrum Geesthacht, Inst Coastal Res, Geesthacht, Germany</t>
  </si>
  <si>
    <t>Yunnan University; Helmholtz Association; Helmholtz-Zentrum Hereon</t>
  </si>
  <si>
    <t>Xia, L (corresponding author), Yunnan Univ, Dept Atmospher Sci, Kunming, Yunnan, Peoples R China.</t>
  </si>
  <si>
    <t>lanxia@ynu.edu.cn</t>
  </si>
  <si>
    <t>von Storch, Hans/J-4165-2012; Feser, Frauke/C-1605-2014</t>
  </si>
  <si>
    <t>von Storch, Hans/0000-0002-5825-8069; Feser, Frauke/0000-0002-0252-468X</t>
  </si>
  <si>
    <t>Yunnan Applied Basic Research Project [2014FD003]</t>
  </si>
  <si>
    <t>Yunnan Applied Basic Research Project</t>
  </si>
  <si>
    <t>We thank Eduardo Zorita for providing the ECHO-G simulation data, his support with statistic routines, and helpful discussions. We appreciate Kevin I. Hodges' help with his tracking algorithm which was used for our study. We also acknowledge the German Climate Computer Center (DKRZ) Hamburg for the provision of high performance computing platforms. This study is sponsored by Yunnan Applied Basic Research Project (Foundation No. 2014FD003). The authors appreciate two anonymous reviewers for their constructive and helpful comments and suggestions.</t>
  </si>
  <si>
    <t>10.1007/s00382-015-2954-x</t>
  </si>
  <si>
    <t>WOS:000384549500007</t>
  </si>
  <si>
    <t>Huenerlage, K; Graeve, M; Buchholz, F</t>
  </si>
  <si>
    <t>Huenerlage, Kim; Graeve, Martin; Buchholz, Friedrich</t>
  </si>
  <si>
    <t>Lipid composition and trophic relationships of krill species in a high Arctic fjord</t>
  </si>
  <si>
    <t>Euphausiids; Fatty acids; Kongsfjord; Lipid classes; Meganyctiphanes norvegica; Nematoscelis megalops; Stable isotopes; Thysanoessa spp.</t>
  </si>
  <si>
    <t>PERSISTENT ORGANIC POLLUTANTS; CAPELIN MALLOTUS-VILLOSUS; NORTHERN BENGUELA CURRENT; FATTY-ACID-COMPOSITION; NORVEGICA M-SARS; MEGANYCTIPHANES-NORVEGICA; THYSANOESSA-INERMIS; EUPHAUSIA-SUPERBA; ANTARCTIC KRILL; BARENTS SEA</t>
  </si>
  <si>
    <t>Our study deals with the lipid biochemistry of the krill community in the ecosystem of the high Arctic Kongsfjord (Svalbard). During the last decades, Kongsfjord experienced a change in krill species composition due to recent increased advection of Atlantic water masses carrying characteristic boreal as well as subtropical-boreal euphausiids into the ecosystem. The lipid biochemistry and trophic relationships of the species recently inhabiting the Arctic water masses are scarcely known, although a change in a krill population may have a significant impact on the ecosystem. A comparison of nutrition and energy storage strategies, stable isotopes, lipid profiles and fatty acid compositions showed remarkable differences between the krill species. These reflected the diverse feeding behaviours and specific adaptations to the environments of their origin: the boreal Meganyctiphanes norvegica and subtropical Nematoscelis megalops appear more carnivorous and have significantly lower mean lipid contents (29 and 10 %, respectively) and a different energy storage pattern (triacylglycerols and polar lipids, respectively) than the arcto-boreal Thysanoessa inermis, which consists of up to 54 % of lipids mainly stored as wax esters (&gt; 40 %). These differences may have significant implications for the rapidly changing marine food web of Kongsfjord-especially for higher trophic levels relying on the nutritional input of animal lipids.</t>
  </si>
  <si>
    <t>[Huenerlage, Kim; Graeve, Martin; Buchholz, Friedrich] Helmholtz Ctr Polar &amp; Marine Res, Alfred Wegener Inst, Handelshafen 12, D-27570 Bremerhaven, Germany</t>
  </si>
  <si>
    <t>Helmholtz Association; Alfred Wegener Institute, Helmholtz Centre for Polar &amp; Marine Research</t>
  </si>
  <si>
    <t>Huenerlage, K (corresponding author), Helmholtz Ctr Polar &amp; Marine Res, Alfred Wegener Inst, Handelshafen 12, D-27570 Bremerhaven, Germany.</t>
  </si>
  <si>
    <t>kim.huenerlage@awi.de</t>
  </si>
  <si>
    <t>Graeve, Martin/B-5751-2017</t>
  </si>
  <si>
    <t>Graeve, Martin/0000-0002-2294-1915; Huenerlage, Lara Kim/0000-0002-1997-4556</t>
  </si>
  <si>
    <t>French-German AWIPEV project KOP [124_1-5, RIS ID 3451]; EU, Germany [03F0497F]</t>
  </si>
  <si>
    <t>French-German AWIPEV project KOP; EU, Germany(European Union (EU))</t>
  </si>
  <si>
    <t>We thank the captain, the crew and the scientists including the chief of AREX2012 on-board RV Oceania for their great hospitality and assistance during sampling. For the same, we thank the captains of the Kings Bay AS workboat MS Teisten. We are very grateful for the professional support by the AWIPEV station leaders and (logistic) engineers, Ny-Alesund, Spitsbergen. We thank Prof. Dr. Wilhelm Hagen, Petra Wencke and colleagues from Bre-MarE-Centre for Research &amp; Education (University of Bremen, Department Marine Zoology, Germany) for the use of their facilities and help in lipid extraction. We are grateful to Dieter Janssen, Stefanie Bassler, Mandy Kiel and Ruth Alheit for their skilful assistance in lipid analyses at the AWI laboratories, Bremerhaven. Furthermore, we thank R. Alheit for the final language edit as a native speaker. Special thanks to Prof. Dr. Michael Greenacre (Universitat Pompeu Fabra, Barcelona) for the detailed advice on the statistical analyses; and thank you for the music. This work was supported by the French-German AWIPEV project KOP 124_1-5, RIS ID 3451. NE-Atlantic samples were obtained under the EU-FP7 project EURO-BASIN and from the Benguela current under BMBF-GENUS, 03F0497F, Germany.</t>
  </si>
  <si>
    <t>10.1007/s00300-014-1607-6</t>
  </si>
  <si>
    <t>DX7FK</t>
  </si>
  <si>
    <t>WOS:000384551800010</t>
  </si>
  <si>
    <t>Mayzaud, P; Falk-Petersen, S; Noyon, M; Wold, A; Boutoute, M</t>
  </si>
  <si>
    <t>Mayzaud, P.; Falk-Petersen, S.; Noyon, M.; Wold, A.; Boutoute, M.</t>
  </si>
  <si>
    <t>Lipid composition of the three co-existing Calanus species in the Arctic: impact of season, location and environment</t>
  </si>
  <si>
    <t>Arctic; Calanus; Lipids; Fatty acids; Polar lipids; Climate</t>
  </si>
  <si>
    <t>EUPHAUSIA-SUPERBA; FATTY-ACIDS; FOOD-WEB; MEGANYCTIPHANES-NORVEGICA; PHYSICAL-ENVIRONMENT; FJORD KONGSFJORDEN; COPEPODITE STAGES; ANTARCTIC KRILL; SPRING BLOOM; BARENTS SEA</t>
  </si>
  <si>
    <t>Arctic species of Calanus are critical to energy transfer between higher and lower trophic levels and their relative abundance, and lipid content is influenced by the alternation of cold and warm years. All three species of Calanus were collected during different periods in Kongsfjorden (Svalbard, 79A degrees N) and adjacent shelf during the abnormally warm year of 2006. Lipid composition and fatty acid structure of individual lipid classes were examined in relation with population structure. Wax esters dominated the neutral lipid fraction. Phosphatidylcholine (PC) dominated the structural lipids followed by phosphatidylethanolamine (PE). PC/PE ratios of 3-6 suggested an increase in PC proportions compared to earlier studies. Depending on the time scale, fatty acids of wax esters illustrated either trophic differences between fjord and offshore conditions for C. hyperboreus and C. finmarchicus or trophic differences related to seasonality for C. glacialis. Similarly, seasonality and trophic conditions controlled the changes in fatty acids of triglycerides, but de novo synthesis of long-chain monoenes suggested energy optimization to cope with immediate metabolic needs. Polar lipids fatty acid composition was species specific and on the long-term (comparison with data from the past decade) composition appears related to changes in trophic environment. Fatty acid composition of PC and PE indicated relative dominance of 20:5n-3 in PC and 22:6n-3 in PE for all three species. The combination of PE and PC acyl chain and phospholipid head group restructuring indicates an inter-annual variability and suggests that membrane lipids are the most likely candidate to evaluate adaptive changes in Arctic copepods to hydrothermal regime.</t>
  </si>
  <si>
    <t>[Mayzaud, P.; Noyon, M.; Boutoute, M.] Univ Paris 06, Lab Oceanog Villefranche, UMR 7093, BP 28, F-06234 Villefranche Sur Mer, France; [Mayzaud, P.; Noyon, M.; Boutoute, M.] CNRS, UMR 7093, LOV, BP 28, F-06234 Villefranche Sur Mer, France; [Falk-Petersen, S.] Akvaplan Niva, Fram Ctr, N-9296 Tromso, Norway; [Falk-Petersen, S.; Wold, A.] Univ Tromso, Fac Biosci Fisheries &amp; Econ, N-9037 Tromso, Norway; [Wold, A.] Norwegian Polar Res Inst, Fram Ctr, N-9296 Tromso, Norway; [Noyon, M.] Univ Cape Town, Marine Res Inst, Dept Biol Sci, Private Bag X3, ZA-7701 Cape Town, South Africa</t>
  </si>
  <si>
    <t>Sorbonne Universite; Centre National de la Recherche Scientifique (CNRS); CNRS - National Institute for Earth Sciences &amp; Astronomy (INSU); Centre National de la Recherche Scientifique (CNRS); CNRS - National Institute for Earth Sciences &amp; Astronomy (INSU); Sorbonne Universite; Akvaplan-niva; UiT The Arctic University of Tromso; Norwegian Polar Institute; University of Cape Town</t>
  </si>
  <si>
    <t>Mayzaud, P (corresponding author), Univ Paris 06, Lab Oceanog Villefranche, UMR 7093, BP 28, F-06234 Villefranche Sur Mer, France.;Mayzaud, P (corresponding author), CNRS, UMR 7093, LOV, BP 28, F-06234 Villefranche Sur Mer, France.</t>
  </si>
  <si>
    <t>mayzaud@obs-vlfr.fr</t>
  </si>
  <si>
    <t>Wold, Anette/JXN-7159-2024; Noyon, Margaux/AAN-9261-2021</t>
  </si>
  <si>
    <t>Noyon, Margaux/0000-0002-0761-4174</t>
  </si>
  <si>
    <t>French Polar Institute Paul Emile Victor (IPEV) [455]; Research Council of Norway [165112/S30]</t>
  </si>
  <si>
    <t>French Polar Institute Paul Emile Victor (IPEV); Research Council of Norway(Research Council of Norway)</t>
  </si>
  <si>
    <t>We would like to thank the crew of the R/V Jan Mayen and R/V Lance for their help during sampling as well as Kings Bay and the Norwegian Polar Institute for their technical and logistic support during this work. This work is a contribution to the Praceal project 455 funded by the French Polar Institute Paul Emile Victor (IPEV) and the MariClim project 165112/S30 funded by the Research Council of Norway. We would like to thanks Dr J. Dolan for his help in editing the manuscript and Dr. M. Greenacre for his comments and suggestions on statistics.</t>
  </si>
  <si>
    <t>10.1007/s00300-015-1725-9</t>
  </si>
  <si>
    <t>WOS:000384551800011</t>
  </si>
  <si>
    <t>Levy, JS; Schmidt, LM</t>
  </si>
  <si>
    <t>Levy, Joseph S.; Schmidt, Logan M.</t>
  </si>
  <si>
    <t>Thermal properties of Antarctic soils: wetting controls subsurface thermal state</t>
  </si>
  <si>
    <t>ANTARCTIC SCIENCE</t>
  </si>
  <si>
    <t>McMurdo Dry Valleys; permafrost; thaw; water track</t>
  </si>
  <si>
    <t>MCMURDO DRY VALLEYS; TAYLOR VALLEY; ACTIVE-LAYER; PERMAFROST; WATER; ICE; DEPTH</t>
  </si>
  <si>
    <t>Mineral soils in the McMurdo Dry Valleys (MDV), Antarctica, are commonly considered to be dry, and therefore to be good insulators with low thermal diffusivity values (similar to 0.2mm(2) s(-1)). However, field measurements of soil moisture profiles with depth, coupled with observations of rapid ground ice melt, suggest that the thermal characteristics of MDV soils, and thus their resistance to thaw, may be spatially variable and strongly controlled by soil moisture content. The thermal conductivity, heat capacity and thermal diffusivity of 17MDV soils were measured over a range of soil moisture conditions from dry to saturated. We found that thermal diffusivity varied by a factor of eight for these soils, despite the fact that they consist of members of only two soil groups. The thermal diffusivity of the soils increased in all cases with increasing soil moisture content, suggesting that permafrost and ground ice thaw in mineral soils may generate a positive thawing feedback in which wet soils conduct additional heat to depth, enhancing rates of permafrost thaw and thermokarst formation.</t>
  </si>
  <si>
    <t>[Levy, Joseph S.; Schmidt, Logan M.] Univ Texas Austin, Inst Geophys, Austin, TX 78758 USA</t>
  </si>
  <si>
    <t>University of Texas System; University of Texas Austin</t>
  </si>
  <si>
    <t>Levy, JS (corresponding author), Univ Texas Austin, Inst Geophys, Austin, TX 78758 USA.</t>
  </si>
  <si>
    <t>joe.levy@utexas.edu</t>
  </si>
  <si>
    <t>Levy, Joseph/0000-0002-6222-139X</t>
  </si>
  <si>
    <t>NSF [PLR-134385, PLR-1245749]; Office of Polar Programs (OPP); Directorate For Geosciences [1245749] Funding Source: National Science Foundation</t>
  </si>
  <si>
    <t>This work was supported by NSF awards PLR-134385 and PLR-1245749 to JSL. Many thanks to the MCM-LTER for access to met station observations (www.mcmlter.org), and to Andrew Fountain and Maciej Obryk for helpful conversations. Thanks as well to reviewer Chris McKay and an anonymous reviewer.</t>
  </si>
  <si>
    <t>32 AVENUE OF THE AMERICAS, NEW YORK, NY 10013-2473 USA</t>
  </si>
  <si>
    <t>0954-1020</t>
  </si>
  <si>
    <t>1365-2079</t>
  </si>
  <si>
    <t>ANTARCT SCI</t>
  </si>
  <si>
    <t>Antarct. Sci.</t>
  </si>
  <si>
    <t>10.1017/S0954102016000201</t>
  </si>
  <si>
    <t>Environmental Sciences; Geography, Physical; Geosciences, Multidisciplinary</t>
  </si>
  <si>
    <t>Environmental Sciences &amp; Ecology; Physical Geography; Geology</t>
  </si>
  <si>
    <t>DX2YQ</t>
  </si>
  <si>
    <t>WOS:000384240100004</t>
  </si>
  <si>
    <t>Jones, RS; Golledge, NR; Mackintosh, AN; Norton, KP</t>
  </si>
  <si>
    <t>Jones, R. S.; Golledge, N. R.; Mackintosh, A. N.; Norton, K. P.</t>
  </si>
  <si>
    <t>Past and present dynamics of Skelton Glacier, Transantarctic Mountains</t>
  </si>
  <si>
    <t>atmospheric temperature; glacier dynamics; LGM; numerical modelling; Pliocene; precipitation</t>
  </si>
  <si>
    <t>ANTARCTIC ICE-SHEET; HATHERTON GLACIER; OUTLET GLACIERS; MCMURDO SOUND; SEA-LEVEL; SURFACE; FLOW; PENINSULA; MAXIMUM; RETREAT</t>
  </si>
  <si>
    <t>Any future changes in the volume of Antarctica's ice sheets will depend on the dynamic response of outlet glaciers to shifts in environmental conditions. In the Transantarctic Mountains, this response is probably heavily dependent on the geometry of the system, but few studies have quantified the sensitivity of these glaciers to environmental forcings. Here we investigated the controls, along-flow sensitivity and time-dependent dynamics of Skelton Glacier. Three key outcomes were: i) present-day flow is governed primarily by surface slope, which responds to reduced valley width and large bed undulations, ii) Skelton Glacier is more susceptible to changes in atmospheric temperature than precipitation through its effect on basal sliding near the grounding line, and iii) under conditions representative of Pliocene and Quaternary climates large changes in ice thickness and velocity would have occurred in the lower reaches of the glacier. Based on these new quantitative predictions of the past and present dynamics of Skelton Glacier, we suggest that similar Transantarctic Mountain outlet glaciers could experience greater ice loss in their confined, lower reaches through increased basal sliding and ocean melt under warmer-than-present conditions. These effects are greatest where overdeepenings exist near the grounding line.</t>
  </si>
  <si>
    <t>[Jones, R. S.; Golledge, N. R.; Mackintosh, A. N.] Victoria Univ Wellington, Antarctic Res Ctr, POB 600, Wellington 6140, New Zealand; [Golledge, N. R.] GNS Sci, Lower Hutt, New Zealand; [Mackintosh, A. N.; Norton, K. P.] Victoria Univ Wellington, Sch Geog Environm &amp; Earth Sci, POB 600, Wellington 6140, New Zealand</t>
  </si>
  <si>
    <t>Victoria University Wellington; GNS Science - New Zealand; Victoria University Wellington</t>
  </si>
  <si>
    <t>Jones, RS (corresponding author), Victoria Univ Wellington, Antarctic Res Ctr, POB 600, Wellington 6140, New Zealand.</t>
  </si>
  <si>
    <t>Richard.S.Jones@vuw.ac.nz</t>
  </si>
  <si>
    <t>Jones, Richard Selwyn/AAJ-3949-2021; Norton, Kevin/F-1606-2011</t>
  </si>
  <si>
    <t>Jones, Richard Selwyn/0000-0003-2988-0999; Golledge, Nicholas/0000-0001-7676-8970; Norton, Kevin/0000-0002-7995-6464; Mackintosh, Andrew/0000-0002-6430-4711</t>
  </si>
  <si>
    <t>Antarctic Science Bursary; VUW Victoria Doctoral Scholarship; New Zealand Antarctic Research Institute grant; New Zealand Government (MBIE) Past Antarctic Climate and Future Implications programme</t>
  </si>
  <si>
    <t>We acknowledge financial support for the project from the Antarctic Science Bursary. R.S.J. was supported by a VUW Victoria Doctoral Scholarship and New Zealand Antarctic Research Institute grant. N.R.G. and A.N.M. were supported by the New Zealand Government (MBIE) Past Antarctic Climate and Future Implications programme. We thank D. Braaten for airborne radar data (CReSIS), R.M. McKay, B.C. Storey and S.S.R. Jamieson for critical discussions, and two anonymous reviewers who helped to improve the structure of the manuscript.</t>
  </si>
  <si>
    <t>10.1017/S0954102016000195</t>
  </si>
  <si>
    <t>WOS:000384240100005</t>
  </si>
  <si>
    <t>Hole, LR; Bello, AP; Roberts, TJ; Voss, PB; Vihma, T</t>
  </si>
  <si>
    <t>Hole, Lars R.; Perez Bello, Alexis; Roberts, Tjarda J.; Voss, Paul B.; Vihma, Timo</t>
  </si>
  <si>
    <t>Measurements by controlled meteorological balloons in coastal areas of Antarctica</t>
  </si>
  <si>
    <t>Dronning Maud Land; observations; troposphere; WRF</t>
  </si>
  <si>
    <t>ATMOSPHERIC BOUNDARY-LAYER; ICE; SYSTEM; CONVECTION; OUTFLOW; SUMMER; REGION; LAND; SEA</t>
  </si>
  <si>
    <t>An experiment applying controlled meteorological (CMET) balloons near the coast of Dronning Maud Land, Antarctica, in January 2013 is described. Two balloons were airborne for 60 and 106 hours with trajectory lengths of 885.8 km and 2367.4 km, respectively. The balloons carried out multiple controlled soundings on the atmospheric pressure, temperature and humidity up to 3.3 km. Wind speed and direction were derived from the balloon drift. Observations were compared with radiosonde sounding profiles from the Halley Research Station, and applied in evaluating simulations carried out with the weather research and forecasting (WRF) mesoscale atmospheric model. The most interesting feature detected by the CMET balloons was a mesoscale anticyclone over the Weddell Sea and the coastal zone, which was reproduced by the WRF model with reduced intensity. The modelled wind speed was up to 10ms(-1) slower and the relative humidity was 20-40% higher than the observed values. However, over the study period the WRF results generally agreed with the observations. The results suggest that CMET balloons could be an interesting supplement to Antarctic atmospheric observations, particularly in the free troposphere.</t>
  </si>
  <si>
    <t>[Hole, Lars R.] Norwegian Meteorol Inst, Dept Oceanog &amp; Marine Meteorol, Allegaten 70, N-5007 Bergen, Norway; [Perez Bello, Alexis] Inst Meteorol Cuba, Dept Ocean &amp; Atmospher Phys, Havana, Cuba; [Roberts, Tjarda J.] LPC2E CNRS, 3A,Ave Rech Sci, F-45071 Orleans 2, France; [Voss, Paul B.] Smith Coll, Picker Engn Programme, 100 Green St, Northampton, MA 01063 USA; [Vihma, Timo] Finnish Meteorol Inst, POB 503, FI-00101 Helsinki, Finland</t>
  </si>
  <si>
    <t>Norwegian Meteorological Institute; Centre National de la Recherche Scientifique (CNRS); Universite de Orleans; Smith College; Finnish Meteorological Institute</t>
  </si>
  <si>
    <t>Hole, LR (corresponding author), Norwegian Meteorol Inst, Dept Oceanog &amp; Marine Meteorol, Allegaten 70, N-5007 Bergen, Norway.</t>
  </si>
  <si>
    <t>lrh@met.no</t>
  </si>
  <si>
    <t>Vihma, Timo/ABC-9771-2020; Roberts, Tjarda/F-7097-2019</t>
  </si>
  <si>
    <t>Perez Bello, Alexis/0000-0002-8689-2374</t>
  </si>
  <si>
    <t>Academy of Finland [263918]; Scientific Committee on Antarctic Research - Physical Sciences working group; Research Council of Norway [211390, 221418]; Academy of Finland (AKA) [263918] Funding Source: Academy of Finland (AKA)</t>
  </si>
  <si>
    <t>Academy of Finland(Research Council of Finland); Scientific Committee on Antarctic Research - Physical Sciences working group; Research Council of Norway(Research Council of Norway); Academy of Finland (AKA)</t>
  </si>
  <si>
    <t>We thank Mika Kalakoski and Petri Heinonen from the Finnish Antarctic Research Programme (FINNARP) for launching the CMETs at the Aboa Station. The work was supported by the Academy of Finland (contract 263918) and the Scientific Committee on Antarctic Research - Physical Sciences working group and the Research Council of Norway (contract 211390 and 221418). Radiosonde data were provided by Mr Steve Colwell of BAS, ERA Interim data were obtained from the European Centre for Medium Range Weather Forecasts, while boundary forcing data for the WRF simulations were obtained from the Global Forecast System produced by the US National Centers for Environmental Prediction.</t>
  </si>
  <si>
    <t>10.1017/S0954102016000213</t>
  </si>
  <si>
    <t>Green Published, hybrid</t>
  </si>
  <si>
    <t>WOS:000384240100006</t>
  </si>
  <si>
    <t>Rodrigo, C; Giglio, S; Varas, A</t>
  </si>
  <si>
    <t>Rodrigo, Cristian; Giglio, Susana; Varas, Andres</t>
  </si>
  <si>
    <t>Glacier sediment plumes in small bays on the Danco Coast, Antarctic Peninsula</t>
  </si>
  <si>
    <t>glacimarine environments; salinity; temperature; turbidity</t>
  </si>
  <si>
    <t>SUSPENDED PARTICULATE MATTER; WESTERN BRANSFIELD STRAIT; KING GEORGE ISLAND; WATER MASSES; MARIAN COVE; FJORDS; VARIABILITY; KONGSFJORDEN; CIRCULATION; MAXWELL</t>
  </si>
  <si>
    <t>Glacimarine sedimentary environments provide information about climate and oceanographic evolution in the Antarctic Peninsula. This study focuses on the generation of sediment plumes from glaciers. In February 2013 and 2014, two Chilean Antarctic Institute (INACH) Scientific Expeditions were carried out on board the Chilean Navy vessel Aquiles. Five relatively small bays were visited: Curtiss Bay, Recess Cove, Beaupre Cove, Paradise Harbour/Oscar Cove and Salvesen bay. Hydrography and turbidity profiling was carried out up to 100m depth using an SBE19 Plus-V2 CTD-T. In general, the results showed sediment plumes at two levels: an upper plume from the surface up to 10m deep and a deeper plume at 40-100 m. These plumes were identified by higher turbidity concentrations and their association with colder water tongues. The deeper plume tended to remain below the 1027.5 kg m(-3) isopycnal and extended similar to 4km from the glacier, maintaining its shape with a gradually decreasing particle concentration. This longitudinal extension was favoured by ebb tides. The characteristics of the sediment plumes may be influenced by the heat input from water masses. The contribution of the sediments from these small bay systems could play an important role in regional sedimentary processes.</t>
  </si>
  <si>
    <t>[Rodrigo, Cristian] Univ Andres Bello, Fac Ingn Geol, Quillota 980, Vina Del Mar, Chile; [Giglio, Susana] Univ Andres Bello, Fac Ciencias, Quillota 980, Vina Del Mar, Chile; [Giglio, Susana] Subsecretaria Pesca &amp; Acuicultura, Bellavista 168,Piso 16, Valparaiso, Chile; [Varas, Andres] Pontificia Univ Catolica Valparaiso, Escuela Ciencias Mar, Av Altamirano 1480, Valparaiso, Chile</t>
  </si>
  <si>
    <t>Universidad Andres Bello; Universidad Andres Bello; Pontificia Universidad Catolica de Valparaiso</t>
  </si>
  <si>
    <t>Rodrigo, C (corresponding author), Univ Andres Bello, Fac Ingn Geol, Quillota 980, Vina Del Mar, Chile.</t>
  </si>
  <si>
    <t>cristian.rodrigo@unab.el</t>
  </si>
  <si>
    <t>Rodrigo, Cristian/0000-0003-3523-9698</t>
  </si>
  <si>
    <t>Fondecyt [11121522]; INACH</t>
  </si>
  <si>
    <t>Fondecyt(Comision Nacional de Investigacion Cientifica y Tecnologica (CONICYT)CONICYT FONDECYT); INACH</t>
  </si>
  <si>
    <t>This study was funded by Fondecyt No. 11121522 grant to C.R. and the INACH. GMT (http://gmt.soest.hawaii.edu/) and Ocean Data View (http://odv.awi.de/) software were used for some figures. The authors thank the logistic support of INACH and the Chilean Navy, especially the crew of the AP Aquiles (2013-14), including the Infantes de Marina personnel. Special thanks to the Captain Jaime McIntyre. Also we thank the support of the Colombian Navy, officers, crew and scientific party on board the ARC 20 de Julio. Special thanks to Diana Quintana (CIOH) for the TSS analysis, and Emilio Mena and Stephanie Latour for their help with the manuscript. We would also like to thank the Editor, Laurie Padman, for his constructive comments and the anonymous reviewers.</t>
  </si>
  <si>
    <t>10.1017/S0954102016000237</t>
  </si>
  <si>
    <t>WOS:000384240100007</t>
  </si>
  <si>
    <t>Tracey, SR; Hartmann, K; Leef, M; McAllister, J</t>
  </si>
  <si>
    <t>Tracey, Sean R.; Hartmann, Klaas; Leef, Melanie; McAllister, Jaime</t>
  </si>
  <si>
    <t>Capture-induced physiological stress and postrelease mortality for Southern bluefin tuna (Thunnus maccoyii) from a recreational fishery</t>
  </si>
  <si>
    <t>CANADIAN JOURNAL OF FISHERIES AND AQUATIC SCIENCES</t>
  </si>
  <si>
    <t>CATCH-AND-RELEASE; MARLIN MAKAIRA-NIGRICANS; BONEFISH ALBULA-VULPES; PELAGIC LONGLINE GEAR; SURVIVAL; CORTISOL; CAUGHT; CONSEQUENCES; MANAGEMENT; PREDATION</t>
  </si>
  <si>
    <t>Southern bluefin tuna (SBT; Thunnus maccoyii) are a popular component of the recreational large pelagic game fishery in Australia. The fishery is managed using individual fisher catch limits. Fifty-nine pop-up archival transmitting (PAT) tags were attached to individual SBT to estimate postrelease survival (PRS) rates. Fish caught on lures configured with J-hooks (n = 44) and those caught on circle hooks (n = 8) had similar PRS rates and were combined to increase sample size, revealing a PRS estimate of 83.0% (95% CI: 75.9%-90.7%, n = 54). The PRS estimate of fish caught on lures with treble hooks was much lower, 60% (95% CI: 20%-100%, n = 5). By sampling blood from 233 fish, including 56 of the PAT-tagged individuals, we show that angling duration is related to an elevation of lactate, cortisol, and osmolarity in blood plasma, indicative of increased physiological stress. Physical damage related to hooking location, angling duration, biochemical indicators of physiological stress, and handling duration were not identified as significant factors leading to postrelease mortality. The results quantify a previously unaccounted source of mortality for SBT.</t>
  </si>
  <si>
    <t>[Tracey, Sean R.; Hartmann, Klaas; Leef, Melanie; McAllister, Jaime] Univ Tasmania, Inst Marine &amp; Antarctic Studies, Private Bag 49, Hobart, Tas 7001, Australia</t>
  </si>
  <si>
    <t>University of Tasmania</t>
  </si>
  <si>
    <t>Tracey, SR (corresponding author), Univ Tasmania, Inst Marine &amp; Antarctic Studies, Private Bag 49, Hobart, Tas 7001, Australia.</t>
  </si>
  <si>
    <t>sean.tracey@utas.edu.au</t>
  </si>
  <si>
    <t>Leef, Melanie J/C-6655-2013; Hartmann, Klaas/B-3991-2008; Tracey, Sean/J-7446-2014</t>
  </si>
  <si>
    <t>Tracey, Sean/0000-0002-6735-5899</t>
  </si>
  <si>
    <t>Australian Government through the Fisheries Research and Development Corporation; NSW Department of Primary Industries Recreational Fishing Saltwater Trust; Victorian Government Recreational Fishing Licence Trust (VicRFL) [00197]; Tasmanian Fish-wise Community Grants Program [FWCG2011/126]</t>
  </si>
  <si>
    <t>Australian Government through the Fisheries Research and Development Corporation(Fisheries R&amp;D Corp); NSW Department of Primary Industries Recreational Fishing Saltwater Trust; Victorian Government Recreational Fishing Licence Trust (VicRFL); Tasmanian Fish-wise Community Grants Program</t>
  </si>
  <si>
    <t>We are thankful for the support and assistance of many recreational fishers and science support staff from the Institute for Marine and Antarctic Studies, University of Tasmania. We also thank two anonymous referees whose comments improved the manuscript. This study was conducted in accordance with the University of Tasmania's Animal Ethics Committee approval (A0012207) and Scientific Permit 1002582 issued under subsection 33(1) of the Fisheries Management Act 1991. The Australian Government through the Fisheries Research and Development Corporation, the NSW Department of Primary Industries Recreational Fishing Saltwater Trust, the Victorian Government Recreational Fishing Licence Trust (VicRFL No. 00197), and the Tasmanian Fish-wise Community Grants Program (FWCG2011/126), administered by the Department of Primary Industries, Parks and Environment, provided funding for this study.</t>
  </si>
  <si>
    <t>CANADIAN SCIENCE PUBLISHING</t>
  </si>
  <si>
    <t>OTTAWA</t>
  </si>
  <si>
    <t>65 AURIGA DR, SUITE 203, OTTAWA, ON K2E 7W6, CANADA</t>
  </si>
  <si>
    <t>0706-652X</t>
  </si>
  <si>
    <t>1205-7533</t>
  </si>
  <si>
    <t>CAN J FISH AQUAT SCI</t>
  </si>
  <si>
    <t>Can. J. Fish. Aquat. Sci.</t>
  </si>
  <si>
    <t>10.1139/cjfas-2015-0516</t>
  </si>
  <si>
    <t>DW6RV</t>
  </si>
  <si>
    <t>WOS:000383779500009</t>
  </si>
  <si>
    <t>Gasson, E; DeConto, RM; Pollard, D</t>
  </si>
  <si>
    <t>Gasson, Edward; DeConto, Robert M.; Pollard, David</t>
  </si>
  <si>
    <t>Modeling the oxygen isotope composition of the Antarctic ice sheet and its significance to Pliocene sea level</t>
  </si>
  <si>
    <t>DYNAMIC TOPOGRAPHY; WARM PERIOD; CONSTRAINTS; SENSITIVITY; GLACIATION; STABILITY; EUSTASY; RECORDS</t>
  </si>
  <si>
    <t>Recent estimates of global mean sea level based on the oxygen isotope composition of mid-Pliocene benthic foraminifera vary from 9 to 21 m above present, which has differing implications for the past stability of the Antarctic ice sheet during an interval with atmospheric CO2 comparable to present. Here we simulate the oxygen isotope composition of the Antarctic ice sheet for a range of configurations using isotope-enabled climate and ice sheet models. We identify which ice sheet configurations are consistent with the oxygen isotope record and suggest a maximum contribution from Antarctica to the mid-Pliocene sea-level highstand of similar to 13 m. We also highlight that the relationship between the oxygen isotope record and sea level is not constant when ice is lost from deep marine basins, which has important implications for the use of oxygen isotopes as a sea-level proxy.</t>
  </si>
  <si>
    <t>[Gasson, Edward; DeConto, Robert M.] Univ Massachusetts, Dept Geosci, Amherst, MA 01003 USA; [Gasson, Edward] Univ Sheffield, Dept Geog, Sheffield S10 2TN, S Yorkshire, England; [Pollard, David] Penn State Univ, Earth &amp; Environm Syst Inst, University Pk, PA 16802 USA</t>
  </si>
  <si>
    <t>University of Massachusetts System; University of Massachusetts Amherst; University of Sheffield; Pennsylvania Commonwealth System of Higher Education (PCSHE); Pennsylvania State University; Pennsylvania State University - University Park</t>
  </si>
  <si>
    <t>Gasson, E (corresponding author), Univ Massachusetts, Dept Geosci, Amherst, MA 01003 USA.;Gasson, E (corresponding author), Univ Sheffield, Dept Geog, Sheffield S10 2TN, S Yorkshire, England.</t>
  </si>
  <si>
    <t>Gasson, Edward/0000-0003-4653-6217</t>
  </si>
  <si>
    <t>U.S. National Science Foundation [OCE-1202632, AGS-1203910]</t>
  </si>
  <si>
    <t>U.S. National Science Foundation(National Science Foundation (NSF))</t>
  </si>
  <si>
    <t>We thank Ken Miller, Matthew Winnick, and an anonymous reviewer for their constructive comments and suggestions. We also thank Molly Patterson, Ben Keisling, and Kate Hibbert for discussions that helped improve the manuscript. This study was supported by U.S. National Science Foundation awards OCE-1202632 (PLIOMAX) and AGS-1203910.</t>
  </si>
  <si>
    <t>10.1130/G38104.1</t>
  </si>
  <si>
    <t>DX3WK</t>
  </si>
  <si>
    <t>WOS:000384307200012</t>
  </si>
  <si>
    <t>Lindgren, AR; Buckley, BA; Eppley, SM; Reysenbach, AL; Stedman, KM; Wagner, JT</t>
  </si>
  <si>
    <t>Lindgren, Annie R.; Buckley, Bradley A.; Eppley, Sarah M.; Reysenbach, Anna-Louise; Stedman, Kenneth M.; Wagner, Josiah T.</t>
  </si>
  <si>
    <t>Life on the Edge-the Biology of Organisms Inhabiting Extreme Environments: An Introduction to the Symposium</t>
  </si>
  <si>
    <t>INTEGRATIVE AND COMPARATIVE BIOLOGY</t>
  </si>
  <si>
    <t>FISH TREMATOMUS-BERNACCHII; ANTARCTIC FISH; GENE-EXPRESSION; STRESS; VIRUS; DEEP; PLANTS; GROWTH; COLD; HOT</t>
  </si>
  <si>
    <t>Life persists, even under extremely harsh conditions. While the existence of extremophiles is well known, the mechanisms by which these organisms evolve, perform basic metabolic functions, reproduce, and survive under extreme physical stress are often entirely unknown. Recent technological advances in terms of both sampling and studying extremophiles have yielded new insight into their evolution, physiology and behavior, from microbes and viruses to plants to eukaryotes. The goal of the Life on the Edge-the Biology of Organisms Inhabiting Extreme Environments'' symposium was to unite researchers from taxonomically and methodologically diverse backgrounds to highlight new advances in extremophile biology. Common themes and new insight that emerged from the symposium included the important role of symbiotic associations, the continued challenges associated with sampling and studying extremophiles and the important role these organisms play in terms of studying climate change. As we continue to explore our planet, especially in difficult to reach areas from the poles to the deep sea, we expect to continue to discover new and extreme circumstances under which life can persist.</t>
  </si>
  <si>
    <t>[Lindgren, Annie R.; Buckley, Bradley A.; Eppley, Sarah M.; Reysenbach, Anna-Louise; Stedman, Kenneth M.; Wagner, Josiah T.] Portland State Univ, Ctr Life Extreme Environm, Portland, OR 97201 USA</t>
  </si>
  <si>
    <t>Portland State University</t>
  </si>
  <si>
    <t>Lindgren, AR (corresponding author), Portland State Univ, Ctr Life Extreme Environm, Portland, OR 97201 USA.</t>
  </si>
  <si>
    <t>arl3@pdx.edu</t>
  </si>
  <si>
    <t>Wagner, Josiah/V-4984-2019</t>
  </si>
  <si>
    <t>Wagner, Josiah/0000-0003-0646-2321</t>
  </si>
  <si>
    <t>Directorate For Geosciences; Office of Polar Programs (OPP) [1341742] Funding Source: National Science Foundation; Division Of Integrative Organismal Systems; Direct For Biological Sciences [1546672] Funding Source: National Science Foundation</t>
  </si>
  <si>
    <t>Directorate For Geosciences; Office of Polar Programs (OPP)(National Science Foundation (NSF)NSF - Directorate for Geosciences (GEO)); Division Of Integrative Organismal Systems; Direct For Biological Sciences(National Science Foundation (NSF)NSF - Directorate for Biological Sciences (BIO)NSF - Division of Integrative Organismal Systems (IOS))</t>
  </si>
  <si>
    <t>1540-7063</t>
  </si>
  <si>
    <t>1557-7023</t>
  </si>
  <si>
    <t>INTEGR COMP BIOL</t>
  </si>
  <si>
    <t>Integr. Comp. Biol.</t>
  </si>
  <si>
    <t>10.1093/icb/icw094</t>
  </si>
  <si>
    <t>Zoology</t>
  </si>
  <si>
    <t>DX3VJ</t>
  </si>
  <si>
    <t>WOS:000384303700001</t>
  </si>
  <si>
    <t>O'Brien, KM</t>
  </si>
  <si>
    <t>O'Brien, Kristin M.</t>
  </si>
  <si>
    <t>New Lessons from an Old Fish: What Antarctic Icefishes May Reveal about the Functions of Oxygen-Binding Proteins</t>
  </si>
  <si>
    <t>NITRIC-OXIDE SYNTHASE; OXIDATIVE STRESS; CHAENOCEPHALUS-ACERATUS; CHIONODRACO-HAMATUS; RESPIRATORY CHARACTERISTICS; OXIDIZED PROTEINS; REDOX REGULATION; MYOGLOBIN GENE; HEMOGLOBIN; HEART</t>
  </si>
  <si>
    <t>The loss of expression of the oxygen-binding protein hemoglobin (Hb) in the family Channichthyidae (suborder Notothenioidei) of Antarctic fishes is considered a disaptation that has persisted because of the unusual conditions prevailing in the Southern Ocean during the evolution of the family. The loss of expression of the intracellular oxygen-binding protein myoglobin (Mb) in heart ventricles is more of a conundrum because it occurred at four points during the radiation of the family, suggesting weakened selective pressure maintaining expression of the protein. Yet, studies have shown that when present, Mb enhances function. Here, I discuss potential reasons for weakened selective pressure maintaining Mb expression in light of the multiple functions proposed for Mb. Additionally, I discuss results from recent studies exploring the possibility that the loss of Hb and Mb may be advantageous because it reduces the production of reactive oxygen species, levels of oxidized proteins, and the energetic costs associated with replacing oxidatively damaged proteins.</t>
  </si>
  <si>
    <t>[O'Brien, Kristin M.] Univ Alaska Fairbanks, Inst Arctic Biol, Dept Biol &amp; Wildlife, Fairbanks, AK 99775 USA</t>
  </si>
  <si>
    <t>University of Alaska System; University of Alaska Fairbanks</t>
  </si>
  <si>
    <t>O'Brien, KM (corresponding author), Univ Alaska Fairbanks, Inst Arctic Biol, Dept Biol &amp; Wildlife, Fairbanks, AK 99775 USA.</t>
  </si>
  <si>
    <t>kmobrien@alaska.edu</t>
  </si>
  <si>
    <t>Direct For Biological Sciences; Division Of Integrative Organismal Systems [1546672] Funding Source: National Science Foundation; Office of Polar Programs (OPP); Directorate For Geosciences [1043781] Funding Source: National Science Foundation</t>
  </si>
  <si>
    <t>Direct For Biological Sciences; Division Of Integrative Organismal Systems(National Science Foundation (NSF)NSF - Directorate for Biological Sciences (BIO)NSF - Division of Integrative Organismal Systems (IOS)); Office of Polar Programs (OPP); Directorate For Geosciences(National Science Foundation (NSF)NSF - Directorate for Geosciences (GEO))</t>
  </si>
  <si>
    <t>10.1093/icb/icw062</t>
  </si>
  <si>
    <t>WOS:000384303700005</t>
  </si>
  <si>
    <t>McCarthy, A; Crawford, C; Eriksen, R; Ross, DJ</t>
  </si>
  <si>
    <t>McCarthy, Arlie; Crawford, Christine; Eriksen, Ruth; Ross, Donald J.</t>
  </si>
  <si>
    <t>Dietary preferences, growth and condition of triploid and diploid Pacific Oysters, Crassostrea gigas (Thunberg), in Little Swanport Estuary, Tasmania, Australia</t>
  </si>
  <si>
    <t>AQUACULTURE RESEARCH</t>
  </si>
  <si>
    <t>Crassostrea gigas; diet; triploid; growth; phytoplankton</t>
  </si>
  <si>
    <t>BIOCHEMICAL-COMPOSITION; NUTRITIONAL-VALUE; CONDITION INDEX; BODY-SIZE; MORTALITY; TEMPERATURE; MICROALGAE; DIVERSITY; PARENTAGE; SELECTION</t>
  </si>
  <si>
    <t>[McCarthy, Arlie; Crawford, Christine; Eriksen, Ruth; Ross, Donald J.] Univ Tasmania, Inst Marine &amp; Antarctic Studies, Hobart, Tas, Australia</t>
  </si>
  <si>
    <t>McCarthy, A (corresponding author), IMAS Hobart, Private Bag 129, Hobart, Tas 7001, Australia.</t>
  </si>
  <si>
    <t>arlie.mccarthy@utas.edu.au</t>
  </si>
  <si>
    <t>McCarthy, Arlie/AAG-5028-2021; Eriksen, Ruth/J-7760-2014; Ross, Donald/F-7607-2012</t>
  </si>
  <si>
    <t>McCarthy, Arlie/0000-0001-7423-4342; Eriksen, Ruth/0000-0002-5184-2465; Ross, Donald/0000-0002-8659-3833</t>
  </si>
  <si>
    <t>1355-557X</t>
  </si>
  <si>
    <t>1365-2109</t>
  </si>
  <si>
    <t>AQUAC RES</t>
  </si>
  <si>
    <t>Aquac. Res.</t>
  </si>
  <si>
    <t>10.1111/are.12776</t>
  </si>
  <si>
    <t>DW0RG</t>
  </si>
  <si>
    <t>WOS:000383348700033</t>
  </si>
  <si>
    <t>González, PM; Puntarulo, S</t>
  </si>
  <si>
    <t>Gonzalez, Paula Mariela; Puntarulo, Susana</t>
  </si>
  <si>
    <t>Fe, oxidative and nitrosative metabolism in the Antarctic limpet Nacella concinna</t>
  </si>
  <si>
    <t>COMPARATIVE BIOCHEMISTRY AND PHYSIOLOGY A-MOLECULAR &amp; INTEGRATIVE PHYSIOLOGY</t>
  </si>
  <si>
    <t>2nd International Conference on Oxidative Stress in Aquatic Ecosystems</t>
  </si>
  <si>
    <t>NOV 11-14, 2015</t>
  </si>
  <si>
    <t>Centro Investigaciones Biologicas Noroeste, La Paz, MEXICO</t>
  </si>
  <si>
    <t>Centro Investigaciones Biologicas Noroeste</t>
  </si>
  <si>
    <t>Digestive gland; Fe; Limpets; NOS-like; Oxidative and nitrosative metabolism</t>
  </si>
  <si>
    <t>NITRIC-OXIDE; SIGNY ISLAND; LABILE IRON; FERRITIN; REPRODUCTION; HEMOLYMPH; SEQUENCE; STREBEL; CLONING; STRESS</t>
  </si>
  <si>
    <t>The hypothesis of this work was that oxidative and nitrosative metabolism in the digestive gland (DG) of two limpet populations (intertidal and subtidal) of the Antarctic species Nacella concinna show different behavior when they were exposed to either intermittent (intertidal) or constant (subtidal) natural Fe. Total Fe content and labile Fe pool were higher in the DG of the subtidal compared to the intertidal population. However, no significant differences between populations were seen on the Fe atoms content of the isolated ferritin. Ascorbyl radical content was 2.0 +/- 0.4 and 6.5 +/- 0.8 pmol/mg FW in the DG of the intertidal and subtidal animals, respectively. Lipid damage, assessed as content of thiobarbituric reactive substances, was different between the tissues of intertidal and subtidal samples, 491 +/- 102 and 1242 +/- 367 pmol/mg FW, respectively. Catalase and superoxide dismutase activities showed no differences between the limpets. Nitric oxide (NO) content was 25 +/- 3 and 22 +/- 2 pmol/mg FW in DG from intertidal and subtidal animals, respectively. NO synthaselike (NOS-like) activity was evaluated supplementing the samples with the enzyme co-factors, and the inhibitory effect of N omega-nitro-L-arginine methyl ester hydrochloride was tested. NO generation rate was 3.4 +/- 0.3 and 4.7 +/- 0.6 pmol/min mg FW in DG from the intertidal and subtidal population, respectively. These results showed that the oxidative condition of the limpet population constantly covered by the Fe enriched water is more affected than the intertidal population. However, the nitrosative metabolism seems to be independent of the environmental high Fe content since similar NO steady state concentration and NOS-like activity were measured in both populations. (C) 2016 Elsevier Inc. All rights reserved.</t>
  </si>
  <si>
    <t>[Gonzalez, Paula Mariela; Puntarulo, Susana] Univ Buenos Aires, Inst Bioquim &amp; Med Mol IBIMOL, CONICET, Fisicoquim,Fac Farm &amp; Bioquim, Junin 956 C1113AAD, Buenos Aires, DF, Argentina</t>
  </si>
  <si>
    <t>University of Buenos Aires; Consejo Nacional de Investigaciones Cientificas y Tecnicas (CONICET)</t>
  </si>
  <si>
    <t>Puntarulo, S (corresponding author), Univ Buenos Aires, Inst Bioquim &amp; Med Mol IBIMOL, CONICET, Fisicoquim,Fac Farm &amp; Bioquim, Junin 956 C1113AAD, Buenos Aires, DF, Argentina.</t>
  </si>
  <si>
    <t>susanap@ffyb.uba.ar</t>
  </si>
  <si>
    <t>Fernández, Paula PFF/N-7242-2018</t>
  </si>
  <si>
    <t>, Paula/0000-0003-0135-2561; Gonzalez, Paula/0000-0003-0154-0087</t>
  </si>
  <si>
    <t>1095-6433</t>
  </si>
  <si>
    <t>1531-4332</t>
  </si>
  <si>
    <t>COMP BIOCHEM PHYS A</t>
  </si>
  <si>
    <t>Comp. Biochem. Physiol. A-Mol. Integr. Physiol.</t>
  </si>
  <si>
    <t>10.1016/j.cbpa.2016.04.007</t>
  </si>
  <si>
    <t>Biochemistry &amp; Molecular Biology; Physiology; Zoology</t>
  </si>
  <si>
    <t>DW8WR</t>
  </si>
  <si>
    <t>WOS:000383936700007</t>
  </si>
  <si>
    <t>Li, Q; Lee, S; Griesel, A</t>
  </si>
  <si>
    <t>Li, Qian; Lee, Sukyoung; Griesel, Alexa</t>
  </si>
  <si>
    <t>Eddy Fluxes and Jet-Scale Overturning Circulations in the Indo-Western Pacific Southern Ocean</t>
  </si>
  <si>
    <t>ANTARCTIC CIRCUMPOLAR CURRENT; MEAN FLOW INTERACTIONS; MULTIPLE JETS; MOMENTUM FLUX; STRATIFICATION; ENHANCEMENT; MAINTENANCE; TRANSPORT; BALANCE; MODEL</t>
  </si>
  <si>
    <t>The relationship between Antarctic Circumpolar Current jets and eddy fluxes in the Indo-western Pacific Southern Ocean (908-1458E) is investigated using an eddy-resolving model. In this region, transient eddy momentum flux convergence occurs at the latitude of the primary jet core, whereas eddy buoyancy flux is located over a broader region that encompasses the jet and the interjet minimum. In a small sector (1208-1448E) where jets are especially zonal, a spatial and temporal decomposition of the eddy fluxes further reveals that fast eddies act to accelerate the jet with the maximum eddy momentum flux convergence at the jet center, while slow eddies tend to decelerate the zonal current at the interjet minimum. Transformed Eulerian mean (TEM) diagnostics reveals that the eddy momentum contribution accelerates the jets at all model depths, whereas the buoyancy flux contribution decelerates the jets at depths below similar to 600 m. In ocean sectors where the jets are relatively well defined, there exist jet-scale overturning circulations with sinking motion on the equatorward flank and a rising motion on the poleward flank of the jets. These jet-scale TEM overturning circulations, which are also discernible in potential density coordinates, cannot be attributed to Ekman downwelling because the Ekman vertical velocities are much weaker and their meridional structure shares little resemblance to the rapidly varying jet-scale overturning pattern. Instead, the location and structure of these thermally indirect circulations suggest that they are driven by the eddy momentum flux convergence, much like the Ferrel cell in the atmosphere.</t>
  </si>
  <si>
    <t>[Li, Qian; Lee, Sukyoung] Penn State Univ, Dept Meteorol, 503 Walker Bldg, University Pk, PA 16802 USA; [Griesel, Alexa] Univ Hamburg, Inst Meereskunde, Hamburg, Germany</t>
  </si>
  <si>
    <t>Pennsylvania Commonwealth System of Higher Education (PCSHE); Pennsylvania State University; Pennsylvania State University - University Park; University of Hamburg</t>
  </si>
  <si>
    <t>Lee, S (corresponding author), Penn State Univ, Dept Meteorol, 503 Walker Bldg, University Pk, PA 16802 USA.</t>
  </si>
  <si>
    <t>sxl31@psu.edu</t>
  </si>
  <si>
    <t>Atmosphere and Ocean, Collaborative Research Center TRR 181- Energy Transfers in/AAY-2721-2020</t>
  </si>
  <si>
    <t>LI, QIAN/0000-0002-2099-233X</t>
  </si>
  <si>
    <t>National Science Foundation [ATM-1139970]; Seoul National University, the Republic of Korea; Collaborative Research Centre on Energy Transfer in Atmosphere and Ocean - German Research Foundation [TRR 181]</t>
  </si>
  <si>
    <t>National Science Foundation(National Science Foundation (NSF)); Seoul National University, the Republic of Korea; Collaborative Research Centre on Energy Transfer in Atmosphere and Ocean - German Research Foundation</t>
  </si>
  <si>
    <t>We thank Mat Maltrud for providing the tripole POP setup and grid and initial conditions. Many thanks to Elena Yulaeva for setting up the runs and providing data and to Julie McClean for suggesting this POP run and for initiating the collaboration between SL-QL and AG. SL and QL also appreciate comments by Cory Baggett and Steven Feldstein on the manuscript. QL and SL were supported by the National Science Foundation under Grant ATM-1139970. SL was also supported by Seoul National University, the Republic of Korea, through the Next Generation Distinguished Scholars Award. AG was supported by the Collaborative Research Centre TRR 181 on Energy Transfer in Atmosphere and Ocean funded by the German Research Foundation. An allocation of advanced computing resources OCE-0960914 provided by the National Science Foundation was instrumental in performing this research. The computations were performed on Kraken at the National Institute for Computational Sciences (http://www.nics.tennessee.edu/).</t>
  </si>
  <si>
    <t>45 BEACON ST, BOSTON, MA 02108-3693, UNITED STATES</t>
  </si>
  <si>
    <t>10.1175/JPO-D-15-0241.1</t>
  </si>
  <si>
    <t>DX0BE</t>
  </si>
  <si>
    <t>WOS:000384025700004</t>
  </si>
  <si>
    <t>Moreno, PI; Videla, J</t>
  </si>
  <si>
    <t>Moreno, Patricio I.; Videla, Javiera</t>
  </si>
  <si>
    <t>Centennial and millennial-scale hydroclimate changes in northwestern Patagonia since 16,000 yr BP</t>
  </si>
  <si>
    <t>Northwestern Patagonia; Southern westerly winds; Centennial/millennial-scale climate variability; Holocene; Antarctic Cold Reversal</t>
  </si>
  <si>
    <t>LAST GLACIAL MAXIMUM; ANTARCTIC COLD REVERSAL; CHILEAN LAKE DISTRICT; RADIOCARBON CHRONOLOGY; CLIMATE-CHANGE; ISLA GRANDE; HOLOCENE TRANSITION; SOUTHERN PATAGONIA; ABRUPT VEGETATION; LAGO-ARGENTINO</t>
  </si>
  <si>
    <t>We examine hydroclimate changes at centennial/millennial timescales since 16,000 yr BP in northwestern Patagonia based on the pollen and charcoal record from Lago El Salto, a small closed-basin lake located in the Chilean Lake District (41 degrees 38'48.02 '' S, 73 degrees 5'48.42 '' W). We observe cold/wet conditions between 14,500-16,000 yr BP, followed by further cooling with increased precipitation until 13,000 yr BP, enhanced precipitation seasonality and/or variability between 11,600-13,000 yr BP, and an extended warm-and-dry interval between 7600 and 11,300 yr BP with peak paleofire activity. Colder-and-wetter than present conditions and muted paleofire activity prevail between 5300 and 7600 yr BP, followed by alternating cold/wet and centennial-scale warm/dry phases starting at 5300 yr BP with three conspicuous megadroughts since 2500 yr BR The most recent megadrought occurred during the Medieval Climate Anomaly. We identify a cold reversal that spans the Antarctic Cold Reversal (ACR) and the Younger Dryas (YD) chrons with stronger-than-present westerly influence during the former and enhanced variability during the latter. These results extend the northern limit of strong cooling and increase in precipitation during the ACR and the southern limit of influence of strong hydrologic variations during the YD in terrestrial environments, suggesting an overlap in the spheres of influence of processes originating from southern and northern polar latitudes. An extended warm southern westerly wind (SWW)-minimum interval is evident between 7600 and 11,300 yr BP, followed by a rapid shift to cool-moist conditions between 5300 and 7600 yr BP brought by a mid-Holocene SWW maximum. Since then we observe centennial-scale hydroclimate variability, which has driven biodiversity and fire-regime shifts of evergreen temperate rainforests. (C) 2016 Elsevier Ltd. All rights reserved.</t>
  </si>
  <si>
    <t>[Moreno, Patricio I.] Univ Chile, Inst Ecol &amp; Biodiversidad, Santiago, Region Metropol, Chile; Univ Chile, Dept Ciencias Ecol, Santiago, Region Metropol, Chile</t>
  </si>
  <si>
    <t>Universidad de Chile; Universidad de Chile</t>
  </si>
  <si>
    <t>Moreno, PI (corresponding author), Univ Chile, Inst Ecol &amp; Biodiversidad, Santiago, Region Metropol, Chile.</t>
  </si>
  <si>
    <t>pimoreno@uchile.cl</t>
  </si>
  <si>
    <t>; Moreno, Patricio/D-2317-2012</t>
  </si>
  <si>
    <t>Videla Contreras, Javiera/0009-0004-3415-8890; Moreno, Patricio/0000-0002-1333-6238</t>
  </si>
  <si>
    <t>ICM grant [P05-002, NC120066]; FONDECYT; Fondap [1131055]; CONICYT [PFB-23]</t>
  </si>
  <si>
    <t>ICM grant; FONDECYT(Comision Nacional de Investigacion Cientifica y Tecnologica (CONICYT)CONICYT FONDECYT); Fondap; CONICYT(Comision Nacional de Investigacion Cientifica y Tecnologica (CONICYT))</t>
  </si>
  <si>
    <t>This study was supported by ICM grants P05-002 and NC120066, FONDECYT and 1131055, Fondap and CONICYT PFB-23. We thank G.H. Denton, T.V. Lowell, and G.L. Jacobson for their help during fieldwork and for supporting the early stages of this study. We also thank C. Whitlock for providing the 210Pb dates, J.P. Francois for laboratory assistance, M. Power for performing the Box-Cox transformation of the CHAR data, and P. Ugalde for drafting Fig. 1.</t>
  </si>
  <si>
    <t>10.1016/j.quascirev.2016.08.008</t>
  </si>
  <si>
    <t>DW7IW</t>
  </si>
  <si>
    <t>WOS:000383825400022</t>
  </si>
  <si>
    <t>Hughes, KA; Liggett, D; Roldan, G; Wilmotte, A; Xavier, JC</t>
  </si>
  <si>
    <t>Hughes, Kevin A.; Liggett, Daniela; Roldan, Gabriela; Wilmotte, Annick; Xavier, Jose C.</t>
  </si>
  <si>
    <t>Narrowing the science/policy gap for environmental management</t>
  </si>
  <si>
    <t>Xavier, José/KFB-6739-2024; Wilmotte, Annick/H-1686-2011; Hughes, Kevin/JVZ-0793-2024</t>
  </si>
  <si>
    <t>Liggett, Daniela/0000-0003-4184-5205; Roldan, Gabriela/0000-0002-5914-141X; /0000-0002-9621-6660; Wilmotte, Annick/0000-0003-3546-3489</t>
  </si>
  <si>
    <t>Natural Environment Research Council [bas010011] Funding Source: researchfish; NERC [bas010011] Funding Source: UKRI</t>
  </si>
  <si>
    <t>10.1017/S0954102016000407</t>
  </si>
  <si>
    <t>WOS:000384240100001</t>
  </si>
  <si>
    <t>Rickard, G; Behrens, E</t>
  </si>
  <si>
    <t>Rickard, Graham; Behrens, Erik</t>
  </si>
  <si>
    <t>CMIP5 Earth System Models with biogeochemistry: a Ross Sea assessment</t>
  </si>
  <si>
    <t>climate predictions; CMIP5 intercomparison; earth system modelling; evaluation; marine ecosystems; Southern Ocean</t>
  </si>
  <si>
    <t>SOUTHERN-OCEAN CONVECTION; CLIMATE-CHANGE; ECOSYSTEM; ICE; OCEANOGRAPHY; SIMULATIONS; VARIABILITY</t>
  </si>
  <si>
    <t>An assessment is made of the ability of the CoupledModel Intercomparison Project 5 (CMIP5) models to represent the seasonal cycles of biogeochemistry of the Ross Sea over the late twentieth century. In particular, sea surface temperature, sea ice concentration, surface chlorophyll a, nitrate, phosphate and silicate, and the depth of the seasonal thermocline (measuring vertical mixing) are examined to quantify the physical-biogeochemical capabilities of each model, and to provide for 'ranked' model ensembles. This permits critical assessment of modelled Ross Sea biogeochemical cycling, including less well observed variables such as iron and vertically integrated primary production. The assessment enables determination of model output confidence limits; these confidence limits are used to examine future model scenario projections for consideration of potential ecosystem changes. The future scenarios examined are the representative concentration pathways rcp4.5 and rcp8.5. Our study suggests that by the end of the twenty-first century under rcp4.5 and/or rcp8.5 that there will be average increases in sea surface temperature, surface chlorophyll a, integrated primary production and iron, average decreases in surface nitrate, phosphate and silicate, and relatively large decreases in the depth of the seasonal thermocline and percentage coverage by sea ice in the Ross Sea.</t>
  </si>
  <si>
    <t>[Rickard, Graham; Behrens, Erik] Natl Inst Water &amp; Atmospher Res, POB 14-901, Wellington, New Zealand</t>
  </si>
  <si>
    <t>National Institute of Water &amp; Atmospheric Research (NIWA) - New Zealand</t>
  </si>
  <si>
    <t>Rickard, G (corresponding author), Natl Inst Water &amp; Atmospher Res, POB 14-901, Wellington, New Zealand.</t>
  </si>
  <si>
    <t>graham.rickard@niwa.co.nz</t>
  </si>
  <si>
    <t>Behrens, Erik/B-9631-2013</t>
  </si>
  <si>
    <t>rickard, graham/0000-0002-0169-4361</t>
  </si>
  <si>
    <t>MBIE (NZ) [C01 x 1226, COOF1502]</t>
  </si>
  <si>
    <t>MBIE (NZ)</t>
  </si>
  <si>
    <t>The authors are grateful to the reviewers for their encouragement to broaden and enhance the scope of our paper. SeaWiFS data were made available by the Ocean Color Group and the processed monthly means were kindly provided by Matt Pinkerton. VGPM output was downloaded from the productivity website at http://www.science.oregonstate.edu/ocean.productivity/index.php. Thanks also to the World Climate Research Programme's Working Group on Coupled Modelling for access to the CMIP5 model output. S. Stuart is also to be thanked for helping download much of the model output analysed in this paper. This work was funded by MBIE (NZ) Contracts C01 x 1226 (Ross Sea climate and ecosystem) and COOF1502 (Oceans Primary Production).</t>
  </si>
  <si>
    <t>10.1017/S0954102016000122</t>
  </si>
  <si>
    <t>WOS:000384240100002</t>
  </si>
  <si>
    <t>Toomey, L; Welsford, D; Appleyard, SA; Polanowski, A; Faux, C; Deagle, BE; Belchier, M; Marthick, J; Jarman, S</t>
  </si>
  <si>
    <t>Toomey, Lola; Welsford, Dirk; Appleyard, Sharon A.; Polanowski, Andrea; Faux, Cassandra; Deagle, Bruce E.; Belchier, Mark; Marthick, James; Jarman, Simon</t>
  </si>
  <si>
    <t>Genetic structure of Patagonian toothfish populations from otolith DNA</t>
  </si>
  <si>
    <t>Antarctic; Dissostichus eleginoides; high throughput sequencing; population genetics; single nucleotide polymorphisms</t>
  </si>
  <si>
    <t>DISSOSTICHUS-ELEGINOIDES; OCEAN; DISCOVERY; MOVEMENT; SOFTWARE; ATLANTIC; BIOLOGY; GROWTH; HEARD; FISH</t>
  </si>
  <si>
    <t>The Patagonian toothfish, Dissostichus eleginoides, is a valuable fishery species and has a discontinuous distribution across the Southern Ocean. Identification of the genetic stock structure of toothfish would allow evaluation of the suitability of the spatial scale at which fisheries management operates. Genetic subdivision seems likely given the species distribution. Population genetics studies of this species have been performed; however, they have been limited by sample size, spatial coverage and/or the type of markers investigated. As a potential solution, we developed methods for extracting toothfish DNA from otoliths that are available in large numbers from collections held at several research institutes. Genetic differentiation between the three oceanic sectors was investigated. Four mitochondrial and four nuclear markers with multiple single nucleotide polymorphisms were sequenced by high throughput sequencing for samples from six locations. Genetic differentiation was found between three sectors with nuclear markers. However, only the Pacific sector was differentiated from other sectors with mitochondrial markers. This study demonstrates the usefulness of otolith DNA as a means of increasing sample sizes for population genetics research of fish. Additionally, the combination of nuclear and mitochondrial markers may allow insight into how the observed differences in movements between male and female toothfish impact population structure.</t>
  </si>
  <si>
    <t>[Toomey, Lola; Welsford, Dirk; Polanowski, Andrea; Faux, Cassandra; Deagle, Bruce E.; Jarman, Simon] Australian Antarctic Div, 203 Channel Highway, Kingston, Tas 7050, Australia; [Appleyard, Sharon A.] CSIRO Natl Res Collect Australia, GPO Box 1538, Hobart, Tas 7001, Australia; [Belchier, Mark] NERC, British Antarctic Survey, Madingley Rd, Cambridge CB3 0ET, England; [Marthick, James] Menzies Inst Med Res, 17 Liverpool St, Hobart, Tas 7000, Australia; [Jarman, Simon] Univ Porto, CIBIO Ctr Invest Biodiversidade &amp; Recursos Genet, Campus Agr Vairao,Rua Padre Armando Quintas 7, P-4485661 Vairao, Portugal</t>
  </si>
  <si>
    <t>Australian Antarctic Division; Commonwealth Scientific &amp; Industrial Research Organisation (CSIRO); UK Research &amp; Innovation (UKRI); Natural Environment Research Council (NERC); NERC British Antarctic Survey; University of Tasmania; Menzies Institute for Medical Research; Universidade do Porto</t>
  </si>
  <si>
    <t>Toomey, L (corresponding author), Australian Antarctic Div, 203 Channel Highway, Kingston, Tas 7050, Australia.</t>
  </si>
  <si>
    <t>lolatoomey@gmail.com</t>
  </si>
  <si>
    <t>Deagle, Bruce E/R-2999-2019; Appleyard, Sharon/AAJ-9942-2020; appleyard, sharon/D-6076-2012; Jarman, Simon/H-9265-2016</t>
  </si>
  <si>
    <t>Deagle, Bruce E/0000-0001-7651-3687; Appleyard, Sharon/0000-0002-3105-1690; appleyard, sharon/0000-0002-3105-1690; Polanowski, Andrea/0000-0002-9612-220X; Jarman, Simon/0000-0002-0792-9686; Welsford, Dirk/0000-0001-5379-5052; Toomey, Lola/0000-0001-7060-6698</t>
  </si>
  <si>
    <t>10.1017/S0954102016000183</t>
  </si>
  <si>
    <t>WOS:000384240100003</t>
  </si>
  <si>
    <t>Comeros-Raynal, MT; Polidoro, BA; Broatch, J; Mann, BQ; Gorman, C; Buxton, CD; Goodpaster, AM; Iwatsuki, Y; MacDonald, TC; Pollard, D; Russell, B; Carpenter, KE</t>
  </si>
  <si>
    <t>Comeros-Raynal, Mia T.; Polidoro, Beth A.; Broatch, Jennifer; Mann, Bruce Q.; Gorman, Claire; Buxton, Colin D.; Goodpaster, Angela M.; Iwatsuki, Yukio; MacDonald, Timothy C.; Pollard, David; Russell, Barry; Carpenter, Kent E.</t>
  </si>
  <si>
    <t>Key predictors of extinction risk in sea breams and porgies (Family: Sparidae)</t>
  </si>
  <si>
    <t>BIOLOGICAL CONSERVATION</t>
  </si>
  <si>
    <t>Extinction risk modeling; Marine fishes; IUCN Red List of Threatened Species; Marine conservation; Random Forest model</t>
  </si>
  <si>
    <t>LIFE-HISTORY; CHEILINUS-UNDULATUS; BIODIVERSITY LOSS; SPECIES TRAITS; REEF FISHES; MARINE; VULNERABILITY; THREATS; SYSTEM; DRIVERS</t>
  </si>
  <si>
    <t>Identification, understanding and prediction of the factors that drive species to heightened risk of extinction are important goals for conservation, especially since few areas on the planet remain unaffected by human activities. Global extinction risk assessments of an entire family of ecologically complex marine fishes (family: Sparidae), using the International Union for Conservation of Nature Red List process, showed that 8.6% (13 species) of sparids are threatened. Intense fishing pressure and habitat destruction are the main reasons for the observed population declines. A further 7.9% (12 species) are classified as Near Threatened. The majority of the sparids (69.5%) are assessed as Least Concern, and these tended to have smaller body sizes, more widespread distributions, and shorter life spans. The remaining 21 species (13.9%) are listed as Data Deficient. In addition to presenting the first global assessment of sparid extinction risk, a Random Forest model identified correlates of extinction risk in the Sparidae using 33 biological and threat variables. The model correctly classified up to 90% of Red List category placements and showed complex interactions between intrinsic and extrinsic predictors. Larger body size was the most important predictor of extinction risk. Sparids with greater maximum sizes, ages, and turnover rates are at higher extinction risk. Conversely, lower area of occupancy and depth limit confer elevated risk. This analysis adds to the growing body of predictive extinction risk models in marine fishes and presents an opportunity to identify and mitigate threats affecting similar groups of highly-valued and ecologically important marine fishes. (C) 2016 Elsevier Ltd. All rights reserved.</t>
  </si>
  <si>
    <t>[Comeros-Raynal, Mia T.; Polidoro, Beth A.; Gorman, Claire; Goodpaster, Angela M.; Carpenter, Kent E.] Old Dominion Univ, IUCN Global Species Programme, Biol Sci, Norfolk, VA 23529 USA; [Comeros-Raynal, Mia T.] Amer Samoa Environm Protect Agcy, Pago Pago, AS 96799 USA; [Polidoro, Beth A.; Broatch, Jennifer] Arizona State Univ, New Coll Interdisciplinary Arts &amp; Sci, Phoenix, AZ USA; [Mann, Bruce Q.] Oceanog Res Inst, POB 10712, ZA-4056 Durban, Kwazulu Natal, South Africa; [Buxton, Colin D.] Univ Tasmania, Inst Marine &amp; Antarctic Studies, Private Bag 49, Hobart, Tas 7001, Australia; [Iwatsuki, Yukio] Miyazaki Univ, Dept Marine Biol &amp; Environm Sci, 1-1 Gakuen Kibanadai Nishi, Miyazaki 8892192, Japan; [MacDonald, Timothy C.] Fish &amp; Wildlife Res Inst, Florida Fish &amp; Wildlife Conservat Commiss, 100 Eighth Ave SE, St Petersburg, FL 33701 USA; [Pollard, David] Australian Museum, Dept Ichthyol, Sydney, NSW 2010, Australia; [Russell, Barry] Museum &amp; Art Galley Northern Terr, Darwin, NT 0810, Australia</t>
  </si>
  <si>
    <t>Old Dominion University; Arizona State University; Arizona State University-Downtown Phoenix; University of Tasmania; University of Miyazaki; Florida Fish &amp; Wildlife Conservation Commission; Australian Museum</t>
  </si>
  <si>
    <t>Carpenter, KE (corresponding author), Old Dominion Univ, IUCN Global Species Programme, Biol Sci, Norfolk, VA 23529 USA.</t>
  </si>
  <si>
    <t>kcarpent@odu.edu</t>
  </si>
  <si>
    <t>Buxton, Colin/AAV-3489-2021; MacDonald, Tim/W-7133-2019</t>
  </si>
  <si>
    <t>MacDonald, Tim/0000-0002-4784-5591; Comeros-Raynal, Mia Theresa/0000-0002-5087-8984; Buxton, Colin/0000-0002-3256-5220</t>
  </si>
  <si>
    <t>New Hampshire Charitable Foundation</t>
  </si>
  <si>
    <t>We thank Tom Haas and the New Hampshire Charitable Foundation for generous support of IUCN Red List Assessments and the Global Marine Species Assessment We thank Roger McManus and Jean-Christophe Vie for their continued advice and support for IUCN's Marine Biodiversity Unit. The Moore Family Foundation and the Qatar National Research Foundation provided support for workshops in the Bahamas and Qatar, respectively. We extend our thanks to the following workshop co-organizers: Kwang-Tsao Shao, Min Liu, and Vera Shiwei (Taiwan), Heather Harwell and Cristiane Elfes (Bahamas), Friedhelm Krupp, Abdulrahman Al-Muftah, and Jack Buchanan (Qatar). We would also like to thank the IUCN Snappers, Seabreams, and Grunts Specialist Group and the Sparidae assessors and reviewers for their support in the Red Listing process. We also thank Rosemary Raynal for editing; Michael Lane and Colin Attwood for statistical and technical support and assistance; Gina Ralph for facilitating at the Qatar workshop; and Emilie Stump for graphic design support.</t>
  </si>
  <si>
    <t>0006-3207</t>
  </si>
  <si>
    <t>1873-2917</t>
  </si>
  <si>
    <t>BIOL CONSERV</t>
  </si>
  <si>
    <t>Biol. Conserv.</t>
  </si>
  <si>
    <t>10.1016/j.biocon.2016.08.027</t>
  </si>
  <si>
    <t>Biodiversity Conservation; Ecology; Environmental Sciences</t>
  </si>
  <si>
    <t>EA0ZP</t>
  </si>
  <si>
    <t>WOS:000386318400010</t>
  </si>
  <si>
    <t>Priscu, JC</t>
  </si>
  <si>
    <t>Priscu, John C.</t>
  </si>
  <si>
    <t>Unraveling Ecosystem Responses to Climate Change on the Antarctic Continent through Long-Term Ecological Research</t>
  </si>
  <si>
    <t>[Priscu, John C.] Montana State Univ, Dept Land Resources &amp; Environm Sci, Bozeman, MT 59717 USA</t>
  </si>
  <si>
    <t>Montana State University System; Montana State University Bozeman</t>
  </si>
  <si>
    <t>10.1093/biosci/biw131</t>
  </si>
  <si>
    <t>WOS:000386485900001</t>
  </si>
  <si>
    <t>Strobel, A; Schmid, P; Segner, H; Burkhardt-Holm, P; Zennegg, M</t>
  </si>
  <si>
    <t>Strobel, Anneli; Schmid, Peter; Segner, Helmut; Burkhardt-Holm, Patricia; Zennegg, Markus</t>
  </si>
  <si>
    <t>Persistent organic pollutants in tissues of the white-blooded Antarctic fish Champsocephalus gunnari and Chaenocephalus aceratus</t>
  </si>
  <si>
    <t>Icefish; Bioaccumulation; Persistent organic pollutants; Polychlorinated biphenyls (PCBs); Toxic equivalents (TEQs); DR CALUX bioanalytical equivalents (BEQs)</t>
  </si>
  <si>
    <t>POLYBROMINATED DIPHENYL ETHERS; POLYCHLORINATED-BIPHENYLS; MELTING GLACIERS; FLAME RETARDANTS; RAINBOW-TROUT; FOOD WEBS; DL-PCBS; TRENDS; WATER; LAKES</t>
  </si>
  <si>
    <t>The global occurrence of persistent organic pollutants (POPs) continuously contributes to their accumulation also in remote areas such as the Antarctic Ocean. Antarctic fish, which hold high trophic positions but appear to possess low endogenous elimination rates for chemicals, are expected to bioaccumulate POPs with rising anthropogenic pollution. Using a chemical-analytical method, we measured concentrations of PCBs, PBDEs, HCBs, HCH and DDTs and determined toxic equivalents (TEQs) and bioanalytical equivalents (BEQs) in muscle and ovaries of Antarctic icefish caught in the Southern Ocean around Elephant Island. We used two species with different feeding habits and trophic web positions: the planktivorous Champsocephalus gunnari and the piscivorous Chaenocephalus aceratus. Our results revealed higher contaminant levels in ovary than in muscle tissues of both species. Most analytes concentrations and the TEQs (0.2-0.5) and BEQs (0.2) were lower as in temperate species. Comparison with literature data points to higher PCB (20-22 ng g(-1) lipid weight (lw)) and DDT (7 19.5 ng g(-1) lw) concentrations than those measured in icefish in the 90's. For the other contaminants, we could not identify temporal trends. We found a higher bioaccumulation of contaminants, particularly HCB and DDTs, in C. aceratus (6.2 &amp; 19.5 ng g(-1) lw, respectively) than in C. gunnari (3.8 &amp; 7.0 ng g(-1) lw, respectively). However, there was no general species-specific accumulation pattern of the different toxicant classes between the two icefish. Thus, the expected link between contaminant burdens of C aceratus and C gunnari and their ecological traits was only weakly supported for these species. (C) 2016 Elsevier Ltd. All rights reserved.</t>
  </si>
  <si>
    <t>[Strobel, Anneli; Burkhardt-Holm, Patricia] Univ Basel, Dept Environm Sci, Programme Man Soc Environm MGU, Vesalgasse 1, CH-4051 Basel, Switzerland; [Schmid, Peter; Zennegg, Markus] Empa, Swiss Fed Labs Mat Sci &amp; Technol, Uberlandstr 129, CH-8600 Dubendorf, Switzerland; [Segner, Helmut] Univ Bern, Vetsuisse Fac, Ctr Fish &amp; Wildlife Hlth, Langgassstr 12, CH-3012 Bern, Switzerland; [Burkhardt-Holm, Patricia] Univ Alberta, Dept Biol Sci, Edmonton, AB, Canada</t>
  </si>
  <si>
    <t>University of Basel; Swiss Federal Institutes of Technology Domain; Swiss Federal Laboratories for Materials Science &amp; Technology (EMPA); University of Bern; University of Alberta</t>
  </si>
  <si>
    <t>Strobel, A (corresponding author), Univ Basel, Dept Environm Sci, Programme Man Soc Environm MGU, Vesalgasse 1, CH-4051 Basel, Switzerland.</t>
  </si>
  <si>
    <t>anneli.strobel@unibas.ch; helmut.segner@vetsuisse.unibe.ch; patricia.holm@unibas.ch; markus.zenneg@empa.ch</t>
  </si>
  <si>
    <t>Strobel, Anneli/S-5853-2016; Segner, Helmut/D-5714-2014</t>
  </si>
  <si>
    <t>Segner, Helmut/0000-0002-1783-1295</t>
  </si>
  <si>
    <t>Swiss National Science Foundation [SNSF 31003A_149964/1]; Freiwillige Akademische Gesellschaft Basel</t>
  </si>
  <si>
    <t>Swiss National Science Foundation(Swiss National Science Foundation (SNSF)); Freiwillige Akademische Gesellschaft Basel(General Electric)</t>
  </si>
  <si>
    <t>This work was funded by the Swiss National Science Foundation (SNSF 31003A_149964/1) and the Freiwillige Akademische Gesellschaft Basel. We thank Donatella Perrone and Melanie Senn (Empa) for their helpful assistance in the laboratory.</t>
  </si>
  <si>
    <t>10.1016/j.chemosphere.2016.01.089</t>
  </si>
  <si>
    <t>DU7QH</t>
  </si>
  <si>
    <t>hybrid, Green Accepted</t>
  </si>
  <si>
    <t>WOS:000382409200066</t>
  </si>
  <si>
    <t>Neutel, AM; Thorne, MAS</t>
  </si>
  <si>
    <t>Neutel, Anje-Margriet; Thorne, Michael A. S.</t>
  </si>
  <si>
    <t>Beyond connectedness: why pairwise metrics cannot capture community stability</t>
  </si>
  <si>
    <t>ECOLOGY AND EVOLUTION</t>
  </si>
  <si>
    <t>connectance; ecological networks; feedback loops; food webs; interaction strength; stability</t>
  </si>
  <si>
    <t>FOOD-WEB COMPLEXITY; INTERACTION STRENGTHS; CONNECTANCE; PREY</t>
  </si>
  <si>
    <t>The connectedness of species in a trophic web has long been a key structural characteristic for both theoreticians and empiricists in their understanding of community stability. In the past decades, there has been a shift from focussing on determining the number of interactions to taking into account their relative strengths. The question is: How do the strengths of the interactions determine the stability of a community? Recently, a metric has been proposed which compares the stability of observed communities in terms of the strength of three-and two-link feedback loops (cycles of interaction strengths). However, it has also been suggested that we do not need to go beyond the pairwise structure of interactions to capture stability. Here, we directly compare the performance of the feedback and pairwise metrics. Using observed food-web structures, we show that the pairwise metric does not work as a comparator of stability and is many orders of magnitude away from the actual stability values. We argue that metrics based on pairwise-strength information cannot capture the complex organization of strong and weak links in a community, which is essential for system stability.</t>
  </si>
  <si>
    <t>[Neutel, Anje-Margriet; Thorne, Michael A. S.] British Antarctic Survey, Cambridge, England</t>
  </si>
  <si>
    <t>Neutel, AM (corresponding author), British Antarctic Survey, Cambridge, England.</t>
  </si>
  <si>
    <t>anjute@bas.ac.uk</t>
  </si>
  <si>
    <t>Thorne, Michael/0000-0001-7759-612X</t>
  </si>
  <si>
    <t>Natural Environment Research Council; Natural Environment Research Council [bas0100036] Funding Source: researchfish; NERC [bas0100036] Funding Source: UKRI</t>
  </si>
  <si>
    <t>Natural Environment Research Council.</t>
  </si>
  <si>
    <t>2045-7758</t>
  </si>
  <si>
    <t>ECOL EVOL</t>
  </si>
  <si>
    <t>Ecol. Evol.</t>
  </si>
  <si>
    <t>10.1002/ece3.2461</t>
  </si>
  <si>
    <t>Ecology; Evolutionary Biology</t>
  </si>
  <si>
    <t>Environmental Sciences &amp; Ecology; Evolutionary Biology</t>
  </si>
  <si>
    <t>EA2NA</t>
  </si>
  <si>
    <t>Green Published, gold, Green Accepted</t>
  </si>
  <si>
    <t>WOS:000386429200004</t>
  </si>
  <si>
    <t>Duarte, AWF; Passarini, MRZ; Delforno, TP; Pellizzari, FM; Cipro, CVZ; Montone, RC; Petry, MV; Putzke, J; Rosa, LH; Sette, LD</t>
  </si>
  <si>
    <t>Fernandes Duarte, Alysson Wagner; Zambrano Passarini, Michel Rodrigo; Delforno, Tiago Palladino; Pellizzari, Franciane Maria; Zecchin Cipro, Caio Vinicius; Montone, Rosalinda Carmela; Petry, Maria Virginia; Putzke, Jair; Rosa, Luiz Henrique; Sette, Lara Duraes</t>
  </si>
  <si>
    <t>Yeasts from macroalgae and lichens that inhabit the South Shetland Islands, Antarctica</t>
  </si>
  <si>
    <t>ENVIRONMENTAL MICROBIOLOGY REPORTS</t>
  </si>
  <si>
    <t>KING GEORGE ISLAND; SP NOV.; BASIDIOMYCETOUS YEAST; MICROBIAL COMMUNITIES; MARINE MACROALGAE; COLD ADAPTATION; DIVERSITY; FUNGI; SEA; IDENTIFICATION</t>
  </si>
  <si>
    <t>Antarctic terrestrial ecosystems are largely dominated by lichens, while shallow coastal environments are mainly covered by macroalgae. The aim of this study was to isolate and to evaluate the diversity of yeasts in different species of macroalgae and lichens collected in South Shetland Islands, Antarctica. A total of 405 yeasts were recovered (205 from macroalgae and 200 from lichens). The yeast community from macroalgae was most diversity than the yeast community from lichen. The dominance index was similar for both substrates. A total of 24 taxa from macroalgae and 18 from lichens were identified, and only 5 were common to both substrates. Metschnikowia australis, Mrakia sp., Rhodotorula glacialis and Glaciozyma litorale were the most abundant yeasts in macroalgae and Cryptococcus victoriae, Rhodotorula laryngis, Rhodotorula arctica, Trichosporon sp. 1 and Mrakia sp. were the most abundant in lichens. Based on molecular and phylogenetic analyses, four yeast from macroalgae and six from lichens were considered potential new species. This is the first study to report the yeast communities from the Antarctic macroalgae Himantothallus grandifolius and lichen Ramalina terebrata. Results suggest that Antarctic phyco and lichensphere represent a huge substrate for cold-adapted yeasts and enhanced the knowledge of the microbiota from extreme environments.</t>
  </si>
  <si>
    <t>[Fernandes Duarte, Alysson Wagner; Delforno, Tiago Palladino; Sette, Lara Duraes] Univ Estadual Campinas, Ctr Pluridisciplinar Pesquisas Quim Biol &amp; Agr, Div Recursos Microbianos, Paulinia, SP, Brazil; [Fernandes Duarte, Alysson Wagner] Univ Fed Alagoas, Campus Arapiraca, Arapiraca, Alagoas, Brazil; [Zambrano Passarini, Michel Rodrigo] Univ Fed Integracao Latinoamer, Ctr Interdisciplinar Ciencias Vida, Inst Latino Amer Ciencias Vida &amp; Nat, Foz Do Iguacu, Parana, Brazil; [Pellizzari, Franciane Maria] Univ Estadual Parana, Lab Ficol &amp; Qualidade Agua Marinha, Campus Paranagua, Foz Do Iguacu, Parana, Brazil; [Zecchin Cipro, Caio Vinicius] Univ La Rochelle, CNRS, UMR 7266, Littoral Environm &amp; Soc LIENSs, 2 Rue Olympe de Gouges, F-17042 La Rochelle 01, France; [Zecchin Cipro, Caio Vinicius; Montone, Rosalinda Carmela] Univ Sao Paulo, Inst Oceanog, Lab Quim Organ Marinha, Sao Paulo, Brazil; [Petry, Maria Virginia] Univ Vale Rio Sinos Sao Leopoldo, Lab Ornitol &amp; Anim Marinhos, UNISINOS RS, Sao Leopoldo, Brazil; [Putzke, Jair] Univ Santa Cruz do Sul, Santa Cruz Do Sul, RS, Brazil; [Rosa, Luiz Henrique] Univ Fed Minas Gerais, Inst Ciencias Biol, Dept Microbiol, Belo Horizonte, MG, Brazil; [Sette, Lara Duraes] Univ Estadual Paulista, Inst Biociencias, Dept Bioquim &amp; Microbiol, Lab Micol Ambiental &amp; Ind, Rio Claro, SP, Brazil</t>
  </si>
  <si>
    <t>Universidade Estadual de Campinas; Universidade Federal de Alagoas; Universidade Federal da Integracao Latino-Americana; La Rochelle Universite; Centre National de la Recherche Scientifique (CNRS); Universidade de Sao Paulo; Universidade de Santa Cruz do Sul; Universidade Federal de Minas Gerais; Universidade Estadual Paulista</t>
  </si>
  <si>
    <t>Sette, LD (corresponding author), Univ Estadual Campinas, Ctr Pluridisciplinar Pesquisas Quim Biol &amp; Agr, Div Recursos Microbianos, Paulinia, SP, Brazil.;Sette, LD (corresponding author), Univ Estadual Paulista, Inst Biociencias, Dept Bioquim &amp; Microbiol, Lab Micol Ambiental &amp; Ind, Rio Claro, SP, Brazil.</t>
  </si>
  <si>
    <t>larasette@rc.unesp.br</t>
  </si>
  <si>
    <t>Sette, Lara Durães/C-8298-2013; Pellizzari, Franciane M./JLL-6907-2023; Duarte, Alysson Wagner Fernandes/S-8062-2019; Passarimi, Michel/AAD-5806-2022; Putzke, Jair/P-9380-2019; Petry, Maria Virginia/AAG-5333-2021; Delforno, Tiago/D-8331-2012; petry, maria/K-8410-2013; Zecchin Cipro, Caio Vinicius/C-6338-2014; Montone, Rosalinda/J-9110-2012</t>
  </si>
  <si>
    <t>Sette, Lara Durães/0000-0002-5980-3786; Duarte, Alysson Wagner Fernandes/0000-0001-9626-7524; Delforno, Tiago/0000-0002-1705-0763; petry, maria/0000-0002-7870-7394; Zecchin Cipro, Caio Vinicius/0000-0002-7028-6353; Montone, Rosalinda/0000-0002-9586-1000; Pellizzari, Franciane/0000-0003-1877-2570</t>
  </si>
  <si>
    <t>Brazilian Antarctic Program (PROANTAR); INCT CRIOSFERA; Coordination for Higher Level Graduate Improvement (CAPES/Brazil); State of Sao Paulo Research Foundation (FAPESP/Brazil) [2010/17033-0, 2013/19486-0]; CAPES; FAPESP [2010/08352-5]; National Council for Scientific and Technological Development (CNPq) [304103/2013-6]</t>
  </si>
  <si>
    <t>Brazilian Antarctic Program (PROANTAR); INCT CRIOSFERA; Coordination for Higher Level Graduate Improvement (CAPES/Brazil); State of Sao Paulo Research Foundation (FAPESP/Brazil)(Fundacao de Amparo a Pesquisa do Estado de Sao Paulo (FAPESP)); CAPES(Coordenacao de Aperfeicoamento de Pessoal de Nivel Superior (CAPES)); FAPESP(Fundacao de Amparo a Pesquisa do Estado de Sao Paulo (FAPESP)); National Council for Scientific and Technological Development (CNPq)(Conselho Nacional de Desenvolvimento Cientifico e Tecnologico (CNPQ))</t>
  </si>
  <si>
    <t>The authors would like to thank the Brazilian Antarctic Program (PROANTAR) and INCT CRIOSFERA for the sampling grant support. This research project was supported by grants from the Coordination for Higher Level Graduate Improvement (CAPES/Brazil) and the State of Sao Paulo Research Foundation (FAPESP/Brazil # 2010/17033-0 and # 2013/19486-0). A. Duarte was supported by Ph.D. grants from CAPES and FAPESP (# 2010/08352-5). LDS thanks National Council for Scientific and Technological Development (CNPq) for Productivity Fellowships 304103/2013-6. The authors declare that there is no conflict of interest.</t>
  </si>
  <si>
    <t>1758-2229</t>
  </si>
  <si>
    <t>ENV MICROBIOL REP</t>
  </si>
  <si>
    <t>Environ. Microbiol. Rep.</t>
  </si>
  <si>
    <t>10.1111/1758-2229.12452</t>
  </si>
  <si>
    <t>Environmental Sciences; Microbiology</t>
  </si>
  <si>
    <t>EM0IP</t>
  </si>
  <si>
    <t>WOS:000395002300042</t>
  </si>
  <si>
    <t>Cincinelli, A; Martellini, T; Pozo, K; Kukucka, P; Audy, O; Corsolini, S</t>
  </si>
  <si>
    <t>Cincinelli, Alessandra; Martellini, Tania; Pozo, Karla; Kukucka, Petr; Audy, Ondrej; Corsolini, Simonetta</t>
  </si>
  <si>
    <t>Trematomus bernacchii as an indicator of POP temporal trend in the Antarctic seawaters</t>
  </si>
  <si>
    <t>ENVIRONMENTAL POLLUTION</t>
  </si>
  <si>
    <t>Trematomus bernacchii; POPs; Antarctica; Temporal trend; Ross Sea</t>
  </si>
  <si>
    <t>POLYBROMINATED DIPHENYL ETHERS; TERRA-NOVA BAY; PERSISTENT ORGANIC POLLUTANTS; ORGANOCHLORINE PESTICIDES OCPS; POLYCHLORINATED-BIPHENYLS PCBS; BROMINATED FLAME RETARDANTS; SEA-SURFACE MICROLAYER; DIBENZO-P-DIOXINS; ROSS SEA; MEDITERRANEAN SEA</t>
  </si>
  <si>
    <t>The occurrence of POPs in remote areas, such as Antarctica, is the result of their ability to udergo Long Range Transport (LRT) in the atmosphere, precipitation and cold condensation. In this study, both recent levels of various POPs in Trematomus bernacchii and their changes in roughly three decades were determined in order to evaluate trends of POPs in Antarctic benthic seawaters. In fact, Trematomus bernacchii is considered a good sentinel bio-indicator for monitoring not only the extent of contamination by POPs in the Antarctic aquatic ecosystem, but also changes in Antarctic ecosystem quality and trends. A slight decreasing PCB trend was detected during 30-years time span (from early 1980's to 2010) in the circumantarctic seawaters. Two higher peaks of concentrations were reported in 2001 and 2005 in the Ross Sea and they may reflect the ice melting of icebergs. Because fire risk is very high in Antarctica due to the very dry air, a large use of flame retardants in buildings and furniture of stations is highly probable; moreover, many stations were built when there were no restrictions on flame retardants use. The PBDE levels in the T. bernacchii from 2001 to 2011 ranged 0.05-0.35 pg/g and were of the same order of magnitude in 2001/2011 and in 2002/2005, with a maximum value in 2005 (0.35 pg/g). Comparable concentrations of HCB, HCH5 PCDDs and PCDFs are available only for few seasons: all these compounds showed a decreasing temporal trends and their concentrations were one or more order of magnitude lower in 2000s-2010s. (C) 2015 Elsevier Ltd. All rights reserved.</t>
  </si>
  <si>
    <t>[Cincinelli, Alessandra; Martellini, Tania] Univ Florence, Dept Chem Ugo Schiff, I-50019 Florence, Italy; [Pozo, Karla; Corsolini, Simonetta] Univ Siena, Dept Phys Earth &amp; Environm Sci, Via Mattioli 4, I-53100 Siena, Italy; [Cincinelli, Alessandra] CNR, IDPA, Venice, Italy; [Pozo, Karla; Kukucka, Petr; Audy, Ondrej] Masaryk Univ, RECETOX Res Ctr Tox Cpds Environm, Kamenice 3-126, Brno 62500, Czech Republic; [Pozo, Karla] Univ Catolica Santisima Concepcion, Fac Ciencias, Alonso de Ribera 2850, Concepcion 4070129, Chile</t>
  </si>
  <si>
    <t>University of Florence; University of Siena; Consiglio Nazionale delle Ricerche (CNR); Istituto per la Dinamica dei Processi Ambientali (IDPA-CNR); Masaryk University Brno; Universidad Catolica de la Santisima Concepcion</t>
  </si>
  <si>
    <t>Corsolini, S (corresponding author), Univ Siena, Dept Phys Earth &amp; Environm Sci, Via PA Via Mattioli 4, I-53100 Siena, Italy.</t>
  </si>
  <si>
    <t>simonetta.corsolini@unisi.it</t>
  </si>
  <si>
    <t>Cincinelli, Alessandra/A-8468-2011; Pozo, Karla/D-3822-2012; Kukucka, Petr/F-7064-2016; Martellini, Tania/AAD-1095-2020; Corsolini, Simonetta/B-9460-2012</t>
  </si>
  <si>
    <t>Martellini, Tania/0000-0001-6803-1928; Corsolini, Simonetta/0000-0002-9772-2362; Pozo, Karla/0000-0001-7747-7518; Kukucka, Petr/0000-0003-1733-8334</t>
  </si>
  <si>
    <t>Italian National Antarctic Research Programme (PNRA) [PdR PNRA 2009/A1.04, PdR PNRA 2013/AZ2.05]; National Sustainability Programme of the Czech Ministry of Education, Youth and Sports [LO1214]</t>
  </si>
  <si>
    <t>Italian National Antarctic Research Programme (PNRA); National Sustainability Programme of the Czech Ministry of Education, Youth and Sports</t>
  </si>
  <si>
    <t>The Italian National Antarctic Research Programme (PNRA) funded this research (Project PdR PNRA 2009/A1.04 and in part Project PdR PNRA 2013/AZ2.05).; The high resolution GC-MS analyses of POPs were carried out at the RECETOX research infrastructure (LM2011028 and National Sustainability Programme of the Czech Ministry of Education, Youth and Sports, LO1214).</t>
  </si>
  <si>
    <t>0269-7491</t>
  </si>
  <si>
    <t>1873-6424</t>
  </si>
  <si>
    <t>ENVIRON POLLUT</t>
  </si>
  <si>
    <t>Environ. Pollut.</t>
  </si>
  <si>
    <t>10.1016/j.envpol.2015.12.057</t>
  </si>
  <si>
    <t>DW7IT</t>
  </si>
  <si>
    <t>WOS:000383825100004</t>
  </si>
  <si>
    <t>Van Horn, DJ; Wolf, CR; Colman, DR; Jiang, XB; Kohler, TJ; McKnight, DM; Stanish, LF; Yazzie, T; Takacs-Vesbach, CD</t>
  </si>
  <si>
    <t>Van Horn, David J.; Wolf, Caitlin R.; Colman, Daniel R.; Jiang, Xiaoben; Kohler, Tyler J.; McKnight, Diane M.; Stanish, Lee F.; Yazzie, Terrill; Takacs-Vesbach, Cristina D.</t>
  </si>
  <si>
    <t>Patterns of bacterial biodiversity in the glacial meltwater streams of the McMurdo Dry Valleys, Antarctica</t>
  </si>
  <si>
    <t>FEMS MICROBIOLOGY ECOLOGY</t>
  </si>
  <si>
    <t>cyanobacteria; microbial mats; diversity; community structure; polar region; 16S rRNA gene</t>
  </si>
  <si>
    <t>MICROBIAL MAT COMMUNITIES; CYANOBACTERIAL MATS; TAYLOR VALLEY; GLOBAL PATTERNS; HYPORHEIC ZONE; ROSS-ISLAND; ICE SHELF; DIVERSITY; BIOFILMS; ECOLOGY</t>
  </si>
  <si>
    <t>Microbial consortia dominate glacial meltwater streams from polar regions, including the McMurdo Dry Valleys (MDV), where they thrive under physiologically stressful conditions. In this study, we examined microbial mat types and sediments found in 12 hydrologically diverse streams to describe the community diversity and composition within and across sites. Sequencing of the 16S rRNA gene from 129 samples revealed similar to 24 000 operational taxonomic units (&lt; 97% DNA similarity), making streams the most biodiverse habitat in the MDV. Principal coordinate analyses revealed significant but weak clustering by mat type across all streams (ANOSIM R-statistic = 0.28) but stronger clustering within streams (ANOSIM R-statistic from 0.28 to 0.94). Significant relationships (P &lt; 0.05) were found between bacterial diversity and mat ash-free dry mass, suggesting that diversity is related to the hydrologic regimes of the various streams, which are predictive of mat biomass. However, correlations between stream chemistry and community members were weak, possibly reflecting the importance of internal processes and hydrologic conditions. Collectively, these results suggest that localized conditions dictate bacterial community composition of the same mat types and sediments from different streams, and while MDV streams are hotspots of biodiversity in an otherwise depauperate landscape, controls on community structure are complex and site specific.Cyanobacterial mats and sediments found in Antarctic meltwater streams were examined to further our understanding of the controls on diversity and community composition within and across streams.Cyanobacterial mats and sediments found in Antarctic meltwater streams were examined to further our understanding of the controls on diversity and community composition within and across streams.</t>
  </si>
  <si>
    <t>[Van Horn, David J.; Wolf, Caitlin R.; Colman, Daniel R.; Jiang, Xiaoben; Yazzie, Terrill; Takacs-Vesbach, Cristina D.] Univ New Mexico, Dept Biol, MSC03 2020,1 UNM, Albuquerque, NM 87131 USA; [Kohler, Tyler J.] Charles Univ Prague, Fac Sci, Dept Ecol, Vinicna 7, CR-12844 Prague 2, Czech Republic; [McKnight, Diane M.] Univ Colorado, Inst Arctic &amp; Alpine Res, 1560 30th St, Boulder, CO 80303 USA; [Stanish, Lee F.] Natl Ecol Observ Network, 1685 38th St, Boulder, CO 80301 USA</t>
  </si>
  <si>
    <t>University of New Mexico; Charles University Prague; University of Colorado System; University of Colorado Boulder</t>
  </si>
  <si>
    <t>Takacs-Vesbach, CD (corresponding author), Univ New Mexico, Dept Biol, MSC03 2020,1 UNM, Albuquerque, NM 87131 USA.</t>
  </si>
  <si>
    <t>cvesbach@unm.edu</t>
  </si>
  <si>
    <t>Kohler, Tyler Joe/IUO-5352-2023</t>
  </si>
  <si>
    <t>Kohler, Tyler Joe/0000-0001-5137-4844</t>
  </si>
  <si>
    <t>National Science Foundation [1115245, 1142102, 1245991]; National Institute of General medical Sciences of the National Institutes of Health [P30GM110907]</t>
  </si>
  <si>
    <t>National Science Foundation(National Science Foundation (NSF)); National Institute of General medical Sciences of the National Institutes of Health(United States Department of Health &amp; Human ServicesNational Institutes of Health (NIH) - USANIH National Institute of General Medical Sciences (NIGMS))</t>
  </si>
  <si>
    <t>This work was supported by the National Science Foundation [1115245 to C.D.T.V., 1142102 to C.D.T.V. and D.J.V.H., and 1245991 to D.J.V.H.]. The DNA sequencing performed at the UNM Molecular Biology Facility was supported by the National Institute of General medical Sciences of the National Institutes of Health under Award Number P30GM110907. The content is solely the responsibility of the authors and does not necessarily represent the official views of the National Institutes of Health.</t>
  </si>
  <si>
    <t>0168-6496</t>
  </si>
  <si>
    <t>1574-6941</t>
  </si>
  <si>
    <t>FEMS MICROBIOL ECOL</t>
  </si>
  <si>
    <t>FEMS Microbiol. Ecol.</t>
  </si>
  <si>
    <t>fiw148</t>
  </si>
  <si>
    <t>10.1093/femsec/fiw148</t>
  </si>
  <si>
    <t>DZ7UZ</t>
  </si>
  <si>
    <t>WOS:000386074400006</t>
  </si>
  <si>
    <t>Lindeque, A; Gohl, K; Wobbe, F; Uenzelmann-Neben, G</t>
  </si>
  <si>
    <t>Lindeque, Ansa; Gohl, Karsten; Wobbe, Florian; Uenzelmann-Neben, Gabriele</t>
  </si>
  <si>
    <t>Preglacial to glacial sediment thickness grids for the Southern Pacific Margin of West Antarctica</t>
  </si>
  <si>
    <t>CONTINENTAL-MARGIN; AMUNDSEN SEA; ICE-SHEET; WEDDELL SEA; CLIMATIC CONDITIONS; RECORD; BASIN; PENINSULA; SEQUENCES; DYNAMICS</t>
  </si>
  <si>
    <t>Circum-Antarctic sediment thickness grids provide constraints for basin evolution and paleotopographic reconstructions, which are important for paleo-ice sheet formation histories. By compiling old and new seismic data, we identify sequences representing preglacial, transitional, and full glacial deposition processes along the Pacific margin of West Antarctica. The preglacial sediment grid depicts 1.3-4.0 km thick depocenters, relatively evenly distributed along the margin. The depocenters change markedly in the transitional phase at, or after, the Eocene/Oligocene boundary when the first major ice sheets reached the shelf. Full glacial sequences, starting in the middle Miocene, indicate new depocenter formation North of the Amundsen Sea Embayment and localized eastward shifts in the Bellingshausen Sea and Antarctic Peninsula basins. Using present-day drainage paths and source areas on the continent, our calculations indicate that an estimated observed total sedimentary volume of similar to 10 x 10(6) km(3) was eroded from West Antarctica since the separation of New Zealand in the Late Cretaceous. Of this, 4.9 x 10(6) km(3) predates the onset of glaciation and need to be considered for a 34 Ma paleotopography reconstruction. Whereas 5.1 x 10(6) km(3) postdates the onset of glaciation, of which 2.5 x 10(6) km(3) were deposited in post mid-Miocene full glacial conditions.</t>
  </si>
  <si>
    <t>[Lindeque, Ansa; Gohl, Karsten; Wobbe, Florian; Uenzelmann-Neben, Gabriele] Alfred Wegener Inst Helmholtz Zentrum Polar &amp; Mee, Bremerhaven, Germany</t>
  </si>
  <si>
    <t>Lindeque, A (corresponding author), Alfred Wegener Inst Helmholtz Zentrum Polar &amp; Mee, Bremerhaven, Germany.</t>
  </si>
  <si>
    <t>ansa.lindeque@icloud.com</t>
  </si>
  <si>
    <t>Uenzelmann-Neben, Gabriele/AAI-8618-2020</t>
  </si>
  <si>
    <t>Uenzelmann-Neben, Gabriele/0000-0002-0115-5923; Gohl, Karsten/0000-0002-9558-2116</t>
  </si>
  <si>
    <t>Deutsche Forschungsgemeinschaft [DFG] [1158, GO 724/10-1]; AWI Research Program PACES-II [3.2]</t>
  </si>
  <si>
    <t>Deutsche Forschungsgemeinschaft [DFG](German Research Foundation (DFG)); AWI Research Program PACES-II</t>
  </si>
  <si>
    <t>This project was funded by the Priority Program 1158 Antarctic Research of the Deutsche Forschungsgemeinschaft [DFG] under project number GO 724/10-1 and by institutional funds for Work Package 3.2 of the AWI Research Program PACES-II. This project contributes to the Scientific Research Project Past Antarctic Ice Sheet Dynamics (PAIS) of the Scientific Committee on Antarctic Research (SCAR). Seismic data other than those acquired by the AWI (AWI-xx) and GNS Science (TAN06xx) were obtained with thanks from the Antarctic Seismic Data Library System (SDLS; http://sdls.ogs.trieste.it). All isopach grids and maps were created using Generic Mapping Tools (GMT) Version 5 [Wessel et al., 2013]. The data used are listed in the references and in the supporting information. The grid data sets are available from the Pangaea.de repository at URL/DOI https://doi.pangaea.de/10.1594/PANGAEA.864906. The authors wish to thank Doug Wilson and John Anderson for constructive reviews, which improved the manuscript.</t>
  </si>
  <si>
    <t>10.1002/2016GC006401</t>
  </si>
  <si>
    <t>ED2QZ</t>
  </si>
  <si>
    <t>WOS:000388694600027</t>
  </si>
  <si>
    <t>Jambon, A; Sautter, V; Barrat, JA; Gattacceca, J; Rochette, P; Boudouma, O; Badia, D; Devouard, B</t>
  </si>
  <si>
    <t>Jambon, A.; Sautter, V.; Barrat, J. -A.; Gattacceca, J.; Rochette, P.; Boudouma, O.; Badia, D.; Devouard, B.</t>
  </si>
  <si>
    <t>Northwest Africa 5790: Revisiting nakhlite petrogenesis</t>
  </si>
  <si>
    <t>NWA 5790; Nakhlite; Mars; Oscillatory zoning</t>
  </si>
  <si>
    <t>MARTIAN METEORITES; PARENT BODY; MAGNETIC-PROPERTIES; AQUEOUS ALTERATION; MELT INCLUSIONS; SNC-METEORITES; MARS; CHEMISTRY; AUGITE; ORIGIN</t>
  </si>
  <si>
    <t>Northwest Africa 5790, the latest nakhlite find, is composed of 58 vol.% augite, 6% olivine and 36% vitrophyric intercumulus material. Its petrology is comparable to previously discovered nakhlites but with key differences: (1) Augite cores display an unusual zoning between Mg# 54 and 60; (2) Olivine macrocrysts have a primary Fe-rich core composition (Mg# = 35); (3) The modal proportion of mesostasis is the highest ever described in a nakhlite; (4) It is the most magnetite-rich nakhlite, together with MIL 03346, and exhibits the least anisotropic fabric. Complex primary zoning in cumulus augite indicates resorption due to complex processes such as remobilization of former cumulates in a new magma batch. Textural relationships indicate unambiguously that olivine was growing around resorbed augite, and that olivine growth was continuous while pyroxene growth resumed at a final stage. Olivine core compositions (Mg# = 35) are out of equilibrium with the augite core compositions (Mg# 60-63) and with the previously inferred nakhlite parental magma (Mg# = 29). The presence of oscillatory zoning in olivine and augite precludes subsolidus diffusion that could have modified olivine compositions. NWA 5790 evidences at least two magma batches before eruption, with the implication that melt in equilibrium with augite cores was never in contact with olivine. Iddingsite is absent. Accordingly, the previous scenarios for nakhlite petrogenesis must be revised. The first primary parent magmas of nakhlites generated varied augite cumulates at depth (Mg# 66-60) as they differentiated to different extents. A subsequent more evolved magma batch entrained accumulated augite crystals to the surface where they were partly resorbed while olivine crystallized. Trace element variations indicate unambiguously that they represent consanguineous but different magma batches. The compositional differences among the various nakhlites suggest a number of successive lava flows. To account for all observations we propose a petrogenetic model for nakhlites based on several (at least three) thick flows. Although NWA 5790 belongs to the very top of one flow, it should come from the lowest flow sampled, based on the lack of iddingsite. (C) 2016 Elsevier Ltd. All rights reserved.</t>
  </si>
  <si>
    <t>[Jambon, A.; Boudouma, O.; Badia, D.] UPMC Univ Paris 06, Sorbonne Univ, Inst Sci Terre Paris iSTeP, F-75005 Paris, France; [Sautter, V.] Museum Natl Hist Nat, F-75005 Paris, France; [Sautter, V.] UPMC Univ Paris 06, IMPMC, F-75005 Paris, France; [Barrat, J. -A.] Univ Brest, CNRS Domaines Ocean, IUEM, Pl Nicolas Copernic, F-29280 Plouzane, France; [Jambon, A.; Boudouma, O.; Badia, D.] CNRS, Inst Sci Terre Paris iSTeP, F-75005 Paris, France; [Gattacceca, J.; Rochette, P.; Devouard, B.] Aix Marseille Univ, CNRS, CEREGE, F-13545 Aix En Provence 4, France; [Devouard, B.] Univ Clermont Ferrand, CNRS, Lab Magmas &amp; Volcans, 5 Rue Kessler, F-63000 Clermont Ferrand, France</t>
  </si>
  <si>
    <t>Sorbonne Universite; Museum National d'Histoire Naturelle (MNHN); Centre National de la Recherche Scientifique (CNRS); Institut de Recherche pour le Developpement (IRD); Sorbonne Universite; Centre National de la Recherche Scientifique (CNRS); Universite de Bretagne Occidentale; Institut Universitaire Europeen de la Mer (IUEM); Centre National de la Recherche Scientifique (CNRS); Sorbonne Universite; Centre National de la Recherche Scientifique (CNRS); Aix-Marseille Universite; Centre National de la Recherche Scientifique (CNRS); Universite Clermont Auvergne (UCA)</t>
  </si>
  <si>
    <t>Jambon, A (corresponding author), UPMC Univ Paris 06, Sorbonne Univ, Inst Sci Terre Paris iSTeP, F-75005 Paris, France.</t>
  </si>
  <si>
    <t>albert.jambon@upmc.fr; vsautter@mnhn.fr; barrat@univ-brest.fr; gattacceca@cerege.fr</t>
  </si>
  <si>
    <t>Rochette, Pierre/O-4612-2019; Gattacceca, Jerome/AAG-5651-2019; IMPMC, ROCKS @/U-8478-2017; DEVOUARD, Bertrand/B-4761-2013; Barrat, Jean Alix/C-8416-2017</t>
  </si>
  <si>
    <t>Rochette, Pierre/0000-0002-7362-0660; Gattacceca, Jerome/0000-0002-1639-7140; DEVOUARD, Bertrand/0000-0002-8774-1842; Barrat, Jean Alix/0000-0003-3158-3109</t>
  </si>
  <si>
    <t>NSF; NASA; Programme National de Planetologie (CNRS-INSU)</t>
  </si>
  <si>
    <t>NSF(National Science Foundation (NSF)); NASA(National Aeronautics &amp; Space Administration (NASA)); Programme National de Planetologie (CNRS-INSU)(Centre National de la Recherche Scientifique (CNRS))</t>
  </si>
  <si>
    <t>A. Habibi is greatly acknowledged for donating the reference specimen of NWA 5790. We are indebted to Kevin Righter and the meteorite curation group for the loan of a polished section of MIL 03346.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ENS Lyon is acknowledged for the loan of a polished section of NWA 817. J.-P. Lorand provided a reference calibration sample for olivine. R. Hewins corrected carefully our frenglish and made helpful suggestions. M. Fialin and N. Rividi are thanked for assistance on the microprobe. We thank C. Herd for the editorial handling and careful editing, J. Hammer and two anonymous reviewers for constructive comments. We gratefully acknowledge the Programme National de Planetologie (CNRS-INSU) for financial support.</t>
  </si>
  <si>
    <t>10.1016/j.gca.2016.06.032</t>
  </si>
  <si>
    <t>ED4FH</t>
  </si>
  <si>
    <t>WOS:000388802600012</t>
  </si>
  <si>
    <t>Horne, RB; Miyoshi, Y</t>
  </si>
  <si>
    <t>Horne, Richard B.; Miyoshi, Yoshizumi</t>
  </si>
  <si>
    <t>Propagation and linear mode conversion of magnetosonic and electromagnetic ion cyclotron waves in the radiation belts</t>
  </si>
  <si>
    <t>mode conversion; magnetosonic waves; EMIC waves</t>
  </si>
  <si>
    <t>TERRESTRIAL MYRIAMETRIC RADIATION; ELECTRON PITCH-ANGLE; EMIC WAVES; KILOMETRIC RADIATION; SATELLITE AKEBONO; PLASMA; DISTRIBUTIONS; GENERATION; REGION</t>
  </si>
  <si>
    <t>Magnetosonic waves and electromagnetic ion cyclotron (EMIC) waves are important for electron acceleration and loss from the radiation belts. It is generally understood that these waves are generated by unstable ion distributions that form during geomagnetically disturbed times. Here we show that magnetosonic waves could be a source of EMIC waves as a result of propagation and a process of linear mode conversion. The converse is also possible. We present ray tracing to show how magnetosonic (EMIC) waves launched with large (small) wave normal angles can reach a location where the wave normal angle is zero and the wave frequency equals the so-called crossover frequency whereupon energy can be converted from one mode to another without attenuation. While EMIC waves could be a source of magnetosonic waves below the crossover frequency, magnetosonic waves could be a source of hydrogen band waves but not helium band waves.</t>
  </si>
  <si>
    <t>[Horne, Richard B.] British Antarctic Survey, Cambridge, England; [Miyoshi, Yoshizumi] Nagoya Univ, Inst Space Earth Environm Res, Nagoya, Aichi, Japan</t>
  </si>
  <si>
    <t>UK Research &amp; Innovation (UKRI); Natural Environment Research Council (NERC); NERC British Antarctic Survey; Nagoya University</t>
  </si>
  <si>
    <t>Horne, RB (corresponding author), British Antarctic Survey, Cambridge, England.</t>
  </si>
  <si>
    <t>R.Horne@bas.ac.uk</t>
  </si>
  <si>
    <t>Horne, Richard B/U-3764-2019; Miyoshi, Yoshizumi/T-5748-2019</t>
  </si>
  <si>
    <t>Horne, Richard B/0000-0002-0412-6407; Miyoshi, Yoshizumi/0000-0001-7998-1240</t>
  </si>
  <si>
    <t>European Union [606716]; STFC [ST/M00130X/1]; Natural Environment Research Council; Japan Society for the Promotion of Science (JSPS) [15H05815, 15H05747]; NERC [bas0100031] Funding Source: UKRI; STFC [ST/M00130X/1] Funding Source: UKRI; Natural Environment Research Council [bas0100031] Funding Source: researchfish; Science and Technology Facilities Council [ST/M00130X/1] Funding Source: researchfish</t>
  </si>
  <si>
    <t>European Union(European Union (EU)); STFC(UK Research &amp; Innovation (UKRI)Science &amp; Technology Facilities Council (STFC)); Natural Environment Research Council(UK Research &amp; Innovation (UKRI)Natural Environment Research Council (NERC)); Japan Society for the Promotion of Science (JSPS)(Ministry of Education, Culture, Sports, Science and Technology, Japan (MEXT)Japan Society for the Promotion of Science);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</si>
  <si>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The research leading to these results has received funding from the European Union Seventh Framework Programme (FP7/2007-2013) under grant agreement 606716 (SPACESTORM), STFC grant ST/M00130X/1, and the Natural Environment Research Council. Y. Miyoshi is supported by Grants-in-Aid for Scientific Research (15H05815 and 15H05747) of the Japan Society for the Promotion of Science (JSPS). The data used to generate the plots in this paper can all be found in the references.</t>
  </si>
  <si>
    <t>10.1002/2016GL070216</t>
  </si>
  <si>
    <t>EA9CW</t>
  </si>
  <si>
    <t>WOS:000386939800016</t>
  </si>
  <si>
    <t>Kwok, R; Comiso, JC; Lee, T; Holland, PR</t>
  </si>
  <si>
    <t>Kwok, R.; Comiso, J. C.; Lee, T.; Holland, P. R.</t>
  </si>
  <si>
    <t>Linked trends in the South Pacific sea ice edge and Southern Oscillation Index</t>
  </si>
  <si>
    <t>Antarctic ice edge; Southern Oscillation</t>
  </si>
  <si>
    <t>OCEAN; VARIABILITY; CIRCULATION; IMPACTS; CLIMATE; EXTENT; CMIP5; MOTION; WINDS; DRIFT</t>
  </si>
  <si>
    <t>Previous work have shown that sea ice variability in the South Pacific is associated with extratropical atmospheric anomalies linked to the Southern Oscillation (SO). Over a 32year period (1982-2013), our study shows that the trend in Southern Oscillation Index (SOI) is also able to quantitatively explain the trends in sea ice edge, drift, and surface winds in this region. On average two thirds of the winter ice edge trend in this sector, linked to ice drift and surface winds, could be explained by the positive SOI trend, thus subjecting the ice edge to strong decadal SO variability. If this relationship holds, the negative SOI trend prior to the recent satellite era suggests that ice edge trends opposite to that of the recent record over a similar time scale. Significant low-frequency ice edge trends, linked to the natural variability of SO, are superimposed upon any trends expected of anthropogenic forcing.</t>
  </si>
  <si>
    <t>[Kwok, R.; Lee, T.] CALTECH, Jet Prop Lab, Pasadena, CA 91125 USA; [Comiso, J. C.] NASA, Goddard Space Flight Ctr, Greenbelt, MD USA; [Holland, P. R.] British Antarctic Survey, Cambridge, England</t>
  </si>
  <si>
    <t>California Institute of Technology; National Aeronautics &amp; Space Administration (NASA); NASA Jet Propulsion Laboratory (JPL); National Aeronautics &amp; Space Administration (NASA); NASA Goddard Space Flight Center; UK Research &amp; Innovation (UKRI); Natural Environment Research Council (NERC); NERC British Antarctic Survey</t>
  </si>
  <si>
    <t>Kwok, R (corresponding author), CALTECH, Jet Prop Lab, Pasadena, CA 91125 USA.</t>
  </si>
  <si>
    <t>ron.kwok@jpl.nasa.gov</t>
  </si>
  <si>
    <t>Kwok, Ronald/L-3968-2019; Lee, Tong/AAZ-6447-2020; Lee, Tony/JDM-3564-2023; Holland, Paul R/G-2796-2012; Kwok, Ron/A-9762-2008</t>
  </si>
  <si>
    <t>Kwok, Ronald/0000-0003-4051-5896; Lee, Tong/0000-0001-9817-2908; Kwok, Ron/0000-0003-4051-5896</t>
  </si>
  <si>
    <t>NERC [bas0100033] Funding Source: UKRI; Natural Environment Research Council [bas0100033] Funding Source: researchfish</t>
  </si>
  <si>
    <t>NERC(UK Research &amp; Innovation (UKRI)Natural Environment Research Council (NERC)); Natural Environment Research Council(UK Research &amp; Innovation (UKRI)Natural Environment Research Council (NERC))</t>
  </si>
  <si>
    <t>10.1002/2016GL070655</t>
  </si>
  <si>
    <t>WOS:000386939800053</t>
  </si>
  <si>
    <t>Gillet-Chaulet, F; Durand, G; Gagliardini, O; Mosbeux, C; Mouginot, J; Rémy, F; Ritz, C</t>
  </si>
  <si>
    <t>Gillet-Chaulet, F.; Durand, G.; Gagliardini, O.; Mosbeux, C.; Mouginot, J.; Remy, F.; Ritz, C.</t>
  </si>
  <si>
    <t>Assimilation of surface velocities acquired between 1996 and 2010 to constrain the form of the basal friction law under Pine Island Glacier</t>
  </si>
  <si>
    <t>ice flow modeling; subglacial conditions; inverse modeling</t>
  </si>
  <si>
    <t>ANTARCTIC ICE-SHEET; SUBGLACIAL WATER-SYSTEM; WEST ANTARCTICA; STREAM-B; OUTLET GLACIERS; FLOW; MODEL; TILL; GREENLAND; BED</t>
  </si>
  <si>
    <t>In ice-sheet models, slip conditions at the base between the ice and the bed are parameterized by a friction law. The most common relation has two poorly constrained parameters, C and m. The basal slipperiness coefficient, C, depends on local unobserved quantities and is routinely inferred using inverse methods. While model results have shown that transient responses to external forcing are highly sensitive to the stress exponent m, no consensus value has emerged, with values commonly used ranging from 1 to depending on the slip processes. By assimilation of Pine Island Glacier surface velocities from 1996 to 2010, we show that observed accelerations are best reproduced with m5. We conclude that basal motion, in much of the fast flowing region, is governed by plastic deformation of the underlying sediments. This implies that the glacier bed in this area cannot deliver resistive stresses higher than today, making the drainage basin potentially more sensitive to dynamical perturbations than predicted with models using standard values m = 1 or 3.</t>
  </si>
  <si>
    <t>[Gillet-Chaulet, F.; Durand, G.; Gagliardini, O.; Mosbeux, C.; Ritz, C.] Univ Grenoble Alpes, CNRS, IRD, IGE, Grenoble, France; [Mouginot, J.] Univ Calif Irvine, Dept Earth Syst Sci, Irvine, CA USA; [Remy, F.] IRD, UPS, CNES, Lab Etud Geophys &amp; Oceanog Spatiale,CNRS, Toulouse, France</t>
  </si>
  <si>
    <t>Centre National de la Recherche Scientifique (CNRS); Communaute Universite Grenoble Alpes; Universite Grenoble Alpes (UGA); Institut de Recherche pour le Developpement (IRD); University of California System; University of California Irvine; Universite de Toulouse; Universite Toulouse III - Paul Sabatier; Centre National de la Recherche Scientifique (CNRS); Institut de Recherche pour le Developpement (IRD); Laboratoire d'Etudes en Geophysique et oceanographie spatiales</t>
  </si>
  <si>
    <t>Gillet-Chaulet, F (corresponding author), Univ Grenoble Alpes, CNRS, IRD, IGE, Grenoble, France.</t>
  </si>
  <si>
    <t>Fabien.Gillet-Chaulet@univ-grenoble-alpes.fr</t>
  </si>
  <si>
    <t>Mouginot, Jeremie/G-7045-2015; Gagliardini, Olivier/GQQ-1222-2022</t>
  </si>
  <si>
    <t>Mouginot, Jeremie/0000-0001-9155-5455; Gagliardini, Olivier/0000-0001-9162-3518; Ritz, Catherine/0000-0003-0785-8571; Mosbeux, Cyrille/0009-0005-3075-7754; Durand, Gael/0000-0001-8979-2355</t>
  </si>
  <si>
    <t>French National Research Agency (ANR) under the SUMER [ANR-12-BS06-0018]; Rhone-Alpes region [CPER07-13 CIRA]; OSUG@2020 labex [ANR10 LABX56]; Equip@Meso project [ANR-10-EQPX-29-01]; Agence Nationale de la Recherche (ANR) [ANR-12-BS06-0018] Funding Source: Agence Nationale de la Recherche (ANR)</t>
  </si>
  <si>
    <t>French National Research Agency (ANR) under the SUMER(Agence Nationale de la Recherche (ANR)); Rhone-Alpes region(Region Auvergne-Rhone-Alpes); OSUG@2020 labex; Equip@Meso project; Agence Nationale de la Recherche (ANR)(Agence Nationale de la Recherche (ANR))</t>
  </si>
  <si>
    <t>This work was supported by French National Research Agency (ANR) under the SUMER (Blanc SIMI 6) 2012 project ANR-12-BS06-0018. LGGE is part of Labex OSUG@2020 (ANR10 LABX56). Most of the computations presented in this paper were performed using the Froggy platform of the CIMENT infrastructure (https://ciment.ujf-grenoble.fr), which is supported by the Rhone-Alpes region (GRANT CPER07-13 CIRA), the OSUG@2020 labex (reference ANR10 LABX56), and the Equip@Meso project (reference ANR-10-EQPX-29-01) of the programme Investissements d'Avenir supervised by the Agence Nationale pour la Recherche. The data used are listed in the references. The authors thank the three anonymous reviewers for their constructive comments.</t>
  </si>
  <si>
    <t>10.1002/2016GL069937</t>
  </si>
  <si>
    <t>WOS:000386939800043</t>
  </si>
  <si>
    <t>Melbourne-Thomas, J; Corney, SP; Trebilco, R; Meiners, KM; Stevens, RP; Kawaguchi, S; Sumner, MD; Constable, AJ</t>
  </si>
  <si>
    <t>Melbourne-Thomas, J.; Corney, S. P.; Trebilco, R.; Meiners, K. M.; Stevens, R. P.; Kawaguchi, S.; Sumner, M. D.; Constable, A. J.</t>
  </si>
  <si>
    <t>Under ice habitats for Antarctic krill larvae: Could less mean more under climate warming?</t>
  </si>
  <si>
    <t>Antarctic krill; sea ice habitat; climate change; habitat model</t>
  </si>
  <si>
    <t>EUPHAUSIA-SUPERBA; SEA-ICE; VARIABILITY; RECRUITMENT; SENSITIVITY; ABUNDANCE; GROWTH; WINTER; WEST</t>
  </si>
  <si>
    <t>Overwintering of larvae underneath Antarctic pack ice is a critical stage in the life cycle of Antarctic krill. However, there are no circumpolar assessments of available habitat for larval krill, making it difficult to evaluate how climate change may impact this life stage. We use outputs from a circumpolar sea ice model, together with a set of simple assumptions regarding key habitat features, to identify possible regions of larval krill habitat around Antarctica during winter. We assume that the location and suitability of habitat is determined by both food availability and three-dimensional complexity of the sea ice. A comparison of the combined area of these regions under current conditions with a warm climate scenario indicates that while total areal sea ice extent decreases, there is a consistently larger area of potential larval krill habitat under warm conditions. These findings suggest that decreases in sea ice extent may not necessarily be detrimental for krill populations.</t>
  </si>
  <si>
    <t>[Melbourne-Thomas, J.; Meiners, K. M.; Kawaguchi, S.; Sumner, M. D.; Constable, A. J.] Australian Antarctic Div, Dept Environm, Kingston, Tas, Australia; [Melbourne-Thomas, J.; Corney, S. P.; Trebilco, R.; Meiners, K. M.; Stevens, R. P.; Kawaguchi, S.; Sumner, M. D.; Constable, A. J.] Univ Tasmania, Antarctic Climate &amp; Ecosyst Cooperat Res Ctr, Hobart, Tas, Australia</t>
  </si>
  <si>
    <t>Australian Antarctic Division; Antarctic Climate &amp; Ecosystems Cooperative Research Centre (ACE CRC); University of Tasmania</t>
  </si>
  <si>
    <t>Melbourne-Thomas, J (corresponding author), Australian Antarctic Div, Dept Environm, Kingston, Tas, Australia.;Melbourne-Thomas, J (corresponding author), Univ Tasmania, Antarctic Climate &amp; Ecosyst Cooperat Res Ctr, Hobart, Tas, Australia.</t>
  </si>
  <si>
    <t>Jess.Melbourne-Thomas@aad.gov.au</t>
  </si>
  <si>
    <t>Trebilco, Rowan/I-5311-2012; Sumner, Michael D/J-3478-2013; Kawaguchi, So/N-1795-2017; Melbourne-Thomas, Jess/N-2437-2019</t>
  </si>
  <si>
    <t>Trebilco, Rowan/0000-0001-9712-8016; Melbourne-Thomas, Jess/0000-0001-6585-876X; Kawaguchi, So/0000-0002-2042-5095; Sumner, Michael/0000-0002-2471-7511</t>
  </si>
  <si>
    <t>Australian Government's Cooperative Research Centres Programme through the Antarctic Climate and Ecosystem Cooperative Research Centre and through the Australian Antarctic Science Program [4343, 4347]</t>
  </si>
  <si>
    <t>Australian Government's Cooperative Research Centres Programme through the Antarctic Climate and Ecosystem Cooperative Research Centre and through the Australian Antarctic Science Program(Australian GovernmentDepartment of Industry, Innovation and ScienceCooperative Research Centres (CRC) Programme)</t>
  </si>
  <si>
    <t>This study was supported by the Australian Government's Cooperative Research Centres Programme through the Antarctic Climate and Ecosystem Cooperative Research Centre and through the Australian Antarctic Science Program (projects 4343 and 4347). Model output supporting the conclusions in this paper is available via the Australian Antarctic Data Centre (doi: 10.4225/15/57EB552A7A58C).</t>
  </si>
  <si>
    <t>10.1002/2016GL070846</t>
  </si>
  <si>
    <t>WOS:000386939800060</t>
  </si>
  <si>
    <t>Spiegel, C; Lindow, J; Kamp, PJJ; Meisel, O; Mukasa, S; Lisker, F; Kuhn, G; Gohl, K</t>
  </si>
  <si>
    <t>Spiegel, Cornelia; Lindow, Julia; Kamp, Peter J. J.; Meisel, Ove; Mukasa, Samuel; Lisker, Frank; Kuhn, Gerhard; Gohl, Karsten</t>
  </si>
  <si>
    <t>Tectonomorphic evolution of Marie Byrd Land - Implications for Cenozoic rifting activity and onset of West Antarctic glaciation</t>
  </si>
  <si>
    <t>AMUNDSEN SEA EMBAYMENT; NORTHERN VICTORIA-LAND; GROUNDING-LINE RETREAT; PINE ISLAND GLACIER; OLIGOCENE ICE-SHEET; FISSION-TRACK; TRANSANTARCTIC MOUNTAINS; FOSDICK MOUNTAINS; PACIFIC MARGIN; APATITE</t>
  </si>
  <si>
    <t>The West Antarctic Rift System is one of the largest continental rifts on Earth. Because it is obscured by the West Antarctic Ice Sheet, its evolution is still poorly understood. Here we present the first low-temperature thermochronology data from eastern Marie Byrd Land, an area that stretches similar to 1000 km along the rift system, in order to shed light on its development. Furthermore, we petrographically analysed glacially transported detritus deposited in the marine realm, offshore Marie Byrd Land, to augment the data available from the limited terrestrial exposures. Our data provide information about the subglacial geology, and the tectonic and morphologic history of the rift system. Dominant lithologies of coastal Marie Byrd Land are igneous rocks that intruded (presumably early Paleozoic) low-grade meta-sedimentary rocks. No evidence was found for un-metamorphosed sedimentary rocks exposed beneath the ice. According to the thermochronology data, rifting occurred in two episodes. The earlier occurred between similar to 100 and 60 Ma and led to widespread tectonic denudation and block faulting over large areas of Marie Byrd Land. The later episode started during the Early Oligocene and was confined to western Pine Island Bay area. This Oligocene tectonic activity may be linked kinematically to previously described rift structures reaching into Bellingshausen Sea and beneath Pine Island Glacier, all assumed to be of Cenozoic age. However, our data provide the first direct evidence for Cenozoic tectonic activity along the rift system outside the Ross Sea area. Furthermore, we tentatively suggest that uplift of the Marie Byrd Land dome only started at similar to 20 Ma; that is, nearly 10 Ma later than previously assumed. The Marie ByrdLand dome is the only extensive part of continental West Antarctica elevated above sea level. Since the formation of a continental ice sheet requires a significant area of emergent land, our data, although only based on few samples, imply that extensive glaciation of this part of West Antarctica may have only started since the early Miocene. (C) 2016 Elsevier B.V. All rights reserved.</t>
  </si>
  <si>
    <t>[Spiegel, Cornelia; Lindow, Julia; Meisel, Ove; Lisker, Frank] Univ Bremen, Dept Geosci, Postbox 330 440, D-28334 Bremen, Germany; [Kamp, Peter J. J.] Univ Waikato, Sch Sci, Hamilton 2001, New Zealand; [Mukasa, Samuel] Univ New Hampshire, Dept Earth Sci, 56 Coll Rd, Durham, NH 03824 USA; [Kuhn, Gerhard; Gohl, Karsten] Helmholtz Zentrum Polar &amp; Meeresforsch, Alfred Wegener Inst, Alten Hafen 26, D-27568 Bremerhaven, Germany</t>
  </si>
  <si>
    <t>Spiegel, C (corresponding author), Univ Bremen, Dept Geosci, Postbox 330 440, D-28334 Bremen, Germany.</t>
  </si>
  <si>
    <t>spiegelc@uni-bremen.de</t>
  </si>
  <si>
    <t>Lindow, Julia/0000-0002-7922-5135; Lisker, Frank/0000-0002-1615-7315; Gohl, Karsten/0000-0002-9558-2116; Spiegel, Cornelia/0000-0002-1432-3447</t>
  </si>
  <si>
    <t>German Science Foundation DFG [SP 673/6-1, SSP 1158]</t>
  </si>
  <si>
    <t>German Science Foundation DFG(German Research Foundation (DFG))</t>
  </si>
  <si>
    <t>This study was financially supported by the German Science Foundation DFG, grant no SP 673/6-1, in the framework of the Priority Programme SSP 1158 Antarctic Research with comparative investigations in Arctic ice areas. We specially thank Captain Uwe Pahl of RV Polarstern and his crew, Klaus Hammrich and Hans Heckmann from Heli Service International, Mirko Scheinert and Ralf Rosenau (TU Dresden) for their support during sampling, Anke Toltz and her team of students assistants (University of Bremen) for sample processing, and Barry Kohn (University of Melbourne) for his support regarding apatite (U-Th-Sm)/He analysis. Two anonymous reviewers are thanked for their insightful comments that helped improve an earlier version of this paper, and Sierd Cloetingh is thanked for the editorial handling.</t>
  </si>
  <si>
    <t>10.1016/j.gloplacha.2016.08.013</t>
  </si>
  <si>
    <t>DZ1LL</t>
  </si>
  <si>
    <t>WOS:000385599800010</t>
  </si>
  <si>
    <t>Bowman, V; Ineson, J; Riding, J; Crame, J; Francis, J; Condon, D; Whittle, R; Ferraccioli, F</t>
  </si>
  <si>
    <t>Bowman, V.; Ineson, J.; Riding, J.; Crame, J.; Francis, J.; Condon, D.; Whittle, R.; Ferraccioli, F.</t>
  </si>
  <si>
    <t>The Paleocene of Antarctica: Dinoflagellate cyst biostratigraphy, chronostratigraphy and implications for the palaeo-Pacific margin of Gondwana</t>
  </si>
  <si>
    <t>GONDWANA RESEARCH</t>
  </si>
  <si>
    <t>Cretaceous-Paleocene; Antarctic Peninsula; Gondwana; Biostratigraphy; Palaeogeography</t>
  </si>
  <si>
    <t>K-T BOUNDARY; SEYMOUR-ISLAND; NEW-ZEALAND; TRANSANTARCTIC MOUNTAINS; TECTONIC RECONSTRUCTIONS; PALYNOLOGICAL EVIDENCE; WEST ANTARCTICA; MARAMBIO GROUP; PALEOGENE; EVOLUTION</t>
  </si>
  <si>
    <t>The Paleocene (66-56 Ma) was a critical time interval for understanding recovery from mass extinction in high palaeolatitudeswhen global climate waswarmer than today. A unique sedimentary succession fromSeymour Island (Antarctic Peninsula) provides key referencematerial from this important phase of the early Cenozoic. Dinoflagellate cyst data froma 376mthick stratigraphical section, including the Cretaceous-Paleogene boundary, is correlatedwith biozones from New Zealand, the East Tasman Plateau and southeastern Australia. A detailed age model is suggested for the Lopez de Bertodano (LDBF) and Sobral (SF) formations based on dinoflagellate cyst biostratigraphy and U-Pb dating of zircons, supported by correlatedmagnetostratigraphy and strontium isotope values frommacrofossils. The top of the LDBF is confirmed as latest Maastrichtian to earliest Danian (similar to 66.2-65.65 Ma) in age. The overlying SF is mostly Danian in age, with an inferred hiatus near the top overlain by sediments dated as ? late Thanetian. Rare Apectodinium homomorphum first appear in the uppermost SF; the earliest in situ record from Antarctica. The distribution of marine and terrestrial fossils from uppermost Cretaceous to Eocene sediments in Patagonia, Antarctica, New Zealand and Australia required both sea and land connections between these fragments of Gondwana. Fossil evidence and reconstructions of Antarctic palaeogeography and palaeotopography reveal evidence for persistent embayments in the proto-Weddell and Ross Sea regions at this time. We conclude that a coastal dispersal route along the palaeo-Pacificmargin of Gondwana could explain the fossil distribution without requiring a transAntarctic strait or closely spaced archipelago. A region in the West to East Antarctic boundary zone, elevated until the early Paleogene, perhaps acted as a site for high elevation ice caps. This supports fossil, geochemical and sedimentological evidence for cold climate intervals and significant sea level falls during the Maastrichtian and Paleocene. (C) 2015 The Authors. Published by Elsevier B.V. on behalf of International Association for Gondwana Research.</t>
  </si>
  <si>
    <t>[Bowman, V.; Crame, J.; Francis, J.; Whittle, R.; Ferraccioli, F.] British Antarctic Survey, Madingley Rd, Cambridge CB3 0ET, England; [Ineson, J.] Geol Survey Denmark &amp; Greenland, Oster Volgade 10, DK-1350 Copenhagen K, Denmark; [Riding, J.; Condon, D.] British Geol Survey, Ctr Environm Sci, Keyworth NG12 5GG, Notts, England</t>
  </si>
  <si>
    <t>UK Research &amp; Innovation (UKRI); Natural Environment Research Council (NERC); NERC British Antarctic Survey; Geological Survey Of Denmark &amp; Greenland; UK Research &amp; Innovation (UKRI); Natural Environment Research Council (NERC); NERC British Geological Survey</t>
  </si>
  <si>
    <t>Bowman, V (corresponding author), British Antarctic Survey, Madingley Rd, Cambridge CB3 0ET, England.</t>
  </si>
  <si>
    <t>vanessa.bowman@bas.ac.uk</t>
  </si>
  <si>
    <t>Ineson, Jon/G-9800-2018; Condon, Daniel/A-4249-2008</t>
  </si>
  <si>
    <t>Ineson, Jon/0000-0003-0017-3705; Condon, Daniel/0000-0002-9082-3283; Bowman, Vanessa/0000-0002-4887-3949; Ferraccioli, Fausto/0000-0002-9347-4736</t>
  </si>
  <si>
    <t>UK Natural Environment Research Council (NERC) [NE/I00582X/1, NE/C506399/1]; School of Earth and Environment, University of Leeds, UK; Environmental Change and Evolution programme of The British Antarctic Survey; Natural Environment Research Council [bas0100030, NE/I005803/1, NE/I00582X/1, bas0100029, NE/I00582X/2, bas0100036] Funding Source: researchfish; NERC [bas0100036, NE/I00582X/1, bas0100030, NE/I005803/1, bas0100029, NE/I00582X/2] Funding Source: UKRI</t>
  </si>
  <si>
    <t>UK Natural Environment Research Council (NERC)(UK Research &amp; Innovation (UKRI)Natural Environment Research Council (NERC)); School of Earth and Environment, University of Leeds, UK; Environmental Change and Evolution programme of The British Antarctic Survey; Natural Environment Research Council(UK Research &amp; Innovation (UKRI)Natural Environment Research Council (NERC)); NERC(UK Research &amp; Innovation (UKRI)Natural Environment Research Council (NERC))</t>
  </si>
  <si>
    <t>UK Natural Environment Research Council (NERC) grants NE/I00582X/1 (PALEOPOLAR) and NE/C506399/1 (Antarctic Funding Initiative) funded this research. The authors thank the School of Earth and Environment, University of Leeds, UK, for support and use of their facilities where this work was initiated. The Environmental Change and Evolution programme of The British Antarctic Survey awarded additional funding to Bowman for STRATABUGS palynological software. The authors would like to thank the rest of the PALEOPOLAR team, particularly Stuart Robinson (University of Oxford) and Dave Kemp (University of Aberdeen), for useful discussions. Jette Halskov (GEUS) is thanked for drafting the sedimentological log. The British Antarctic Survey provided field logistics. James B. Riding publishes with the permission of the Executive Director, British Geological Survey (NERC), Jon R. Ineson with the permission of the Geological Survey of Denmark and Greenland (GEUS). We would also like towarmly thank Chris Hollis and Erica Crouch (GNS Science, New Zealand), and an additional anonymous reviewer, whose constructive comments significantly improved the manuscript.</t>
  </si>
  <si>
    <t>1342-937X</t>
  </si>
  <si>
    <t>1878-0571</t>
  </si>
  <si>
    <t>GONDWANA RES</t>
  </si>
  <si>
    <t>Gondwana Res.</t>
  </si>
  <si>
    <t>10.1016/j.gr.2015.10.018</t>
  </si>
  <si>
    <t>EQ2BF</t>
  </si>
  <si>
    <t>WOS:000397872600009</t>
  </si>
  <si>
    <t>Murray, AE; Rack, FR; Zook, R; Williams, MJM; Higham, ML; Broe, M; Kaufmann, RS; Daly, M</t>
  </si>
  <si>
    <t>Murray, Alison E.; Rack, Frank R.; Zook, Robert; Williams, Michael J. M.; Higham, Mary L.; Broe, Michael; Kaufmann, Ronald S.; Daly, Marymegan</t>
  </si>
  <si>
    <t>Microbiome Composition and Diversity of the Ice-Dwelling Sea Anemone, Edwardsiella andrillae</t>
  </si>
  <si>
    <t>CORAL LOPHELIA-PERTUSA; BACTERIAL COMMUNITIES; GENE-EXPRESSION; ROSS SEA; ARCHAEA; IDENTIFICATION; VARIABILITY; ADAPTATION; ETHANOL; HEALTH</t>
  </si>
  <si>
    <t>Edwardsiella andrillae is a sea anemone (Cnidaria: Anthozoa: Actiniaria) only known to live embedded in the ice at the seawater interface on the underside of the Ross Ice Shelf, Antarctica. Although the anatomy and morphological characteristics of E. andrillae have been described, the adaptations of this species to the under-ice ecosystem have yet to be examined. One feature that may be important to the physiology and ecology of E. andrillae is its microbiome, which may play a role in health and survival, as has been deduced in other metazoans, including anthozoans. Here we describe the microbiome of five specimens of E. andrillae, compare the diversity we recovered to that known for temperate anemones and another Antarctic cnidarian, and consider the phylogenetic and functional implications of microbial diversity for these animals. The E. andrillae microbiome was relatively low in diversity, with seven phyla detected, yet included substantial phylogenetic novelty. Among the five anemones investigated, the distribution of microbial taxa varied; this trait appears to be shared by many anthozoans. Most importantly, specimens either appeared to be dominated by Proteobacteria-affiliated members or by deeply branching Tenericute sequences. There were few closely related sequence types that were common to temperate and Antarctic sea anemone microbiomes, the exception being an Acinetobacter-related representative. Similar observations were made between microbes associated with E. andrillae and an Antarctic soft coral; however, there were several closely-related, low abundance Gammaproteobacteria in both Antarctic microbiomes, particularly from the soft coral, that are also commonly detected in Southern Ocean seawater. Although this preliminary study leaves open many questions concerning microbiome diversity and its role in host ecology, we identify major lineages of microbes (e.g., diverse deep-branching Alphaproteobacteria, Epsilonproteobacteria, and divergent Tenericutes affiliates) that may play critical roles, and we highlight the current understanding and the need for future studies of sea anemone-microbiome relationships.</t>
  </si>
  <si>
    <t>[Murray, Alison E.; Higham, Mary L.] Desert Res Inst, Div Earth &amp; Ecosyst Sci, 2215 Raggio Pkwy, Reno, NV 89512 USA; [Broe, Michael; Daly, Marymegan] Ohio State Univ, Dept Evolut Ecol &amp; Organismal Biol, 1315 Kinnear Rd, Columbus, OH 43212 USA; [Williams, Michael J. M.] Natl Inst Water &amp; Atmospher Res, 301 Evans Bay Parade, Wellington 6021, New Zealand; [Rack, Frank R.; Zook, Robert] Univ Nebraska, ANDRILL Sci Management Off, 126 Bessey Hall, Lincoln, NE 68588 USA; [Kaufmann, Ronald S.] Univ San Diego, Dept Environm &amp; Ocean Sci, 5998 Alcala Pk, San Diego, CA 92110 USA</t>
  </si>
  <si>
    <t>Nevada System of Higher Education (NSHE); Desert Research Institute NSHE; University System of Ohio; Ohio State University; National Institute of Water &amp; Atmospheric Research (NIWA) - New Zealand; University of Nebraska System; University of Nebraska Lincoln; University of San Diego</t>
  </si>
  <si>
    <t>Daly, M (corresponding author), Ohio State Univ, Dept Evolut Ecol &amp; Organismal Biol, 1315 Kinnear Rd, Columbus, OH 43212 USA.</t>
  </si>
  <si>
    <t>daly.66@osu.edu0</t>
  </si>
  <si>
    <t>Daly, Marymegan/F-9178-2011</t>
  </si>
  <si>
    <t>Division Of Integrative Organismal Systems; Direct For Biological Sciences [1546672] Funding Source: National Science Foundation</t>
  </si>
  <si>
    <t>Division Of Integrative Organismal Systems; Direct For Biological Sciences(National Science Foundation (NSF)NSF - Directorate for Biological Sciences (BIO)NSF - Division of Integrative Organismal Systems (IOS))</t>
  </si>
  <si>
    <t>10.1093/icb/icw095</t>
  </si>
  <si>
    <t>WOS:000384303700006</t>
  </si>
  <si>
    <t>Huang, Y; Siems, ST; Manton, MJ; Rosenfeld, D; Marchand, R; McFarquhar, GM; Protat, A</t>
  </si>
  <si>
    <t>Huang, Yi; Siems, Steven T.; Manton, Michael J.; Rosenfeld, Daniel; Marchand, Roger; McFarquhar, Greg M.; Protat, Alain</t>
  </si>
  <si>
    <t>What is the Role of Sea Surface Temperature in Modulating Cloud and Precipitation Properties over the Southern Ocean?</t>
  </si>
  <si>
    <t>SUPERCOOLED LIQUID CLOUDS; ANTARCTIC POLAR FRONT; PART I SENSITIVITY; MIXED-PHASE CLOUD; A-TRAIN; RADIATION BUDGET; MESOSCALE EDDIES; DROPLET GROWTH; GULF-STREAM; ACE 1</t>
  </si>
  <si>
    <t>This study employs four years of spatiotemporally collocated A-Train satellite observations to investigate cloud and precipitation characteristics in relation to the underlying properties of the Southern Ocean (SO). Results show that liquid-phase cloud properties strongly correlate with the sea surface temperature (SST). In summer, ubiquitous supercooled liquid water (SLW) is observed over SSTs less than about 4 degrees C. Cloud-top temperature (CTT) and effective radius of liquid-phase clouds generally decrease for colder SSTs, whereas the opposite trend is observed for cloud-top height, cloud optical thickness, and liquid water path. The deduced cloud depth is larger over the colder oceans. Notable differences are observed between precipitating and nonprecipitating clouds and between different ocean sectors. Using a novel joint SST-CTT histogram, two distinct liquid-phase cloud types are identified, where the retrieved particle size appears to increase with decreasing CTT over warmer water (SSTs&gt; similar to 7 degrees C), while the opposite is true over colder water. Acomparison with the Northern Hemisphere (NH) storm-track regions suggests that the ubiquitous SLW with markedly smaller droplet size is a unique feature for the cold SO (occurring where SSTs&lt; similar to 4 degrees C), while the presence of this cloud type is much less frequent over the NH counterparts, where the SSTs are rarely colder than about 4 degrees C at any time of the year. This study also suggests that precipitation, which has a profound influence on cloud properties, remains poorly observed over the SO with the current spaceborne sensors. Large uncertainties in precipitation properties are associated with the ubiquitous boundary layer clouds within the lowest kilometer of the atmosphere.</t>
  </si>
  <si>
    <t>[Huang, Yi; Siems, Steven T.; Manton, Michael J.] Monash Univ, Sch Earth Atmosphere &amp; Environm, Melbourne, Vic, Australia; [Huang, Yi; Siems, Steven T.] Monash Univ, Australian Res Council Ctr Excellence Climate Sys, Melbourne, Vic, Australia; [Rosenfeld, Daniel] Hebrew Univ Jerusalem, Inst Earth Sci, Jerusalem, Israel; [Marchand, Roger] Univ Washington, Dept Atmospher Sci, Seattle, WA 98195 USA; [McFarquhar, Greg M.] Univ Illinois, Dept Atmospher Sci, Urbana, IL USA; [Protat, Alain] Australian Bur Meteorol, Melbourne, Vic, Australia</t>
  </si>
  <si>
    <t>Melbourne Genomics Health Alliance; Monash University; Monash University; Melbourne Genomics Health Alliance; Hebrew University of Jerusalem; University of Washington; University of Washington Seattle; University of Illinois System; University of Illinois Urbana-Champaign; Bureau of Meteorology - Australia</t>
  </si>
  <si>
    <t>Huang, Y (corresponding author), Monash Univ, Sch Math Sci, Clayton Campus,Wellington Rd, Clayton, Vic 3800, Australia.</t>
  </si>
  <si>
    <t>vivian.huang@monash.edu</t>
  </si>
  <si>
    <t>Rosenfeld, Daniel/AAJ-4617-2021; Siems, Steven T/C-8339-2013; Rosenfeld, Daniel/F-6077-2016</t>
  </si>
  <si>
    <t>Rosenfeld, Daniel/0000-0002-0784-7656; Siems, Steven T/0000-0002-8478-533X; Rosenfeld, Daniel/0000-0002-0784-7656; Huang, Yi/0000-0001-8144-1227; Protat, Alain/0000-0002-8933-874X</t>
  </si>
  <si>
    <t>Australian Research Council [LP120100115]; Australian Research Council [LP120100115] Funding Source: Australian Research Council</t>
  </si>
  <si>
    <t>Australian Research Council(Australian Research Council); Australian Research Council(Australian Research Council)</t>
  </si>
  <si>
    <t>This work is supported by Australian Research Council Grant LP120100115. The research was directly inspired by the Workshop on Clouds, Aerosols, Radiation and Air-Sea Interface of the Southern Ocean: Establishing Directions for Future Research hosted by Prof. Robert Wood at University of Washington in March 2014.</t>
  </si>
  <si>
    <t>10.1175/JCLI-D-15-0768.1</t>
  </si>
  <si>
    <t>WOS:000384149700018</t>
  </si>
  <si>
    <t>McWatters, RS; Rutter, A; Rowe, RK</t>
  </si>
  <si>
    <t>McWatters, Rebecca S.; Rutter, Allison; Rowe, R. Kerry</t>
  </si>
  <si>
    <t>Geomembrane applications for controlling diffusive migration of petroleum hydrocarbons in cold region environments</t>
  </si>
  <si>
    <t>JOURNAL OF ENVIRONMENTAL MANAGEMENT</t>
  </si>
  <si>
    <t>Permeation; Barrier systems; Landfills; Cover systems; Contaminated sites; Arctic; Permafrost</t>
  </si>
  <si>
    <t>ORGANIC-COMPOUNDS; CONTAMINATED SOILS; HDPE; REMEDIATION; PERMEATION; SORPTION; BARRIER; COEFFICIENTS; PERFORMANCE; TRANSPORT</t>
  </si>
  <si>
    <t>Laboratory permeation tests examine the migration of aromatic hydrocarbons (benzene, toluene, ethylbenzene and xylenes (BTEX)) at 2, 7 and 14 degrees C through three different types of geomembrane (high density polyethylene (HDPE), linear low density polyethylene (LLDPE) and polyvinyl chloride (PVC)). Tests on both virgin and exhumed field samples provide permeation parameters (partitioning (S-gf), diffusion (D-g), and permeation (P-g) coefficients) for the three geomembranes. These results are combined with published values for the same geomembranes at 23 degrees C to establish an Arrhenius relationship that can be used to estimate diffusion parameters at temperatures other than those for which tests were conducted. Tests on an HDPE geomembrane sample exhumed after 3 years from a landfill site in the Canadian Arctic showed no significant difference in diffusion characteristics compared to an otherwise similar unaged and unexposed HDPE geomembrane. Contaminant transport modeling for benzene through HDPE, LLPDE and PVC in a simulated landfill cover show that for the conditions examined the presence of any of the three geomembranes below the 2 m thick soil cover substantially reduced the contaminant flux compared to the soils alone for realistic degrees of saturation in the cover soil. For these same realistic cold climate cases, of the three geomembranes examined, the HDPE geomembrane was the most effective at controlling the contaminant flux out of the landfill. An increase in soil cover and liner temperature by 2 degrees C (from potential climate change effects) above those currently measured at an Arctic landfill showed an increase in contaminant transport through the cover system for all geomembranes due to the increase surface temperature (especially in the summer months). Modeling of the addition of an extra 0.5 m of soil cover, as a mitigation measure for the effects of climate change, indicates that the main benefit of adding this unsaturated soil was to reduce the geomembrane temperature and that this did reduce the magnitude of the increase in contaminant transport. (C) 2016 Elsevier Ltd. All rights reserved.</t>
  </si>
  <si>
    <t>[McWatters, Rebecca S.] Antartctic Conservat &amp; Management, Australian Antarctic Div, Kingston, Tas, Australia; [Rutter, Allison] Queens Univ, Sch Environm Studies, Analyt Serv Unit, Kingston, ON, Canada; [McWatters, Rebecca S.; Rowe, R. Kerry] Queens Univ, GeoEngn Ctr Queens RMC, Kingston, ON, Canada</t>
  </si>
  <si>
    <t>Australian Antarctic Division; Queens University - Canada; Queens University - Canada; Royal Military College - Canada</t>
  </si>
  <si>
    <t>McWatters, RS (corresponding author), Antartctic Conservat &amp; Management, Australian Antarctic Div, Kingston, Tas, Australia.</t>
  </si>
  <si>
    <t>rebecca.mcwatters@aad.gov.au</t>
  </si>
  <si>
    <t>Rowe, R. Kerry/0000-0002-1009-0447</t>
  </si>
  <si>
    <t>0301-4797</t>
  </si>
  <si>
    <t>1095-8630</t>
  </si>
  <si>
    <t>J ENVIRON MANAGE</t>
  </si>
  <si>
    <t>J. Environ. Manage.</t>
  </si>
  <si>
    <t>10.1016/j.jenvman.2016.05.065</t>
  </si>
  <si>
    <t>DV9WA</t>
  </si>
  <si>
    <t>WOS:000383291700010</t>
  </si>
  <si>
    <t>Pan, TCF; Applebaum, SL; Lentz, BA; Manahan, DT</t>
  </si>
  <si>
    <t>Pan, T. -C. Francis; Applebaum, Scott L.; Lentz, Brian A.; Manahan, Donal T.</t>
  </si>
  <si>
    <t>Predicting phenotypic variation in growth and metabolism of marine invertebrate larvae</t>
  </si>
  <si>
    <t>JOURNAL OF EXPERIMENTAL MARINE BIOLOGY AND ECOLOGY</t>
  </si>
  <si>
    <t>Physiology; Bivalve; Larvae; Growth; Metabolism; Ion transport</t>
  </si>
  <si>
    <t>OYSTER CRASSOSTREA-GIGAS; GENETICALLY-DETERMINED VARIATION; NA+/K+-ATPASE ACTIVITY; ANTARCTIC SEA-URCHIN; OCEAN ACIDIFICATION; CONSUMING PROCESSES; PROTEIN-SYNTHESIS; CRYSTAL-STRUCTURE; BIVALVE LARVAE; REEF FISH</t>
  </si>
  <si>
    <t>Understanding the mechanisms that establish variation in growth and metabolism is fundamental in evolutionary and physiological ecology. Although a genetic basis is frequently invoked to explain variation in performance, it remains challenging to study such processes in marine animals due to the lack of genetically-enabled model organisms. The Pacific oyster Crassostrea gigas is a species for which pedigreed genetic lines have been established. In this study, a series of larval families was produced by crossbreeding pedigreed lines to yield large-volume larval cultures to provide sufficient biomass for biochemical and physiological analyses. Major phenotypic contrasts in larval growth rate were evident. A primary goal of this study was to investigate the physiological bases for this variation in growth and to identify biomarkers that are predictive of growth potential. To that end, measurements were undertaken to define the relationship between rates of growth, respiration, and ion transport by the sodium-potassium pump (in vivo Na+,K+-ATPase activity). The relationship of respiration and ion transport during larval growth showed that, on average, 17% of total energy demand was allocated to support ion transport. Further analyses of total Na+,K+-ATPase activity (in vitro enzyme assay) revealed that 41% of the total metabolic rate could be accounted for by this single process if all of the enzyme was physiologically active. Significant biological variation was evident, however, when size-specific comparisons were made across different larval families. These differences were up to (i) 2.2-fold in ion transport rates; (ii) 2.8-fold in the allocation of energy to support the metabolic demand of ion transport; (iii) 3.5-fold in total enzyme activity; (iv) 3.9-fold in the physiologically active fraction of total enzyme; and (v) 3.1-fold in gene expression. These differences among families highlight the need to distinguish genetic from environmental causes of biological variation. Notably, for inferences of physiological changes based upon molecular biological analyses, the measured rates of ion transport were not predicted from concurrent measurements of gene expression or enzyme activity. Size-corrected rates of ion transport were predictive of variation in growth rates among different larval families, supporting the application of physiological rates of ion transport as a predictor of growth differences. Evolutionary variation in physiological performance has important implications for understanding the ecology of larval forms. Developing physiological indices will be of value in predicting growth and metabolism and corresponding survival of larval forms of different genotypes in response to environmental change. (C) 2016 Elsevier B.V. All rights reserved.</t>
  </si>
  <si>
    <t>[Pan, T. -C. Francis; Applebaum, Scott L.; Lentz, Brian A.; Manahan, Donal T.] Univ Southern Calif, Dept Biol Sci, Los Angeles, CA 90089 USA</t>
  </si>
  <si>
    <t>University of Southern California</t>
  </si>
  <si>
    <t>Manahan, DT (corresponding author), Univ Southern Calif, Dept Biol Sci, Los Angeles, CA 90089 USA.</t>
  </si>
  <si>
    <t>manahan@usc.edu</t>
  </si>
  <si>
    <t>Pan, Francis T. C./L-6815-2019; Applebaum, Scott L/S-8557-2018; Pan, Francis/E-5243-2019</t>
  </si>
  <si>
    <t>Pan, Francis T. C./0000-0002-1550-4581; Applebaum, Scott/0000-0003-4384-9349</t>
  </si>
  <si>
    <t>National Science Foundation [EF 1220587]; Emerging Frontiers; Direct For Biological Sciences [1220587] Funding Source: National Science Foundation</t>
  </si>
  <si>
    <t>National Science Foundation(National Science Foundation (NSF)); Emerging Frontiers; Direct For Biological Sciences(National Science Foundation (NSF)NSF - Directorate for Biological Sciences (BIO))</t>
  </si>
  <si>
    <t>We thank Taylor Shellfish Farms (Shelton, Washington) for their close collaboration in helping maintain the pedigreed lines used in this study. Our colleague, Dr. Dennis Hedgecock, provided invaluable advice and comments on the manuscript; his laboratory group also provided data on genotyping to confirm the parentage of the pedigreed broodstock used for experimental crosses. The work was supported by a grant from the National Science Foundation (EF 1220587). [SS]</t>
  </si>
  <si>
    <t>0022-0981</t>
  </si>
  <si>
    <t>1879-1697</t>
  </si>
  <si>
    <t>J EXP MAR BIOL ECOL</t>
  </si>
  <si>
    <t>J. Exp. Mar. Biol. Ecol.</t>
  </si>
  <si>
    <t>10.1016/j.jembe.2016.06.006</t>
  </si>
  <si>
    <t>DU7RX</t>
  </si>
  <si>
    <t>WOS:000382413400009</t>
  </si>
  <si>
    <t>Shatova, O; Wing, SR; Gault-Ringold, M; Wing, L; Hoffmann, LJ</t>
  </si>
  <si>
    <t>Shatova, Olga; Wing, Stephen R.; Gault-Ringold, Melanie; Wing, Lucy; Hoffmann, Linn J.</t>
  </si>
  <si>
    <t>Seabird guano enhances phytoplankton production in the Southern Ocean</t>
  </si>
  <si>
    <t>Phytoplankton; Southern Ocean; Guano fertilization; Seabird; Iron limitation</t>
  </si>
  <si>
    <t>PACIFIC SECTOR; IRON; LIMITATION; BIOMASS; ASSEMBLAGES; ENRICHMENT; NUTRIENTS; COLONIES; GROWTH; WATERS</t>
  </si>
  <si>
    <t>Six incubation experiments were carried out to investigate the phytoplankton biomass response to seabird guano-enrichment under different nutrient regimes. Study locations included Antarctic waters of the Ross Sea and sub-Antarctic waters offshore of the Otago Peninsula, both being characterized by iron limitation of phytoplankton productivity in summer, the Sub-Tropical Frontal Zone offshore of the Snares Islands, which is generally micronutrient-replete, and the island wake waters of the Snares Islands, which have a high nutrient supply from land. In all of the experiments the increase of phytoplankton biomass was higher in the treatments with guano addition compared to the controls. Guano additions were compared to Fe and macronutrients treatments (both added in quantities similar to those in the guano treatment) to shed light on which constituent(s) of guano are responsible for the observed increases in phytoplankton biomass. Macronutrients increased the phytoplankton biomass in the Sub-Tropical Frontal Zone, however, the response was less prominent than in the Guano treatment, suggesting synergetic effects of nutrients in seabird guano on phytoplankton production. It was also found that the pattern of response varied between the water masses with 6-10 days lag phase in the Sub-Antarctic water mass and no lag phase in Sub-Tropical Frontal Zone. The calculations presented here suggest that micro- and macronutrients delivered from seabird colonies on some of the sub-Antarctic islands may provide a significant amount of limiting nutrients to the nutrient budget of the surrounding coastal waters, potentially sufficient to sustain a local phytoplankton bloom. Findings of the present study indicate that biological recycling of nutrients by seabirds likely supports marine primary production and enhances productivity of associated food webs in the vicinity of islands. (C) 2016 Elsevier B.V. All rights reserved.</t>
  </si>
  <si>
    <t>[Shatova, Olga; Wing, Stephen R.; Wing, Lucy] Univ Otago, Dept Marine Sci, POB 56, Dunedin 9054, New Zealand; [Hoffmann, Linn J.] Univ Otago, Dept Bot, POB 56, Dunedin 9054, New Zealand; [Gault-Ringold, Melanie] Univ Otago, Dept Chem, POB 56, Dunedin 9054, New Zealand; [Hoffmann, Linn J.] Helmholtz Ctr Ocean Res Kiel, GEOMAR, Kiel, Germany</t>
  </si>
  <si>
    <t>University of Otago; University of Otago; University of Otago; Helmholtz Association; GEOMAR Helmholtz Center for Ocean Research Kiel</t>
  </si>
  <si>
    <t>Shatova, O (corresponding author), Univ Otago, Dept Marine Sci, POB 56, Dunedin 9054, New Zealand.</t>
  </si>
  <si>
    <t>olga.shatova@otago.ac.nz</t>
  </si>
  <si>
    <t>Gault-Ringold, Melanie/H-4089-2011; Farquhar, Justin/F-6225-2010; Shatova, Olga/E-9474-2013; Hoffmann, Linn/J-3761-2019; Wing, Lucy/B-8833-2019</t>
  </si>
  <si>
    <t>Farquhar, Justin/0000-0002-5818-5082; Hoffmann, Linn/0000-0003-0242-4686; Wing, Lucy/0000-0001-8681-6147; Wing, Stephen/0000-0003-3536-5627; East, Melanie/0000-0002-0040-6428</t>
  </si>
  <si>
    <t>Royal Society of New Zealand's Marsden Fund [UOO1008]; Antarctica New Zealand [K067]</t>
  </si>
  <si>
    <t>Royal Society of New Zealand's Marsden Fund(Royal Society of New ZealandMarsden Fund (NZ)); Antarctica New Zealand</t>
  </si>
  <si>
    <t>We thank captain Bill Dickson and Phil Heseltine of the RV Polaris II and the staff of the Portobello Marine Laboratory for their valuable support in the field and in the laboratory. Our Antarctic work was made possible by the science support team at New Zealand's Scott Base. Special thanks to K. Nachtigall and S. Audritz for help with HPLC measurements and to M. Meyerhofer for help with CHEMTAX analyses. Our work was supported by grants from the Royal Society of New Zealand's Marsden Fund (UOO1008) and from K067 Antarctica New Zealand to SRW. [SS]</t>
  </si>
  <si>
    <t>10.1016/j.jembe.2016.07.004</t>
  </si>
  <si>
    <t>WOS:000382413400010</t>
  </si>
  <si>
    <t>Laepple, T; Hörhold, M; Münch, T; Freitag, J; Wegner, A; Kipfstuhl, S</t>
  </si>
  <si>
    <t>Laepple, Thomas; Hoerhold, Maria; Muench, Thomas; Freitag, Johannes; Wegner, Anna; Kipfstuhl, Sepp</t>
  </si>
  <si>
    <t>Layering of surface snow and firn at Kohnen Station, Antarctica: Noise or seasonal signal?</t>
  </si>
  <si>
    <t>DRONNING MAUD-LAND; ACCUMULATION-RATE; ICE CORES; DENSIFICATION; MODEL; SCALE; AIR; METHANE; EVENTS; IMPACT</t>
  </si>
  <si>
    <t>The density of firn is an important property for monitoring and modeling the ice sheets as well as to model the pore close-off and thus to interpret ice core-based greenhouse gas records. One feature, which is still in debate, is the potential existence of an annual cycle of firn density in low-accumulation regions. Several studies describe or assume seasonally successive density layers, horizontally evenly distributed, as seen in radar data. On the other hand, high-resolution density measurements on firn cores in Antarctica and Greenland show no clear seasonal cycle in the top few meters. A major caveat of most existing snow-pit and firn-core-based studies is that they represent one vertical profile from a laterally heterogeneous density field. To overcome this, we created an extensive data set of horizontal and vertical density data at Kohnen Station, Dronning Maud Land, on the East Antarctic Plateau. We drilled and analyzed three 90m long firn cores as well as 143 one-meter-long vertical profiles from two elongated snow trenches to obtain a two-dimensional view of the density variations. The analysis of the 45m wide and 1m deep density fields reveals a seasonal cycle in density. However, the seasonality is overprinted by strong stratigraphic noise, making it invisible when analyzing single firn cores. Our density data set extends the view from the local ice core perspective to a hundred meter scale and thus supports linking spatially integrating methods such as radar and seismic studies to ice and firn cores.</t>
  </si>
  <si>
    <t>[Laepple, Thomas; Muench, Thomas] Helmholtz Ctr Polar &amp; Marine Res, Alfred Wegener Inst, Potsdam, Germany; [Hoerhold, Maria] Univ Bremen, Inst Environm Phys, Bremen, Germany; [Hoerhold, Maria; Freitag, Johannes; Wegner, Anna; Kipfstuhl, Sepp] Helmholtz Ctr Polar &amp; Marine Res, Alfred Wegener Inst, Bremerhaven, Germany; [Muench, Thomas] Univ Potsdam, Inst Phys &amp; Astron, Potsdam, Germany</t>
  </si>
  <si>
    <t>Helmholtz Association; Alfred Wegener Institute, Helmholtz Centre for Polar &amp; Marine Research; University of Bremen; Helmholtz Association; Alfred Wegener Institute, Helmholtz Centre for Polar &amp; Marine Research; University of Potsdam</t>
  </si>
  <si>
    <t>Laepple, T (corresponding author), Helmholtz Ctr Polar &amp; Marine Res, Alfred Wegener Inst, Potsdam, Germany.</t>
  </si>
  <si>
    <t>tlaepple@awi.de</t>
  </si>
  <si>
    <t>Hörhold, Maria/IST-9483-2023; Laepple, Thomas/M-8783-2015; Münch, Thomas/AAC-9281-2019</t>
  </si>
  <si>
    <t>Münch, Thomas/0000-0002-5492-7544</t>
  </si>
  <si>
    <t>German Science Foundation [HO-5036/1-1]; Initiative and Networking Fund of the Helmholtz Association [VG-NH900]</t>
  </si>
  <si>
    <t>German Science Foundation(German Research Foundation (DFG)); Initiative and Networking Fund of the Helmholtz Association</t>
  </si>
  <si>
    <t>This study was part of the Coldest Firn Associated Projects campaign lead by the Alfred Wegener Institute, Helmholtz Center for Polar and Marine Research, which aims at a better understanding of the formation of the density and the isotopic signal in firn and ice cores. We thank Christo Buizert and the two anonymous reviewers for their constructive comments. We thank all the scientists, technicians, and the logistic support who worked at Kohnen station in the 2012/2013 austral summer, especially Melanie Behrens, Tobias Binder, Andreas Frenzel, Katja Instenberg, Katharina Klein, Martin Schneebeli, Jan Tell, and Stefanie Weissbach for their assistance in creating the trenchdata set. We thank Katharina Klein for supplying the firn-core density data set and Yuri Dvornikov for the GIS map. All numerical calculations were carried out by using the software R: A Language and Environment for Statistical Computing. The data used are listed in the references and the PANGAEA repository doi:10.1594/PANGAEA.865344. M. Horhold was funded by the German Science Foundation grant HO-5036/1-1. This work was supported by the Initiative and Networking Fund of the Helmholtz Association grant VG-NH900.</t>
  </si>
  <si>
    <t>10.1002/2016JF003919</t>
  </si>
  <si>
    <t>WOS:000392830200013</t>
  </si>
  <si>
    <t>Peña-Molino, B; McCartney, MS; Rintoul, SR</t>
  </si>
  <si>
    <t>Pena-Molino, B.; McCartney, M. S.; Rintoul, S. R.</t>
  </si>
  <si>
    <t>Direct observations of the Antarctic Slope Current transport at 113°E</t>
  </si>
  <si>
    <t>Antarctic Slope Current; transport; barotropic; time-mean; variability; subpolar gyre</t>
  </si>
  <si>
    <t>WESTERN BOUNDARY CURRENT; CIRCUMPOLAR DEEP-WATER; BOTTOM WATER; FRONTAL STRUCTURE; CIRCULATION; EAST; VARIABILITY; DRIVEN; MASSES; TROUGH</t>
  </si>
  <si>
    <t>The Antarctic Slope Current (ASC), defined here as the region of westward flow along the continental slope off Antarctica, forms the southern limb of the subpolar gyres. It regulates the exchange of water across the shelf break and provides a path for interbasin westward transport. Despite its significance, the ASC remains largely unobserved around most of the Antarctic continent. Here we present direct velocity observations from a 17 month current meter moored array deployed across the continental slope between the 1000 and the 4200 m isobaths, in the southeastern Indian Ocean near 113 degrees E. The observed time-mean flow consists of a surface-intensified jet associated with the Antarctic Slope Front (ASF) and a broader bottom-intensified westward flow that extends out to approximately the 4000 m isobath and is strongest along the upper slope. The time-mean transport of the ASC is -29.2 Sv. Fluctuations in the transport are large, typically exceeding the mean by a factor of 2. They are mainly due to changes in the northward extent of the current over the lower slope. However, seasonal changes in the wind also drive variations in the transport of the ASF and the flow in the upper slope. Both mean and variability are largely barotropic, thus invisible to traditional geostrophic methods.</t>
  </si>
  <si>
    <t>[Pena-Molino, B.; Rintoul, S. R.] Univ Tasmania, Antarctic Climate &amp; Ecosyst Cooperat Res Ctr, Hobart, Tas, Australia; [McCartney, M. S.] Woods Hole Oceanog Inst, Woods Hole, MA 02543 USA; [Rintoul, S. R.] CSIRO Marine &amp; Atmospher Res, Hobart, Tas, Australia; [Rintoul, S. R.] Ctr Weather &amp; Climate Res, Hobart, Tas, Australia</t>
  </si>
  <si>
    <t>University of Tasmania; Antarctic Climate &amp; Ecosystems Cooperative Research Centre (ACE CRC); Woods Hole Oceanographic Institution; Commonwealth Scientific &amp; Industrial Research Organisation (CSIRO)</t>
  </si>
  <si>
    <t>Peña-Molino, B (corresponding author), Univ Tasmania, Antarctic Climate &amp; Ecosyst Cooperat Res Ctr, Hobart, Tas, Australia.</t>
  </si>
  <si>
    <t>beatriz.penamolino@utas.edu.au</t>
  </si>
  <si>
    <t>Rintoul, Stephen R/A-1471-2012; Pena-Molino, Beatriz/IYK-0313-2023; McCartney, Michael/A-3922-2009</t>
  </si>
  <si>
    <t>Rintoul, Stephen R/0000-0002-7055-9876; Pena-Molino, Beatriz/0000-0003-1587-1696; McCartney, Michael/0000-0002-3413-7166</t>
  </si>
  <si>
    <t>National Science Foundation [0727045]; Cooperative Research Centre program of the Australian Government, through the Antarctic Climate and Ecosystems Cooperative Research Centre; Australian Government Department of the Environment; Australian Government, the Bureau of Meteorology Bureau of Meteorology; CSIRO through the Australian Climate Change Science Program; Division Of Ocean Sciences; Directorate For Geosciences [0727045] Funding Source: National Science Foundation</t>
  </si>
  <si>
    <t>National Science Foundation(National Science Foundation (NSF)); Cooperative Research Centre program of the Australian Government, through the Antarctic Climate and Ecosystems Cooperative Research Centre(Australian GovernmentDepartment of Industry, Innovation and ScienceCooperative Research Centres (CRC) Programme); Australian Government Department of the Environment(Australian Government); Australian Government, the Bureau of Meteorology Bureau of Meteorology(Australian Government); CSIRO through the Australian Climate Change Science Program; Division Of Ocean Sciences; Directorate For Geosciences(National Science Foundation (NSF)NSF - Directorate for Geosciences (GEO))</t>
  </si>
  <si>
    <t>We thank Scott Worrilow and Brian Hogue, assisted by Jeff Pietro and Daniel Bogorff, for fielding the current meter instrumentation and moorings, Leah Trafford for processing the current meter records, Dan Torres for processing the moored ADCP record, and Mark Rosenberg and Serguei Sokolov for processing the CTD and LADCP data from the recovery cruise. We also thank the captain and crew of the Aurora Australis for their assistance during both the deployment and recovery cruises. The moored array data are archived at the U.S. National Oceanographic Data Center. The hydrographic data collected in support of the mooring operations are archived at the CLIVAR and Carbon Hydrographic Data Office. Surface geostrophic velocities produced by Ssalto/Duacs and distributed by Aviso can be obtained from http://www.aviso.altimetry.fr/duacs/. NCEP Reanalysis data was provided by the NOAA/OAR/ESRL PSD, Boulder, Colorado, USA, from their web site at http://www.esrl.noaa.gov/psd/. Bathymetric data at the mooring site were obtained from http://www.ibcso.org/. M.S.M. and the current meter array were supported by the National Science Foundation grant 0727045 Measuring Westward Recirculation in the Subpolar Gyre of the Southeastern Indian Ocean. B.P.M. and S.R.R. were supported by the Cooperative Research Centre program of the Australian Government, through the Antarctic Climate and Ecosystems Cooperative Research Centre. S.R.R. was also supported by the Australian Government Department of the Environment, the Bureau of Meteorology and CSIRO through the Australian Climate Change Science Program. We would also like to thank Andy Thompson and one anonymous reviewer, as their comments greatly improved the manuscript.</t>
  </si>
  <si>
    <t>10.1002/2015JC011594</t>
  </si>
  <si>
    <t>WOS:000388602200010</t>
  </si>
  <si>
    <t>Meijers, AJS; Meredith, MP; Abrahamsen, EP; Maqueda, MAM; Jones, DC; Garabato, ACN</t>
  </si>
  <si>
    <t>Meijers, A. J. S.; Meredith, M. P.; Abrahamsen, E. P.; Maqueda, M. A. Morales; Jones, D. C.; Garabato, A. C. Naveira</t>
  </si>
  <si>
    <t>Wind-driven export of Weddell Sea slope water</t>
  </si>
  <si>
    <t>Weddell Sea; Slope Current; Antarctic Circumpolar Current</t>
  </si>
  <si>
    <t>ANTARCTIC BOTTOM WATER; SOUTHERN-OCEAN; OVERTURNING CIRCULATION; SCOTIA CONFLUENCE; DEEP; VARIABILITY; PATHWAYS; PASSAGE; MODEL</t>
  </si>
  <si>
    <t>The export of waters from the Weddell Gyre to lower latitudes is an integral component of the southern subpolar contribution to the three-dimensional oceanic circulation. Here we use more than 20 years of repeat hydrographic data on the continental slope on the northern tip of the Antarctic Peninsula and 5 years of bottom lander data on the slope at 1000 m to show the intermittent presence of a relatively cold, fresh, westward flowing current. This is often bottom-intensified between 600 and 2000 dbar with velocities of over 20 cm s(-1), transporting an average of 1.51.5 Sv. By comparison with hydrography on the continental slope within the Weddell Sea and modeled tracer release experiments we show that this slope current is an extension of the Antarctic Slope Current that has crossed the South Scotia Ridge west of Orkney Plateau. On monthly to interannual time scales the density of the slope current is negatively correlated (r&gt;0.6 with a significance of over 95%) with eastward wind stress over the northern Weddell Sea, but lagging it by 6-13 months. This relationship holds in both the high temporal resolution bottom lander time series and the 20+ year annual hydrographic occupations and agrees with Weddell Sea export variability observed further east. We compare several alternative hypotheses for this wind stress/export relationship and find that it is most consistent with wind-driven acceleration of the gyre boundary current, possibly modulated by eddy dynamics, and represents a mechanism by which climatic perturbations can be rapidly transmitted as fluctuations in the supply of intermediate-level waters to lower latitudes.</t>
  </si>
  <si>
    <t>[Meijers, A. J. S.; Abrahamsen, E. P.; Jones, D. C.] British Antarctic Survey, Cambridge, England; [Meredith, M. P.] Scottish Assoc Marine Sci, Oban, Argyll, Scotland; [Maqueda, M. A. Morales] Sch Marine Sci &amp; Technol, Newcastle Upon Tyne, Tyne &amp; Wear, England; [Maqueda, M. A. Morales] Natl Oceanog Ctr, Liverpool, Merseyside, England; [Garabato, A. C. Naveira] Univ Southampton, Southampton, Hants, England</t>
  </si>
  <si>
    <t>UK Research &amp; Innovation (UKRI); Natural Environment Research Council (NERC); NERC British Antarctic Survey; UHI Millennium Institute; NERC National Oceanography Centre; University of Southampton</t>
  </si>
  <si>
    <t>Meijers, AJS (corresponding author), British Antarctic Survey, Cambridge, England.</t>
  </si>
  <si>
    <t>andmei@bas.ac.uk</t>
  </si>
  <si>
    <t>Garabato, Alberto Naveira/AAQ-1114-2020; Abrahamsen, Povl/B-2140-2008; Maqueda, Miguel Angel Morales/AAJ-8138-2020</t>
  </si>
  <si>
    <t>Garabato, Alberto Naveira/0000-0001-6071-605X; Abrahamsen, Povl/0000-0001-5924-5350; Jones, Dani/0000-0002-8701-4506; Meredith, Michael/0000-0002-7342-7756</t>
  </si>
  <si>
    <t>NSF [OCE130007]; NERC [NE/J008494/1, NE/E01366X/1, NE/E013368/1]; NERC [NE/E013341/1, NE/E007058/1, NE/N018095/1, bas0100028, NE/K012843/1, bas0100033, NE/J008494/1, NE/K013181/1, NE/E005667/1, NE/E01366X/1] Funding Source: UKRI; Natural Environment Research Council [noc010012, NE/E005667/1, bas0100033, NE/E013341/1, NE/E01366X/1, NE/K013181/1, NE/E007058/1, bas0100028, NE/K012843/1, NE/J008494/1] Funding Source: researchfish</t>
  </si>
  <si>
    <t>NSF(National Science Foundation (NSF)); 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</si>
  <si>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the many (many!) scientists, technicians, officers, and crews of the vessels who made the observations constituting the SR1b and SR4 sections. We would also like to thank Matthew Mazloff for providing the SOSE data and his support and encouragement in the use of it. Computational resources for the SOSE were provided by NSF XSEDE resource grant OCE130007. The lander data were obtained through the Natural Environment Research Council (NERC) National Capability Project ACCLAIM (Antarctic Circumpolar Current Levels by Altimetry and Island Measurements), which is supported by the Remote Sea Level Group at the National Oceanographic Centre. A.C.N.G. supported partially by NERC via the ANDREX project (NE/E01366X/1 and NE/E013368/1). D. C. Jones supported partially by NERC via the EXPOSE project (NE/J008494/1). The statements, findings, conclusions, and recommendations are those of the authors and do not necessarily reflect the views of NERC. All data used in this study are publicly available either through the British Oceanographic Data Centre, SOSE website (http://sose.ucsd.edu/) or through direct correspondence with the corresponding author (andmei@bas.ac.uk).</t>
  </si>
  <si>
    <t>10.1002/2016JC011757</t>
  </si>
  <si>
    <t>WOS:000388602200017</t>
  </si>
  <si>
    <t>Hobbs, W; Curran, M; Abram, N; Thomas, ER</t>
  </si>
  <si>
    <t>Hobbs, Will; Curran, Mark; Abram, Nerilie; Thomas, Elizabeth R.</t>
  </si>
  <si>
    <t>Century-scale perspectives on observed and simulated Southern Ocean sea ice trends from proxy reconstructions</t>
  </si>
  <si>
    <t>sea ice; Southern Ocean; proxies; detection; attribution</t>
  </si>
  <si>
    <t>MODEL DESCRIPTION; SYSTEM MODEL; CLIMATE; VARIABILITY; EXTENT; CMIP5</t>
  </si>
  <si>
    <t>Since 1979 when continuous satellite observations began, Southern Ocean sea ice cover has increased, whilst global coupled climate models simulate a decrease over the same period. It is uncertain whether the observed trends are anthropogenically forced or due to internal variability, or whether the apparent discrepancy between models and observations can be explained by internal variability. The shortness of the satellite record is one source of this uncertainty, and a possible solution is to use proxy reconstructions, which extend the analysis period but at the expense of higher observational uncertainty. In this work, we evaluate the utility for change detection of 20th century Southern Ocean sea ice proxies. We find that there are reliable proxies for the East Antarctic, Amundsen, Bellingshausen and Weddell sectors in late winter, and for the Weddell Sea in late autumn. Models and reconstructions agree that sea ice extent in the East Antarctic, Amundsen and Bellingshausen Seas has decreased since the early 1970s, consistent with an anthropogenic response. However, the decrease is small compared to internal variability, and the change is not robustly detectable. We also find that optimal fingerprinting filters out much of the uncertainty in proxy reconstructions. The Ross Sea is a confounding factor, with a significant increase in sea ice since 1979 that is not captured by climate models; however, existing proxy reconstructions of this region are not yet sufficiently reliable for formal change detection.</t>
  </si>
  <si>
    <t>[Hobbs, Will; Curran, Mark] Antarctic Climate &amp; Ecosyst Cooperat Res Ctr, Hobart, Tas, Australia; [Hobbs, Will] Univ New South Wales, Australian Res Council Ctr Excellence Climate Sys, Sydney, NSW, Australia; [Curran, Mark] Australian Antarctic Div, Kingston, Tas, Australia; [Abram, Nerilie] Australian Natl Univ, Res Sch Earth Sci, Canberra, ACT, Australia; [Abram, Nerilie] Australian Natl Univ, ARC Ctr Excellence Climate Syst Sci, Canberra, ACT, Australia; [Thomas, Elizabeth R.] British Antarctic Survey, Cambridge, England</t>
  </si>
  <si>
    <t>Antarctic Climate &amp; Ecosystems Cooperative Research Centre (ACE CRC); University of New South Wales Sydney; Australian Antarctic Division; Australian National University; Australian National University; ARC Centre of Excellence for Climate System Science; UK Research &amp; Innovation (UKRI); Natural Environment Research Council (NERC); NERC British Antarctic Survey</t>
  </si>
  <si>
    <t>Hobbs, W (corresponding author), Antarctic Climate &amp; Ecosyst Cooperat Res Ctr, Hobart, Tas, Australia.;Hobbs, W (corresponding author), Univ New South Wales, Australian Res Council Ctr Excellence Climate Sys, Sydney, NSW, Australia.</t>
  </si>
  <si>
    <t>whobbs@utas.edu.au</t>
  </si>
  <si>
    <t>Abram, Nerilie/AAT-5171-2021; Thomas, Elizabeth Ruth/ADF-3660-2022; Hobbs, Will/P-8094-2019</t>
  </si>
  <si>
    <t>Thomas, Elizabeth Ruth/0000-0002-3010-6493; Hobbs, Will/0000-0002-2061-0899; Abram, Nerilie/0000-0003-1246-2344</t>
  </si>
  <si>
    <t>British Antarctic Survey, Natural Environment Research Council [NE/J020710/1]; ARC [DP110101161, DP140102059]; NERC [NE/J020710/1, bas0100034] Funding Source: UKRI; Natural Environment Research Council [NE/J020710/1, bas0100034] Funding Source: researchfish</t>
  </si>
  <si>
    <t>British Antarctic Survey, Natural Environment Research Council; ARC(Australian Research Council); NERC(UK Research &amp; Innovation (UKRI)Natural Environment Research Council (NERC)); Natural Environment Research Council(UK Research &amp; Innovation (UKRI)Natural Environment Research Council (NERC))</t>
  </si>
  <si>
    <t>The authors are indebted to Kate Sinclair for providing the Whitehall Glacier excess-deuterium data. ERT funded by the British Antarctic Survey, Natural Environment Research Council (part funded by grant NE/J020710/1). N.J.A. acknowledges support through ARC Discovery Projects DP110101161 and DP140102059. Data analysis and visualization was performed using NCL (http://dx.doi.org/10.5065/D6WD3XH5). We acknowledge the World Climate Research Programme's Working Group on Coupled Modeling, which is responsible for CMIP, and we thank the climate modeling groups (listed in Table 2)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Tripole IPO index was provided by the NOAA Earth system Research Laboratory (http://www.csrl.noaa.gov/psd/data/timeseries/IPOTPI/). The authors also thank an anonymous reviewer for helpful comments in improving this manuscript.</t>
  </si>
  <si>
    <t>10.1002/2016JC012111</t>
  </si>
  <si>
    <t>WOS:000388602200033</t>
  </si>
  <si>
    <t>Menietti, JD; Groene, JB; Averkamp, TF; Horne, RB; Woodfield, EE; Shprits, YY; Pich, MD; Gurnett, DA</t>
  </si>
  <si>
    <t>Menietti, J. D.; Groene, J. B.; Averkamp, T. F.; Horne, R. B.; Woodfield, E. E.; Shprits, Y. Y.; Pich, M. de Soria-Santacruz; Gurnett, D. A.</t>
  </si>
  <si>
    <t>Survey of whistler mode chorus intensity at Jupiter</t>
  </si>
  <si>
    <t>PLASMA-WAVE OBSERVATIONS; ELECTRON ACCELERATION; MAGNETIC-FIELD; MIDDLE MAGNETOSPHERE; STEADY-STATE; IO TORUS; PRECIPITATION; INJECTIONS; SIGNATURES; DIFFUSION</t>
  </si>
  <si>
    <t>Whistler mode chorus emission is important in the acceleration of electrons and filling of the radiation belts at Jupiter. In this work chorus magnetic intensity levels (frequency-integrated spectral density, P-B) at Jupiter are comprehensively binned and parameterized. The frequency range of chorus under study extends from the lower hybrid frequency, f(lh), to f(ceq)/2 and f(ceq)/2&lt; f&lt; 0.8 f(ceq), where f(ceq) is the cyclotron frequency mapped to the magnetic equator. The goal is to obtain a quantized distribution of magnetic intensity for use in stochastic modeling efforts. Parametric fits of magnetic plasma wave intensity are obtained, including PB versus frequency, latitude, and L shell. The results indicate that Jupiter chorus occurrence probability and intensity are higher than those at Saturn, reaching values observed at Earth. Jovian chorus is observed over most local times, confined primarily to the range 8&lt; L&lt; 15, outside the high densities of the Io torus. The largest intensity levels are seen on the dayside; however, the sampling of chorus on the nightside is much less than on the dayside. Peak intensities occur near the equator with a weak dependence on magnetic latitude, lambda. We conclude that Jovian chorus average intensity levels are approximately an order of magnitude lower than those at Earth. In more isolated regions the intensities are comparable to those observed at Earth. The spatial range of the chorus emissions extends beyond that assumed in previous Jovian global diffusive models of wave-particle electron acceleration.</t>
  </si>
  <si>
    <t>[Menietti, J. D.; Groene, J. B.; Averkamp, T. F.; Gurnett, D. A.] Univ Iowa, Dept Phys &amp; Astron, Iowa City, IA 52242 USA; [Horne, R. B.; Woodfield, E. E.] British Antarctic Survey, Cambridge, England; [Shprits, Y. Y.] Univ Calif Los Angeles, Dept Earth &amp; Space Sci, Los Angeles, CA 90024 USA; [Shprits, Y. Y.] MIT, Dept Earth Atmospher &amp; Planetary Sci, Cambridge, MA USA; [Pich, M. de Soria-Santacruz] CALTECH, Jet Prop Lab, Pasadena, CA USA</t>
  </si>
  <si>
    <t>University of Iowa; UK Research &amp; Innovation (UKRI); Natural Environment Research Council (NERC); NERC British Antarctic Survey; University of California System; University of California Los Angeles; Massachusetts Institute of Technology (MIT); National Aeronautics &amp; Space Administration (NASA); NASA Jet Propulsion Laboratory (JPL); California Institute of Technology</t>
  </si>
  <si>
    <t>Menietti, JD (corresponding author), Univ Iowa, Dept Phys &amp; Astron, Iowa City, IA 52242 USA.</t>
  </si>
  <si>
    <t>john-menietti@uiowa.edu</t>
  </si>
  <si>
    <t>Shprits, Yuri Y/I-2174-2014; Horne, Richard B/U-3764-2019; Woodfield, Emma/B-5313-2014</t>
  </si>
  <si>
    <t>Horne, Richard B/0000-0002-0412-6407; Shprits, Yuri/0000-0002-9625-0834; Woodfield, Emma/0000-0002-0531-8814</t>
  </si>
  <si>
    <t>JPL [1415150]; NASA grant [NNX11AM36G]; STFC grant [ST/M00130X/1]; UK Natural Environment Research Council; National Aeronautics and Space Administration; NASA [NNX11AM36G, 142393] Funding Source: Federal RePORTER; Natural Environment Research Council [bas0100031] Funding Source: researchfish; Science and Technology Facilities Council [ST/M00130X/1] Funding Source: researchfish; NERC [bas0100031] Funding Source: UKRI; STFC [ST/M00130X/1] Funding Source: UKRI</t>
  </si>
  <si>
    <t>JPL; NASA grant(National Aeronautics &amp; Space Administration (NASA)); STFC grant(UK Research &amp; Innovation (UKRI)Science &amp; Technology Facilities Council (STFC)); UK Natural Environment Research Council(UK Research &amp; Innovation (UKRI)Natural Environment Research Council (NERC)); National Aeronautics and Space Administration(National Aeronautics &amp; Space Administration (NASA)); NASA(National Aeronautics &amp; Space Administration (NASA));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</si>
  <si>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We wish to thank J. Barnholdt for clerical assistance and J. Chrisinger for help with many figures. J.D.M. acknowledges support from JPL contract 1415150 and NASA grant NNX11AM36G. R.B.H. and E.E.W. are funded through STFC grant ST/M00130X/1. R.B.H. is funded by the UK Natural Environment Research Council. M.S.-S.P. acknowledges research carried out at the Jet Propulsion Laboratory, California Institute of Technology, under a contract with the National Aeronautics and Space Administration. Galileo PWS data are archived in calibrated, full resolution at the NASA Planetary Data System website:https://pds.nasa.gov/ds-view/pds/viewDataset.jsp?dsid=GO-J-PWS-2-REDR-LPW-SA-FULL-V1.0.</t>
  </si>
  <si>
    <t>10.1002/2016JA022969</t>
  </si>
  <si>
    <t>WOS:000388965900030</t>
  </si>
  <si>
    <t>Wilson, R; Mernild, SH; Malmros, JK; Bravo, C; Carrión, D</t>
  </si>
  <si>
    <t>Wilson, Ryan; Mernild, Sebastian H.; Malmros, Jeppe K.; Bravo, Claudio; Carrion, Daniela</t>
  </si>
  <si>
    <t>Surface velocity fluctuations for Glaciar Universidad, central Chile, between 1967 and 2015</t>
  </si>
  <si>
    <t>climate change; glacier mapping; ice velocity; mountain glaciers; remote sensing</t>
  </si>
  <si>
    <t>SEA-LEVEL RISE; SATELLITE IMAGES; PATAGONIAN ICEFIELD; NORTHERN PATAGONIA; CALVING GLACIERS; SOUTH-AMERICA; CENTRAL ANDES; ICE; DRAINAGE; FLOW</t>
  </si>
  <si>
    <t>For the Andes Cordillera, where observed mass-balance records are sparse, long-term glacier velocity measurements potentially represent a useful tool for assessing glacier health. Utilising manual and automatic feature-tracking techniques applied to Corona, Landsat and ASTER satellite imagery, this paper presents surface velocity fluctuations for Glaciar Universidad between 1967 and 1969, and 1985 and 2015, the longest such time series available for the Andes Cordillera, outside Patagonia. This time series reveals an increase in the surface velocities of the main glacier trunk between 1967 and 1987 (similar to 90%) followed by a deceleration between 1987 and 2015 (similar to 80%), with ice velocities observed between 2014 and 2015 possibly representing a 48 a low. In response to the surface velocity fluctuations, the glacier front advanced between 1985 and 1992 (cumulative change of 137 +/- 14 m), and again to a lesser magnitude during the 1996-98 and 2004-08 periods. Although having exhibited possible surge behaviour during the 1940s, the synchrony of the glacier changes presented for Glaciar Universidad with those reported for nearby glaciers, suggests that this glacier is responding to climatic trends. If the above scenario is true, the results indicate a general pattern of increasingly negative glacier mass-balance conditions since the late 1980s.</t>
  </si>
  <si>
    <t>[Wilson, Ryan; Bravo, Claudio; Carrion, Daniela] Ctr Estudios Cient, Ctr Sci Studies, Glaciol &amp; Climate Change Lab, Valdivia, Chile; [Wilson, Ryan] Aberystwyth Univ, Dept Geog &amp; Earth Sci, Ceredigion SY23 3DB, Dyfed, Wales; [Mernild, Sebastian H.] Univ Magallanes, Antarctic &amp; SubAntarctic Program, Punta Arenas, Chile; [Mernild, Sebastian H.] Sogn Og Fjordane Univ Coll, Fac Sci &amp; Engn, Sogndal, Norway; [Malmros, Jeppe K.] Univ Copenhagen, Dept Geosci &amp; Nat Resource Management, DK-1350 Copenhagen K, Denmark</t>
  </si>
  <si>
    <t>Aberystwyth University; Universidad de Magallanes; Western Norway University of Applied Sciences; University of Copenhagen</t>
  </si>
  <si>
    <t>Wilson, R (corresponding author), Ctr Estudios Cient, Ctr Sci Studies, Glaciol &amp; Climate Change Lab, Valdivia, Chile.;Wilson, R (corresponding author), Aberystwyth Univ, Dept Geog &amp; Earth Sci, Ceredigion SY23 3DB, Dyfed, Wales.</t>
  </si>
  <si>
    <t>ryw3@aber.ac.uk</t>
  </si>
  <si>
    <t>Malmros, Jeppe/E-2638-2015; Mernild, Sebastian H./M-5516-2013</t>
  </si>
  <si>
    <t>Malmros, Jeppe/0000-0002-1175-3660; Bravo, Claudio/0000-0003-4822-4786; Wilson, Ryan/0000-0001-9063-8021; Mernild, Sebastian H./0000-0003-0797-3975</t>
  </si>
  <si>
    <t>CECs; Chilean Government through the Centers of Excellence Base Financing Program of Comision Nacional de Investigacion y Tecnologica de Chile (CONICYT); National Science Foundation of Chile (FONDECYT) [1140172]; Research Councils UK (RCUK); Natural Environment Research Council (NERC); CONICYT [NE/N020693/1]; Division Of Undergraduate Education; Direct For Education and Human Resources [1140172] Funding Source: National Science Foundation; Natural Environment Research Council [NE/N020693/1] Funding Source: researchfish; NERC [NE/N020693/1] Funding Source: UKRI</t>
  </si>
  <si>
    <t>CECs; Chilean Government through the Centers of Excellence Base Financing Program of Comision Nacional de Investigacion y Tecnologica de Chile (CONICYT); National Science Foundation of Chile (FONDECYT); Research Councils UK (RCUK)(UK Research &amp; Innovation (UKRI)); Natural Environment Research Council (NERC)(UK Research &amp; Innovation (UKRI)Natural Environment Research Council (NERC)); CONICYT(Comision Nacional de Investigacion Cientifica y Tecnologica (CONICYT)); Division Of Undergraduate Education; Direct For Education and Human Resources(National Science Foundation (NSF)NSF - Directorate for STEM Education (EDU)); Natural Environment Research Council(UK Research &amp; Innovation (UKRI)Natural Environment Research Council (NERC)); NERC(UK Research &amp; Innovation (UKRI)Natural Environment Research Council (NERC))</t>
  </si>
  <si>
    <t>We thank the anonymous reviewers for their valuable critique of this article. The authors gratefully acknowledge the U.S. Geological Survey (Landsat imagery) and NASA Land Processes Distributed Active Archive centre (ASTER imagery) for free data access. We also thank Centro de Estudios Cientificos (CECs) for the surveying of dGPS points during field campaigns conducted in 2009 and 2010. This work was primarily supported by CECs, which is funded by the Chilean Government through the Centers of Excellence Base Financing Program of Comision Nacional de Investigacion y Tecnologica de Chile (CONICYT). Additional funding for this publication was also made available from: (1) the National Science Foundation of Chile (FONDECYT) under Grant Agreement #1140172; and (2) the Research Councils UK (RCUK), Natural Environment Research Council (NERC) and CONICYT under project code NE/N020693/1. RW outlined the study, analysed the data and wrote the manuscript, with revisions from SHM, and JKM provided the frontal fluctuations data. CB and DC assisted with data collection and analysis. We would also like to thank Monica Pinto (University of Chile) whose work on Glaciar Universidad provided inspiration for this study.</t>
  </si>
  <si>
    <t>10.1017/jog.2016.73</t>
  </si>
  <si>
    <t>gold, Green Published</t>
  </si>
  <si>
    <t>WOS:000386673900005</t>
  </si>
  <si>
    <t>Machguth, H; Thomsen, HH; Weidick, A; Ahlstrom, AP; Abermann, J; Andersen, ML; Andersen, SB; Bjork, AA; Box, JE; Braithwaite, RJ; Boggild, CE; Citterio, M; Clement, P; Colgan, W; Fausto, RS; Gleie, K; Gubler, S; Hasholt, B; Hynek, B; Knudsen, NT; Larsen, SH; Mernild, SH; Oerlemans, J; Oerter, H; Olesen, OB; Smeets, CJPP; Steffen, K; Stober, M; Sugiyama, S; van As, D; van den Broeke, MR; van de Wal, RSW</t>
  </si>
  <si>
    <t>Machguth, Horst; Thomsen, Henrik H.; Weidick, Anker; Ahlstrom, Andreas P.; Abermann, Jakob; Andersen, Morten L.; Andersen, Signe B.; Bjork, Anders A.; Box, Jason E.; Braithwaite, Roger J.; Boggild, Carl E.; Citterio, Michele; Clement, Poul; Colgan, William; Fausto, Robert S.; Gleie, Karin; Gubler, Stefanie; Hasholt, Bent; Hynek, Bernhard; Knudsen, Niels T.; Larsen, Signe H.; Mernild, Sebastian H.; Oerlemans, Johannes; Oerter, Hans; Olesen, Ole B.; Smeets, C. J. P. Paul; Steffen, Konrad; Stober, Manfred; Sugiyama, Shin; van As, Dirk; van den Broeke, Michiel R.; van de Wal, Roderik S. W.</t>
  </si>
  <si>
    <t>Greenland surface mass-balance observations from the ice-sheet ablation area and local glaciers</t>
  </si>
  <si>
    <t>glacier and ice caps; ice sheet; surface mass balance</t>
  </si>
  <si>
    <t>SNOW ACCUMULATION; ENERGY-BALANCE; CLIMATE; MODEL; LAND; KANGERLUSSUAQ; VARIABILITY; EXPEDITION; TRANSECT; BUDGET</t>
  </si>
  <si>
    <t>Glacier surface mass-balance measurements on Greenland started more than a century ago, but no compilation exists of the observations from the ablation area of the ice sheet and local glaciers. Such data could be used in the evaluation of modelled surface mass balance, or to document changes in glacier melt independently from model output. Here, we present a comprehensive database of Greenland glacier surface mass-balance observations from the ablation area of the ice sheet and local glaciers. The database spans the 123 a from 1892 to 2015, contains a total of similar to 3000 measurements from 46 sites, and is openly accessible through the PROMICE web portal (http://www.promice.dk). For each measurement we provide X, Y and Z coordinates, starting and ending dates as well as quality flags. We give sources for each entry and for all metadata. Two thirds of the data were collected from grey literature and unpublished archive documents. Roughly 60% of the measurements were performed by the Geological Survey of Denmark and Greenland (GEUS, previously GGU). The data cover all regions of Greenland except for the southernmost part of the east coast, but also emphasize the importance of long-term time series of which there are only two exceeding 20 a. We use the data to analyse uncertainties in point measurements of surface mass balance, as well as to estimate surface mass-balance profiles for most regions of Greenland.</t>
  </si>
  <si>
    <t>[Machguth, Horst; Thomsen, Henrik H.; Weidick, Anker; Ahlstrom, Andreas P.; Andersen, Morten L.; Andersen, Signe B.; Box, Jason E.; Citterio, Michele; Clement, Poul; Colgan, William; Fausto, Robert S.; Gleie, Karin; Larsen, Signe H.; Olesen, Ole B.; van As, Dirk] Geol Survey Denmark &amp; Greenland GEUS, Copenhagen, Denmark; [Machguth, Horst; Boggild, Carl E.] Tech Univ Denmark, Ctr Arctic Technol ARTEK, Lyngby, Denmark; [Machguth, Horst] Univ Zurich, Dept Geog, Zurich, Switzerland; [Abermann, Jakob] Asiaq Greenland Survey, Nuuk, Greenland; [Bjork, Anders A.] Univ Copenhagen, Ctr GeoGenet, Nat Hist Museum Denmark, Copenhagen, Denmark; [Braithwaite, Roger J.] Univ Manchester, Manchester, Lancs, England; [Colgan, William] York Univ, Dept Earth &amp; Space Sci &amp; Engn, Toronto, ON, Canada; [Gubler, Stefanie] Fed Off Meteorol &amp; Climatol MeteoSwiss, Zurich, Switzerland; [Hasholt, Bent] Univ Copenhagen, Dept Geosci &amp; Nat Resource Management, Copenhagen, Denmark; [Hynek, Bernhard] Zentralanstalt Meteorol &amp; Geodynam ZAMG, Vienna, Austria; [Knudsen, Niels T.] Aarhus Univ, Inst Geosci, Aarhus, Denmark; [Mernild, Sebastian H.] Sogn Og Fjordane Univ Coll, Fac Engn &amp; Sci, Sogndal, Norway; [Mernild, Sebastian H.] Univ Magallanes, Direct Antarctic &amp; Subantarct Programs, Punta Arenas, Chile; [Oerlemans, Johannes; Smeets, C. J. P. Paul; van den Broeke, Michiel R.; van de Wal, Roderik S. W.] Inst Marine &amp; Atmospher Res Utrecht IMAU, Utrecht, Netherlands; [Oerter, Hans] Helmholtz Ctr Polar &amp; Marine Res, AWI, Bremerhaven, Germany; [Steffen, Konrad] Swiss Fed Inst Forest Snow &amp; Landscape Res WSL, Birmensdorf, Switzerland; [Stober, Manfred] Stuttgart Univ Appl Sci, Stuttgart, Germany; [Sugiyama, Shin] Hokkaido Univ, Inst Low Temp Sci, Sapporo, Hokkaido, Japan</t>
  </si>
  <si>
    <t>Geological Survey Of Denmark &amp; Greenland; Technical University of Denmark; University of Zurich; University of Copenhagen; University of Manchester; York University - Canada; Federal Office of Meteorology &amp; Climatology (MeteoSwiss); University of Copenhagen; Aarhus University; Western Norway University of Applied Sciences; Universidad de Magallanes; Utrecht University; Helmholtz Association; Alfred Wegener Institute, Helmholtz Centre for Polar &amp; Marine Research; Swiss Federal Institutes of Technology Domain; Swiss Federal Institute for Forest, Snow &amp; Landscape Research; Hokkaido University</t>
  </si>
  <si>
    <t>Machguth, H (corresponding author), Geol Survey Denmark &amp; Greenland GEUS, Copenhagen, Denmark.;Machguth, H (corresponding author), Tech Univ Denmark, Ctr Arctic Technol ARTEK, Lyngby, Denmark.;Machguth, H (corresponding author), Univ Zurich, Dept Geog, Zurich, Switzerland.</t>
  </si>
  <si>
    <t>horst.machguth@geo.uzh.ch</t>
  </si>
  <si>
    <t>Box, Jason E/AAE-1654-2019; Larsen, Signe H/F-7711-2016; Andersen, Morten L/E-5509-2012; Braithwaite, Roger James/AGW-0328-2022; Knudsen, Niels Tvis/A-2461-2014; Steffen, Konrad/C-6027-2013; Sugiyama, Shin/C-2511-2012; Colgan, William/ITU-7055-2023; van de wal, roderik/D-1705-2011; Fausto, Robert S./K-6185-2018; Ahlstrøm, Andreas Peter/E-5257-2014; Braithwaite, Roger/HOF-8499-2023; Van den Broeke, Michiel R./F-7867-2011; Larsen, Signe Hillerup/ITT-9237-2023; Box, Jason/H-5770-2013; Bjork, Anders Anker/B-1625-2013; Mernild, Sebastian H./M-5516-2013; Hojmark Thomsen, Henrik/I-6864-2018; Andersen, Signe/C-4809-2013</t>
  </si>
  <si>
    <t>Box, Jason E/0000-0003-0052-8705; Larsen, Signe H/0000-0002-3656-3521; Colgan, William/0000-0001-6334-1660; van de wal, roderik/0000-0003-2543-3892; Fausto, Robert S./0000-0003-1317-8185; Ahlstrøm, Andreas Peter/0000-0001-8235-8070; Van den Broeke, Michiel R./0000-0003-4662-7565; Larsen, Signe Hillerup/0000-0002-3656-3521; Box, Jason/0000-0003-0052-8705; Braithwaite, Roger/0000-0002-0387-7591; Bjork, Anders Anker/0000-0002-4919-792X; van As, Dirk/0000-0002-6553-8982; Machguth, Horst/0000-0001-5924-0998; Mernild, Sebastian H./0000-0003-0797-3975; Hojmark Thomsen, Henrik/0000-0001-6985-0087; Andersen, Signe/0000-0002-8216-0141</t>
  </si>
  <si>
    <t>Swiss National Cooperative for the Disposal of Radioactive Waste (Nagra) in the framework of the project 'Glacial Erosion Potential of LGM Glaciers'; Nordic Top-level Research Initiative (TRI); Danish Energy Agency DANCEA program; Programme for Monitoring of the Greenland ice sheet (PROMICE); Grants-in-Aid for Scientific Research [16H01772] Funding Source: KAKEN; Villum Fonden [00010100] Funding Source: researchfish</t>
  </si>
  <si>
    <t>Swiss National Cooperative for the Disposal of Radioactive Waste (Nagra) in the framework of the project 'Glacial Erosion Potential of LGM Glaciers'; Nordic Top-level Research Initiative (TRI); Danish Energy Agency DANCEA program; Programme for Monitoring of the Greenland ice sheet (PROMICE); Grants-in-Aid for Scientific Research(Ministry of Education, Culture, Sports, Science and Technology, Japan (MEXT)Japan Society for the Promotion of ScienceGrants-in-Aid for Scientific Research (KAKENHI)); Villum Fonden(Villum Fonden)</t>
  </si>
  <si>
    <t>The contributions from countless individuals form the basis of the measurements presented in this manuscript. It is with esteem and gratitude that the results of their commitment to glaciological research are hereby made available to the scientific community. Numerous funding agencies and institutions made the various measuring programs possible. They are hereby greatly acknowledged and are listed, to the best of our knowledge, in the Appendix under the respective measurements they funded. This study is under the auspice of the Programme for Monitoring of the Greenland ice sheet (PROMICE), funded by The Danish Energy Agency DANCEA program. This publication is contribution number 72 of the Nordic Centre of Excellence SVALI, 'Stability and Variations of Arctic Land Ice', funded by the Nordic Top-level Research Initiative (TRI). HM acknowledges financial support by the Swiss National Cooperative for the Disposal of Radioactive Waste (Nagra) in the framework of the project 'Glacial Erosion Potential of LGM Glaciers'.</t>
  </si>
  <si>
    <t>10.1017/jog.2016.75</t>
  </si>
  <si>
    <t>WOS:000386673900006</t>
  </si>
  <si>
    <t>Royston, S; Gudmundsson, GH</t>
  </si>
  <si>
    <t>Royston, Sam; Gudmundsson, G. Hilmar</t>
  </si>
  <si>
    <t>Changes in ice-shelf buttressing following the collapse of Larsen A Ice Shelf, Antarctica, and the resulting impact on tributaries</t>
  </si>
  <si>
    <t>buttressing; glacier modelling; ice shelves</t>
  </si>
  <si>
    <t>OUTLET GLACIERS; PENINSULA; SHEET; MODEL; RETREAT; STABILITY; GREENLAND; ELEVATION; DYNAMICS; CLIMATE</t>
  </si>
  <si>
    <t>The dominant mass-loss process on the Antarctic Peninsula has been ice-shelf collapse, including the Larsen A Ice Shelf in early 1995. Following this collapse, there was rapid speed up and thinning of its tributary glaciers. We model the impact of this ice-shelf collapse on upstream tributaries, and compare with observations using new datasets of surface velocity and ice thickness. Using a two-horizontal-dimension shallow shelf approximation model, we are able to replicate the observed large increase in surface velocity that occurred within Drygalski Glacier, Antarctic Peninsula. The model results show an instantaneous twofold increase in flux across the grounding line, caused solely from the reduction in backstress through ice shelf removal. This demonstrates the importance of ice-shelf buttressing for flow upstream of the grounding line and highlights the need to explicitly include lateral stresses when modelling real-world settings. We hypothesise that further increases in velocity and flux observed since the ice-shelf collapse result from transient mass redistribution effects. Reproducing these effects poses the next, more stringent test of glacier and ice-sheet modelling studies.</t>
  </si>
  <si>
    <t>[Royston, Sam; Gudmundsson, G. Hilmar] British Antarctic Survey, Cambridge, England</t>
  </si>
  <si>
    <t>Royston, S (corresponding author), British Antarctic Survey, Cambridge, England.</t>
  </si>
  <si>
    <t>sam.royston@utas.edu.au</t>
  </si>
  <si>
    <t>Gudmundsson, Gudmundur Hilmar/AAU-5987-2020; Gudmundsson, Gudmundur Hilmar/F-6499-2012</t>
  </si>
  <si>
    <t>Gudmundsson, Gudmundur Hilmar/0000-0003-4236-5369; Gudmundsson, Gudmundur Hilmar/0000-0003-4236-5369; Royston, Samantha/0000-0002-7685-5043</t>
  </si>
  <si>
    <t>UK Natural Environment Research Council (NERC) [NE/K004867/1]; NERC [NE/K004867/1, bas0100034] Funding Source: UKRI; Natural Environment Research Council [bas0100034] Funding Source: researchfish</t>
  </si>
  <si>
    <t>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</si>
  <si>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Thorsten Seehaus and Matthias Braun at the University of Erlangen and Helmut Rott, Jan Wuite and others at ENVEO for providing derived surface velocity data for the region. We also thank two anonymous reviewers and Helen Fricker for their patience and comments, which greatly improved this paper. S.R. was funded through UK Natural Environment Research Council (NERC) research grant NE/K004867/1. G.H.G. was partly supported by core funding from the NERC to the British Antarctic Survey.</t>
  </si>
  <si>
    <t>10.1017/jog.2016.77</t>
  </si>
  <si>
    <t>Green Accepted, Green Published, gold</t>
  </si>
  <si>
    <t>WOS:000386673900008</t>
  </si>
  <si>
    <t>Zhu, Y; Ishizaka, J; Tripathy, S; Wang, S; Mino, Y; Matsuno, T; Suggett, DJ</t>
  </si>
  <si>
    <t>Zhu, Y.; Ishizaka, J.; Tripathy, S. C.; Wang, S.; Mino, Y.; Matsuno, T.; Suggett, D. J.</t>
  </si>
  <si>
    <t>Variation of the photosynthetic electron transfer rate and electron requirement for daily net carbon fixation in Ariake Bay, Japan</t>
  </si>
  <si>
    <t>JOURNAL OF OCEANOGRAPHY</t>
  </si>
  <si>
    <t>FRR fluorometry; Primary productivity; ETR; Quantum requirement for carbon fixation; C-13-uptake</t>
  </si>
  <si>
    <t>REPETITION RATE FLUOROMETRY; PRIMARY PRODUCTIVITY; ACTIVE FLUORESCENCE; LIGHT-ABSORPTION; PHOTOSYSTEM-II; CELL-SIZE; PHYTOPLANKTON; TRANSPORT; COASTAL; METHODOLOGY</t>
  </si>
  <si>
    <t>Fast repetition rate fluorometry (FRRf) provides a potential means to examine marine primary productivity; however, FRRf-based productivity estimations require knowledge of the electron requirement (K) for carbon (C) uptake (K (C)) to scale an electron transfer rate (ETR) to the CO2 uptake rate. Most previous studies have derived K (C) from parallel measurements of ETR and CO2 uptake over relatively short incubations, with few from longer-term daily-integrated periods. Here we determined K (C) by comparing depth-specific, daily ETRs and CO2-uptake rates obtained from 24-h on-deck incubation experiments undertaken on seven cruises in Ariake Bay, Japan, from 2008 to 2010. The purpose of this study was to determine the extent of variability of K (C) and to what extent this variability could be reconciled with the prevailing environmental conditions and ultimately to develop a method for determining net primary productivity (NPP) based on FRRf measurements. Both daily ETR and K (C) of the upper layer varied considerably, from 0.5 to 115.7 mmol e(-) mg Chl-a (-1) day(-1) and 4.1-26.6 mol e(-) (mol C)(-1), respectively, throughout the entire data set. Multivariate analysis revealed a strong correlation between daily photosynthetically active radiation (PAR) and K (C) (r (2) = 0.94). A simple PAR-dependent relationship derived from the data set was used for generating K (C), and this relationship was validated by comparing the FRRf-predicted NPP with the C-13 uptake measured in 2007. These new observations demonstrate the potential application of FRRf for estimating regional NPP from ETR.</t>
  </si>
  <si>
    <t>[Zhu, Y.] Nagoya Univ, Grad Sch Environm Studies, Nagoya, Aichi 4648601, Japan; [Ishizaka, J.; Mino, Y.] Nagoya Univ, Inst Space Earth Environm Res, Nagoya, Aichi 4648601, Japan; [Tripathy, S. C.] Minist Earth Sci, Natl Ctr Antarctic &amp; Ocean Res, Earth Syst Sci Org, Vasco Da Gama 403804, Goa, India; [Wang, S.] Nanjing Univ Informat Sci &amp; Technol, Sch Marine Sci, Nanjing 210044, Jiangsu, Peoples R China; [Matsuno, T.] Kyushu Univ, Appl Mech Res Inst, Fukuoka, Japan; [Suggett, D. J.] Univ Technol Sydney, Plant Funct Biol &amp; Climate Change Cluster, POB 123, Broadway, NSW 2007, Australia</t>
  </si>
  <si>
    <t>Nagoya University; Nagoya University; Earth System Science Organization (ESSO); Ministry of Earth Sciences (MoES) - India; National Centre for Polar and Ocean Research (NCPOR); Nanjing University of Information Science &amp; Technology; Kyushu University; University of Technology Sydney</t>
  </si>
  <si>
    <t>Ishizaka, J (corresponding author), Nagoya Univ, Inst Space Earth Environm Res, Nagoya, Aichi 4648601, Japan.</t>
  </si>
  <si>
    <t>joji.ishizaka@gmail.com</t>
  </si>
  <si>
    <t>Ishizaka, Joji/B-3587-2009; Suggett, David J/G-9212-2017</t>
  </si>
  <si>
    <t>Matsuno, Takeshi/0000-0001-8526-909X; Tripathy, Dr. Sarat Chandra/0000-0002-2437-8660</t>
  </si>
  <si>
    <t>Global Observation Mission-Climate (GCOM-C) Project of the Japan Aerospace Exploration Agency; Australian Research Council Future Fellowship [FT130100202]; Grants-in-Aid for Scientific Research [26241009] Funding Source: KAKEN</t>
  </si>
  <si>
    <t>Global Observation Mission-Climate (GCOM-C) Project of the Japan Aerospace Exploration Agency; Australian Research Council Future Fellowship(Australian Research Council); Grants-in-Aid for Scientific Research(Ministry of Education, Culture, Sports, Science and Technology, Japan (MEXT)Japan Society for the Promotion of ScienceGrants-in-Aid for Scientific Research (KAKENHI))</t>
  </si>
  <si>
    <t>We wish to thank the captain, officers and crew of T/V-Kakuyo Maru for their admirable assistance during onboard sampling and measurements. We also thank Drs. W. Cheah, J.I. Goes and H. do R. Gomes and two reviewers for helping to improve this manuscript. This research was supported by the Global Observation Mission-Climate (GCOM-C) Project of the Japan Aerospace Exploration Agency. The contribution by D.J. Suggett was supported by an Australian Research Council Future Fellowship (FT130100202).</t>
  </si>
  <si>
    <t>0916-8370</t>
  </si>
  <si>
    <t>1573-868X</t>
  </si>
  <si>
    <t>J OCEANOGR</t>
  </si>
  <si>
    <t>J. Oceanogr.</t>
  </si>
  <si>
    <t>10.1007/s10872-016-0370-4</t>
  </si>
  <si>
    <t>DX6YS</t>
  </si>
  <si>
    <t>WOS:000384532600008</t>
  </si>
  <si>
    <t>Santos, FD; Morgante, JS; Frere, E; Millones, A; Sander, M; Vianna, JD; Dantas, GPDM</t>
  </si>
  <si>
    <t>Santos, Fernanda de Almeida; Morgante, Joao Stenghel; Frere, Esteban; Millones, Ana; Sander, Martin; Vianna, Juliana de Abreu; de Mendonca Dantas, Gisele Pires</t>
  </si>
  <si>
    <t>Evolutionary history of the Kelp Gull (Larus dominicanus) in the southern hemisphere supported by multilocus evidence</t>
  </si>
  <si>
    <t>JOURNAL OF ORNITHOLOGY</t>
  </si>
  <si>
    <t>Microsatellites; Bottleneck; Recent population; Expansion; South America; Antarctic</t>
  </si>
  <si>
    <t>POPULATION GENETIC-STRUCTURE; MITOCHONDRIAL-DNA; DIFFERENTIATION; SOFTWARE; DISPERSAL; ATLANTIC; ISLANDS; CHARADRIIFORMES; PHYLOGEOGRAPHY; MECHANISMS</t>
  </si>
  <si>
    <t>The high dispersal ability of seabirds and the absence of geographical barriers has led to high gene flow and reduced population differentiation. Nevertheless, some species with philopatric behavior have restricted gene flow among colonies, revealing a strong population structure. Gulls show widespread colonial behavior, and are long-lived species, which make them a good model for understanding evolutionary processes in seabirds. Previous genetic studies on the Kelp Gull (Larus dominicanus) have revealed low genetic variability in mitochondrial markers but relatively high genetic variation in a nuclear marker. These observations can be explained by the occurrence of a selective sweep on mtDNA, population genetic bottlenecks or a recent origin of the species. We used microsatellite data to further investigate these hypotheses, mainly by testing for bottleneck events. Low genetic variability (H (o) = 0.276-0.570) was detected in Kelp Gulls. However, population genetic structure was observed among regions (Chile, Argentina and Brazil), and between continents (South America and Antarctica). The population of the Kelp Gull in South America may have differentiated due to isolation by distance (r = 0.7273, p = 0.0013), whereas the population in the Antarctic seems to be isolated by non-physical barriers. Bottleneck events were detected in 6 out of 14 colonies studied. These colonies are at the limits of the distribution of the Kelp Gull, and thus experience harsh survival conditions. We believe that the Kelp Gull has a complex history in the southern hemisphere, with a recent origin, followed by bottlenecks and then population expansion. Thus, the genetic diversity found in Kelp Gull is similar to that observed for other species of Laridae.</t>
  </si>
  <si>
    <t>[Santos, Fernanda de Almeida; Morgante, Joao Stenghel; de Mendonca Dantas, Gisele Pires] Univ Sao Paulo, Inst Biociencias, Rua Matao 277, BR-05590080 Sao Paulo, SP, Brazil; [Frere, Esteban; Millones, Ana] Univ Nacl Patagonia Austral, Ctr Invest Puerto Deseado, Puerto Deseado, Argentina; [Sander, Martin] Univ Vale Rio dos Sinos, Lab Ornitol &amp; Anim Marinhos, Ave Unisinos 950, Sao Leopoldo, RS, Brazil; [Vianna, Juliana de Abreu] Pontificia Univ Catolica Chile, Dept Ecosistemas &amp; Medio Ambiente, Fac Agron &amp; Ingn Forestal, Ave Vicuna Mackenna 4860, Santiago, Chile; [de Mendonca Dantas, Gisele Pires] Pontificia Univ Catolica Minas Gerais, Ave Dom Jose Gaspar 500,Predio 41, BR-30535610 Belo Horizonte, MG, Brazil</t>
  </si>
  <si>
    <t>Universidade de Sao Paulo; Universidad Nacional de la Patagonia San Juan Bosco; Universidade do Vale do Rio dos Sinos (Unisinos); Pontificia Universidad Catolica de Chile; Pontificia Universidade Catolica de Minas Gerais</t>
  </si>
  <si>
    <t>Dantas, GPDM (corresponding author), Univ Sao Paulo, Inst Biociencias, Rua Matao 277, BR-05590080 Sao Paulo, SP, Brazil.</t>
  </si>
  <si>
    <t>femeida@gmail.com; jsmorgan@ib.usp.br; estebanfrere@yahoo.com.ar; ana_millones@yahoo.com.ar; sander@unisinos.br; jvianna@uc.cl; giseledantas@pucminas.br</t>
  </si>
  <si>
    <t>Dantas, Gisele PM/T-6782-2019; Vianna, Juliana/E-9847-2015</t>
  </si>
  <si>
    <t>Dantas, Gisele PM/0000-0001-5282-7577; MILLONES, ANA/0000-0002-6725-7279; Vianna, Juliana/0000-0003-2330-7825</t>
  </si>
  <si>
    <t>Fundacao de Amparo a Pesquisa do Estado de Sao Paulo (FAPESP) [03/01599-1, 05/55438-4, 2008/41287, 2010/52590]; FAPESP [2006/61023-4]; CAPES; Fundacao de Amparo a Pesquisa do Estado de Sao Paulo (FAPESP) [03/01599-1] Funding Source: FAPESP</t>
  </si>
  <si>
    <t>Fundacao de Amparo a Pesquisa do Estado de Sao Paulo (FAPESP)(Fundacao de Amparo a Pesquisa do Estado de Sao Paulo (FAPESP)); FAPESP(Fundacao de Amparo a Pesquisa do Estado de Sao Paulo (FAPESP)); CAPES(Coordenacao de Aperfeicoamento de Pessoal de Nivel Superior (CAPES)); Fundacao de Amparo a Pesquisa do Estado de Sao Paulo (FAPESP)(Fundacao de Amparo a Pesquisa do Estado de Sao Paulo (FAPESP))</t>
  </si>
  <si>
    <t>This work was supported by Fundacao de Amparo a Pesquisa do Estado de Sao Paulo (FAPESP process 03/01599-1, 05/55438-4, 2008/41287, 2010/52590). Fernanda de Almeida Santos received scholarships from FAPESP (process 2006/61023-4) and CAPES. We thank Joaquim Olinto Brando, Fausto Campos and Patricia Faria for providing tissue samples. We are grateful for the improvements to English usage made by Bruce Peterson through the Association of Field Ornithologists' program of editorial assistance. Larissa Rosa Oliveira and Tatitana Teixiera Torres provided useful comments to a previous draft this study.</t>
  </si>
  <si>
    <t>2193-7192</t>
  </si>
  <si>
    <t>2193-7206</t>
  </si>
  <si>
    <t>J ORNITHOL</t>
  </si>
  <si>
    <t>J. Ornithol.</t>
  </si>
  <si>
    <t>10.1007/s10336-016-1355-1</t>
  </si>
  <si>
    <t>Ornithology</t>
  </si>
  <si>
    <t>DV5CW</t>
  </si>
  <si>
    <t>WOS:000382944500016</t>
  </si>
  <si>
    <t>Doddridge, EW; Marshall, DP; Hogg, AM</t>
  </si>
  <si>
    <t>Doddridge, Edward W.; Marshall, David P.; Hogg, Andrew McC.</t>
  </si>
  <si>
    <t>Eddy Cancellation of the Ekman Cell in Subtropical Gyres</t>
  </si>
  <si>
    <t>ANTARCTIC CIRCUMPOLAR CURRENT; SOUTHERN-OCEAN; NORTH-ATLANTIC; MESOSCALE EDDIES; POTENTIAL VORTICITY; DEACON CELL; TRACER TRANSPORTS; OVERTURNING CELLS; MEAN-FLOW; MODEL</t>
  </si>
  <si>
    <t>The presence of large-scale Ekman pumping associated with the climatological wind stress curl is the textbook explanation for low biological activity in the subtropical gyres. Using an idealized, eddy-resolving model, it is shown that Eulerian-mean Ekman pumping may be opposed by an eddy-driven circulation, analogous to the way in which the atmospheric Ferrel cell and the Southern Ocean Deacon cell are opposed by eddy-driven circulations. Lagrangian particle tracking, potential vorticity fluxes, and depth-density streamfunctions are used to show that, in the model, the rectified effect of eddies acts to largely cancel the Eulerian-mean Ekman downwelling. To distinguish this effect from eddy compensation, it is proposed that the suppression of Eulerian-mean downwelling by eddies be called eddy cancellation.</t>
  </si>
  <si>
    <t>[Doddridge, Edward W.; Marshall, David P.] Univ Oxford, Dept Phys, Oxford, England; [Hogg, Andrew McC.] Australian Natl Univ, Res Sch Earth Sci, Acton, ACT, Australia; [Hogg, Andrew McC.] Australian Natl Univ, ARC Ctr Excellence Climate Syst Sci, Acton, ACT, Australia</t>
  </si>
  <si>
    <t>University of Oxford; Australian National University; Australian National University</t>
  </si>
  <si>
    <t>Doddridge, EW (corresponding author), Parks Rd, Oxford OX1 3PU, England.</t>
  </si>
  <si>
    <t>edward.doddridge@physics.ox.ac.uk</t>
  </si>
  <si>
    <t>Doddridge, Edward/GRJ-6149-2022; Marshall, David Philip/B-6767-2009; Hogg, Andy/AAZ-8733-2021; Hogg, Andy McC./A-7553-2011</t>
  </si>
  <si>
    <t>Marshall, David Philip/0000-0002-5199-6579; Hogg, Andy/0000-0001-5898-7635; Hogg, Andy McC./0000-0001-5898-7635; Doddridge, Edward/0000-0002-6097-5729</t>
  </si>
  <si>
    <t>Rhodes Trust; UK Natural Environment Research Council [NE/K010948/1]; Australian Research Council Future Fellowship [FT120100842]; NERC [NE/K010948/1] Funding Source: UKRI; Natural Environment Research Council [NE/K010948/1] Funding Source: researchfish</t>
  </si>
  <si>
    <t>Rhodes Trust; UK Natural Environment Research Council(UK Research &amp; Innovation (UKRI)Natural Environment Research Council (NERC)); Australian Research Council Future Fellowship(Australian Research Council); NERC(UK Research &amp; Innovation (UKRI)Natural Environment Research Council (NERC)); Natural Environment Research Council(UK Research &amp; Innovation (UKRI)Natural Environment Research Council (NERC))</t>
  </si>
  <si>
    <t>We thank Stephen Griffies, Ric Williams, Alberto Naveira Garabato, Adrian Martin, and an anonymous reviewer for helpful discussions and comments that improved the content of this manuscript. EWD is grateful to The Rhodes Trust for financial support. DPM acknowledges the support of the UK Natural Environment Research Council (NE/K010948/1). AMH was supported by an Australian Research Council Future Fellowship FT120100842.</t>
  </si>
  <si>
    <t>10.1175/JPO-D-16-0097.1</t>
  </si>
  <si>
    <t>EA1CL</t>
  </si>
  <si>
    <t>WOS:000386330000003</t>
  </si>
  <si>
    <t>Bassett, C; Lavery, AC; Maksym, T; Wilkinson, JP</t>
  </si>
  <si>
    <t>Bassett, Christopher; Lavery, Andone C.; Maksym, Ted; Wilkinson, Jeremy P.</t>
  </si>
  <si>
    <t>Broadband acoustic backscatter from crude oil under laboratory-grown sea ice</t>
  </si>
  <si>
    <t>JOURNAL OF THE ACOUSTICAL SOCIETY OF AMERICA</t>
  </si>
  <si>
    <t>OCEAN MEASUREMENTS; PURE WATER; UNDER-ICE; SCATTERING; SOUND; ZOOPLANKTON; ABSORPTION; BEHAVIOR; SPEED</t>
  </si>
  <si>
    <t>In ice-covered seas, traditional air-side oil spill detection methods face practical challenges. Conversely, under-ice remote sensing techniques are increasingly viable due to improving operational capabilities of autonomous and remotely operated vehicles. To investigate the potential for under-ice detection of oil spills using active acoustics, laboratory measurements of high-frequency, broadband backscatter (75-590 kHz) from crude oil layers (0.7-8.1 cm) under and encapsulated within sea ice were performed at normal and 20 degrees incidence angles. Discrete interfaces (water-oil, oil-ice, and ice-oil) are identifiable in observations following oil injections under the ice and during the subsequent encapsulation. A one-dimensional model for the total normal incidence backscatter from oil under ice, constrained by oil sound speed measurements from - 10 degrees C to 20 degrees C and improved environmental measurements compared to previous studies, agrees well with preencapsulation observations. At 20 degrees incidence angles echoes from the ice and oil under ice are more complex and spatially variable than normal incidence observations, most likely due to interface roughness and volume inhomogeneities. Encapsulated oil layers are only detected at normal incidence. The results suggest that high-frequency, broadband backscatter techniques may allow under-ice remote sensing for the detection and quantification of oil spills. (C) 2016 Acoustical Society of America.</t>
  </si>
  <si>
    <t>[Bassett, Christopher; Lavery, Andone C.; Maksym, Ted] Woods Hole Oceanog Inst, Dept Appl Ocean Phys &amp; Engn, Woods Hole, MA 02543 USA; [Wilkinson, Jeremy P.] British Antarctic Survey, High Cross Madingley Rd, Cambridge CB3 0ET, England; [Bassett, Christopher] Natl Marine Fisheries Serv, Alaska Fisheries Sci Ctr, Resource Assessment &amp; Conservat Engn Div, 7600 Sand Point Way NW, Seattle, WA 98115 USA</t>
  </si>
  <si>
    <t>Woods Hole Oceanographic Institution; UK Research &amp; Innovation (UKRI); Natural Environment Research Council (NERC); NERC British Antarctic Survey; National Oceanic Atmospheric Admin (NOAA) - USA</t>
  </si>
  <si>
    <t>Bassett, C (corresponding author), Woods Hole Oceanog Inst, Dept Appl Ocean Phys &amp; Engn, Woods Hole, MA 02543 USA.;Bassett, C (corresponding author), Natl Marine Fisheries Serv, Alaska Fisheries Sci Ctr, Resource Assessment &amp; Conservat Engn Div, 7600 Sand Point Way NW, Seattle, WA 98115 USA.</t>
  </si>
  <si>
    <t>chris.bassett@noaa.gov</t>
  </si>
  <si>
    <t>International Oil and Gas Producers Arctic Oil Spill Technology Joint Industry Programme [28-13-14]; WHOI Postdoctoral Scholar Program; United States Geological Survey; Ocean Acoustics Program at the Office of Naval Research; Natural Environment Research Council [bas0100032] Funding Source: researchfish; NERC [bas0100032] Funding Source: UKRI</t>
  </si>
  <si>
    <t>International Oil and Gas Producers Arctic Oil Spill Technology Joint Industry Programme; WHOI Postdoctoral Scholar Program; United States Geological Survey(United States Geological Survey); Ocean Acoustics Program at the Office of Naval Research(Office of Naval Research); Natural Environment Research Council(UK Research &amp; Innovation (UKRI)Natural Environment Research Council (NERC)); NERC(UK Research &amp; Innovation (UKRI)Natural Environment Research Council (NERC))</t>
  </si>
  <si>
    <t>The authors would like to thank the technical staff in CRREL's Ice Engineering Division, especially Leonard Zabilansky, Ben Winn, Nate Lamie, and Jesse Stanley, for support throughout the project. Zoe Courville and Bruce Elder drilled and analyzed the ice cores. D. J. Tang and several reviewers provided valuable comments on the draft manuscript. In addition we thank Jessica Garron, Scott Pegau, and the Prince William Sound Science Center Oil Spill Recovery Institute. Funding for this research was provided by the International Oil and Gas Producers Arctic Oil Spill Technology Joint Industry Programme under Contract No. 28-13-14. C.B. was supported by the WHOI Postdoctoral Scholar Program with funding from the United States Geological Survey. A.C.L. was supported in part by the Ocean Acoustics Program at the Office of Naval Research.</t>
  </si>
  <si>
    <t>ACOUSTICAL SOC AMER AMER INST PHYSICS</t>
  </si>
  <si>
    <t>MELVILLE</t>
  </si>
  <si>
    <t>STE 1 NO 1, 2 HUNTINGTON QUADRANGLE, MELVILLE, NY 11747-4502 USA</t>
  </si>
  <si>
    <t>0001-4966</t>
  </si>
  <si>
    <t>1520-8524</t>
  </si>
  <si>
    <t>J ACOUST SOC AM</t>
  </si>
  <si>
    <t>J. Acoust. Soc. Am.</t>
  </si>
  <si>
    <t>10.1121/1.4963876</t>
  </si>
  <si>
    <t>Acoustics; Audiology &amp; Speech-Language Pathology</t>
  </si>
  <si>
    <t>EB3JN</t>
  </si>
  <si>
    <t>WOS:000387260600019</t>
  </si>
  <si>
    <t>Zhang, JJ; Liu, DY; Cao, P; Wang, YJ; Keesing, JK; Li, JH; Chen, LX</t>
  </si>
  <si>
    <t>Zhang, Jingjing; Liu, Dongyan; Cao, Peng; Wang, Yujue; Keesing, John K.; Li, Jinhua; Chen, Lingxin</t>
  </si>
  <si>
    <t>A highly sensitive method for analyzing marker phytoplankton pigments: Ultra-high-performance liquid chromatography-tandem triple quadrupole mass spectrometry</t>
  </si>
  <si>
    <t>LIMNOLOGY AND OCEANOGRAPHY-METHODS</t>
  </si>
  <si>
    <t>MARINE-PHYTOPLANKTON; ANTARCTIC LAKE; HPLC METHOD; CHLOROPHYLLS; CAROTENOIDS; SEPARATION; RESOLUTION; PHASES; SAMPLE; OCEAN</t>
  </si>
  <si>
    <t>A sensitive and specific ultra-high-performance liquid chromatography-tandem triple quadrupole mass spectrometry (UHPLC-MS/MS) method was developed for the purpose of decreasing the detection limit of quantification (LOQ) and reducing sample analysis time. In total, 14 marker pigments were determined and validated using an internal standard (IS) method with trans-8'-Apo-beta-carotenal as the IS. Electrospray ionization in positive mode was applied for the detection of pigments. The 14 types of pigments were separated in less than 15 min and presented good linearity, with the coefficients ranging from 0.9915 to 0.9991 using a UHPLC C8 column. The LOQ attained for 14 pigments were from 0.005 ng mL(-1) to 0.500 ng mL(-1), which enabled quantification of the pigments in seawater at ppt level. Both intra-day and inter-day precisions were less than 15%. The method was validated using seawater samples and the recovery of the analytes ranged from 62.8% to 120.2% at two spiked concentrations. Compared with previous methods, UHPLC-MS/MS method improved the efficiency of qualitative analysis and significantly decreased the detection LOQ for analyzing marker phytoplankton pigments at trace/ultra-trace levels in complex matrices.</t>
  </si>
  <si>
    <t>[Zhang, Jingjing; Liu, Dongyan; Wang, Yujue; Li, Jinhua; Chen, Lingxin] Chinese Acad Sci, Yantai Inst Coastal Zone Res, Key Lab Coastal Zone Environm Proc &amp; Ecol Remedia, Yantai 264003, Shandong, Peoples R China; [Zhang, Jingjing; Liu, Dongyan; Wang, Yujue; Li, Jinhua; Chen, Lingxin] Shandong Prov Key Lab Coastal Zone Environm Proc, Yantai 264003, Shandong, Peoples R China; [Zhang, Jingjing] Univ Chinese Acad Sci, Beijing 100049, Peoples R China; [Cao, Peng] Yantai Entry Exit Inspect &amp; Quarantine Bur, Yantai 264000, Shandong, Peoples R China; [Keesing, John K.] CSIRO Oceans &amp; Atmosphere, Private Bag 5, Wembley, WA 6913, Australia</t>
  </si>
  <si>
    <t>Chinese Academy of Sciences; Yantai Institute of Coastal Zone Research, CAS; Chinese Academy of Sciences; University of Chinese Academy of Sciences, CAS; Commonwealth Scientific &amp; Industrial Research Organisation (CSIRO)</t>
  </si>
  <si>
    <t>Liu, DY (corresponding author), Chinese Acad Sci, Yantai Inst Coastal Zone Res, Key Lab Coastal Zone Environm Proc &amp; Ecol Remedia, Yantai 264003, Shandong, Peoples R China.;Liu, DY (corresponding author), Shandong Prov Key Lab Coastal Zone Environm Proc, Yantai 264003, Shandong, Peoples R China.</t>
  </si>
  <si>
    <t>dyliu@yic.ac.cn</t>
  </si>
  <si>
    <t>Zhang, Jing/HII-4294-2022; liu, dongsheng/IWM-1597-2023; Wang, Yujue/HHN-4296-2022; Chen, Lingxin/H-5761-2019; liu, dong/GRJ-9115-2022; Wang, Yujue/JAX-4113-2023; Keesing, John/B-1955-2009</t>
  </si>
  <si>
    <t>Chen, Lingxin/0000-0002-3764-3515; Keesing, John/0000-0002-0876-2144</t>
  </si>
  <si>
    <t>Natural Science Foundation of China [41376121]; Strategic Priority Research Program of the Chinese Academy of Sciences [XDA11020405]; Natural Science Foundation of Shandong Province [JQ201414]</t>
  </si>
  <si>
    <t>Natural Science Foundation of China(National Natural Science Foundation of China (NSFC)); Strategic Priority Research Program of the Chinese Academy of Sciences(Chinese Academy of Sciences); Natural Science Foundation of Shandong Province(Natural Science Foundation of Shandong Province)</t>
  </si>
  <si>
    <t>This work was sponsored by the Natural Science Foundation of China (41376121), the Strategic Priority Research Program of the Chinese Academy of Sciences (XDA11020405) and the Natural Science Foundation of Shandong Province (JQ201414).</t>
  </si>
  <si>
    <t>1541-5856</t>
  </si>
  <si>
    <t>LIMNOL OCEANOGR-METH</t>
  </si>
  <si>
    <t>Limnol. Oceanogr. Meth.</t>
  </si>
  <si>
    <t>10.1002/lom3.10117</t>
  </si>
  <si>
    <t>Limnology; Oceanography</t>
  </si>
  <si>
    <t>EA9LX</t>
  </si>
  <si>
    <t>WOS:000386966700001</t>
  </si>
  <si>
    <t>Benedetti, M; Lanzoni, I; Nardi, A; d'Errico, G; Di Carlo, M; Fattorini, D; Nigro, M; Regoli, F</t>
  </si>
  <si>
    <t>Benedetti, Maura; Lanzoni, Ilaria; Nardi, Alessandro; d'Errico, Giuseppe; Di Carlo, Marta; Fattorini, Daniele; Nigro, Marco; Regoli, Francesco</t>
  </si>
  <si>
    <t>Oxidative responsiveness to multiple stressors in the key Antarctic species, Adamussium colbecki: Interactions between temperature, acidification and cadmium exposure</t>
  </si>
  <si>
    <t>MARINE ENVIRONMENTAL RESEARCH</t>
  </si>
  <si>
    <t>18th International Symposium on Pollutant Responses in Marine Organisms (PRIMO)</t>
  </si>
  <si>
    <t>MAY 24-27, 2015</t>
  </si>
  <si>
    <t>Trondheim, NORWAY</t>
  </si>
  <si>
    <t>Antarctic scallop; Multiple stressors; Climate change; Cadmium; Oxidative stress; Antioxidant defences</t>
  </si>
  <si>
    <t>ANTIOXIDANT DEFENSE SYSTEMS; FISH TREMATOMUS-BERNACCHII; OCEAN ACIDIFICATION; SOUTHERN-OCEAN; TRACE-METALS; BIOCHEMICAL-CHARACTERIZATION; CRASSOSTREA-VIRGINICA; BIOMARKERS RESPONSES; SEDIMENT CHEMISTRY; GENE-EXPRESSION</t>
  </si>
  <si>
    <t>High-latitude marine ecosystems are ranked to be among the most sensitive regions to climate change since highly stenothermal and specially adapted organisms might be seriously affected by global warming and ocean acidification. The present investigation was aimed to provide new insights on the sensitivity to such environmental stressors in the key Antarctic species, Adamussium colbecki, focussing also on their synergistic effects with cadmium exposure, naturally abundant in this area for upwelling phenomena. Scallops were exposed for 2 weeks to various combinations of Cd (0 and 40 mu gL-1), pH (8.05 and 7.60) and temperature (-1 and +1 degrees C). Beside Cd bioaccumulation, a wide panel of early warning biomarkers were analysed in digestive glands and gills including levels of metallothioneins, individual antioxidants and total oxyradical scavenging capacity, onset of oxidative cell damage like lipid peroxidation, lysosomal stability, DNA integrity and peroxisomal proliferation. Results indicated reciprocal interactions between multiple stressors and their elaboration by a quantitative hazard model based on the relevance and magnitude of effects, highlighted a different sensitivity of analysed tissues. Due to cellular adaptations to high basal Cd content, digestive gland appeared more tolerant toward other prooxidant stressors, but sensitive to variations of the metal. On the other hand, gills were more affected by various combinations of stressors occurring at higher temperature. (C) 2016 Elsevier Ltd. All rights reserved.</t>
  </si>
  <si>
    <t>[Benedetti, Maura; Lanzoni, Ilaria; Nardi, Alessandro; d'Errico, Giuseppe; Di Carlo, Marta; Fattorini, Daniele; Regoli, Francesco] Univ Politecn Marche, Dipartimento Sci Vita &amp; Ambiente, Ancona, Italy; [Nigro, Marco] Univ Pisa, Dipartimento Med Clin &amp; Sperimentale, I-56100 Pisa, Italy</t>
  </si>
  <si>
    <t>Marche Polytechnic University; University of Pisa</t>
  </si>
  <si>
    <t>Regoli, F (corresponding author), Univ Politecn Marche, Dipartimento Sci Vita &amp; Ambiente, Ancona, Italy.</t>
  </si>
  <si>
    <t>f.regoli@univpm.it</t>
  </si>
  <si>
    <t>Nardi, Alessandro/AAH-1535-2021; Fattorini, Daniele/A-2969-2010; Benedetti, Maura/K-5399-2016; Regoli, Francesco/K-2719-2018</t>
  </si>
  <si>
    <t>Fattorini, Daniele/0000-0002-5847-4722; Benedetti, Maura/0000-0003-0803-3846; Nardi, Alessandro/0000-0002-9978-1411; Regoli, Francesco/0000-0001-6084-6188; Di Carlo, Marta/0000-0003-3609-8313</t>
  </si>
  <si>
    <t>0141-1136</t>
  </si>
  <si>
    <t>1879-0291</t>
  </si>
  <si>
    <t>MAR ENVIRON RES</t>
  </si>
  <si>
    <t>Mar. Environ. Res.</t>
  </si>
  <si>
    <t>10.1016/j.marenvres.2016.03.011</t>
  </si>
  <si>
    <t>Environmental Sciences; Marine &amp; Freshwater Biology; Toxicology</t>
  </si>
  <si>
    <t>Environmental Sciences &amp; Ecology; Marine &amp; Freshwater Biology; Toxicology</t>
  </si>
  <si>
    <t>DZ1ML</t>
  </si>
  <si>
    <t>WOS:000385602400004</t>
  </si>
  <si>
    <t>Biscontin, A; Frigato, E; Sales, G; Mazzotta, GM; Teschke, M; De Pittà, C; Jarman, S; Meyer, B; Costa, R; Bertolucci, C</t>
  </si>
  <si>
    <t>Biscontin, Alberto; Frigato, Elena; Sales, Gabriele; Mazzotta, Gabriella M.; Teschke, Mathias; De Pitta, Cristiano; Jarman, Simon; Meyer, Bettina; Costa, Rodolfo; Bertolucci, Cristiano</t>
  </si>
  <si>
    <t>The opsin repertoire of the Antarctic krill Euphausia superba</t>
  </si>
  <si>
    <t>MARINE GENOMICS</t>
  </si>
  <si>
    <t>Antarctic krill; Euphausia superba; Opsins; Nonvisual opsins; Daily rhythms</t>
  </si>
  <si>
    <t>SENSITIVE OPSINS; GENES; TRANSCRIPTOME; EXPRESSION; EVOLUTION; LIGHT; INSIGHTS; PEROPSIN; GENOME; MODEL</t>
  </si>
  <si>
    <t>The Antarctic krill Euphausia superba experiences almost all marine photic environments throughout its life cycle. Antarctic krill eggs hatch in the aphotic zone up to 1000 m depth and larvae develop on their way to the ocean surface (development ascent) and are exposed to different quality (wavelength) and quantity (irradiance) of light. Adults show a daily vertical migration pattern, moving downward during the day and upward during the night within the top 200 m of the water column. Seawater acts as a potent chromatic filter and animals have evolved different opsin photopigments to perceive photons of specific wavelengths. We have investigated the transcriptome of E. superba and, using a candidate gene approach, we identified six novel opsins. Five are r-type visual opsins: four middle-wavelength-sensitive (EsRh2, EsRh3, EsRh4 and EsRh5) and one long-wavelength sensitive (EsRh6). Moreover, we have identified a non-visual opsin, the EsPeropsin. All these newly identified opsin genes were significantly expressed in compound eyes and brain, while only EsPeropsin and EsRh2 were clearly detected also in the abdomen. A temporal modulation in the transcription of these novel opsins was found, but statistically significant oscillations were only observed in EsRrh3 and EsPeropsin. Our results contribute to the dissection of the complex photoreception system of E. superba, which enables this species to respond to the daily and seasonal changes in irradiance and spectral composition in the Southern Ocean. (C) 2016 Elsevier B.V. All rights reserved.</t>
  </si>
  <si>
    <t>[Biscontin, Alberto; Sales, Gabriele; Mazzotta, Gabriella M.; De Pitta, Cristiano; Costa, Rodolfo] Univ Padua, Dipartimento Biol, Via U Bassi 58-B, I-35121 Padua, Italy; [Frigato, Elena; Bertolucci, Cristiano] Univ Ferrara, Dipartimento Sci Vita &amp; Biotecnol, Via L Borsari 46, I-44121 Ferrara, Italy; [Teschke, Mathias; Meyer, Bettina] Helmholtz Ctr Polar &amp; Marine Res, Alfred Wegener Inst, Sect Polar Biol Oceanog, Bremerhaven, Germany; [Jarman, Simon] Australian Antarctic Div, Kingston, Tas, Australia; [Meyer, Bettina] Carl von Ossietzky Univ Oldenburg, Inst Chem &amp; Biol Marine Environm, Oldenburg, Germany; [Jarman, Simon] Univ Porto, CIBIO InBIO Ctr Invest Biodiversidade &amp; Recursos, P-4485661 Vairao, Portugal</t>
  </si>
  <si>
    <t>University of Padua; University of Ferrara; Helmholtz Association; Alfred Wegener Institute, Helmholtz Centre for Polar &amp; Marine Research; Australian Antarctic Division; Carl von Ossietzky Universitat Oldenburg; Universidade do Porto</t>
  </si>
  <si>
    <t>Costa, R (corresponding author), Univ Padua, Dipartimento Biol, Via U Bassi 58-B, I-35121 Padua, Italy.;Bertolucci, C (corresponding author), Univ Ferrara, Dipartimento Sci Vita &amp; Biotecnol, Via L Borsari 46, I-44121 Ferrara, Italy.</t>
  </si>
  <si>
    <t>rodolfo.costa@unipd.it; bru@unife.it</t>
  </si>
  <si>
    <t>Bertolucci, Cristiano/H-1916-2015; Meyer, Bettina/ABB-5311-2020; De Pitta, Cristiano/AAY-7302-2020; Jarman, Simon/H-9265-2016; Sales, Gabriele/K-5065-2016</t>
  </si>
  <si>
    <t>Bertolucci, Cristiano/0000-0003-0252-3107; Meyer, Bettina/0000-0001-6804-9896; De Pitta, Cristiano/0000-0001-8013-8162; Jarman, Simon/0000-0002-0792-9686; Biscontin, Alberto/0000-0003-1492-7715; MAZZOTTA, GABRIELLA MARGHERITA/0000-0001-5461-6837; Sales, Gabriele/0000-0003-2078-5661</t>
  </si>
  <si>
    <t>Italian Programma Nazionale di Ricerche in Antartide - PNRA [2013/C1.05]; Helmholtz Virtual Institute PolarTime (Biological timing in a changing marine environment - clocks and rhythms in polar pelagic organisms) [VH-VI-500]; University of Ferrara (FAR)</t>
  </si>
  <si>
    <t>Italian Programma Nazionale di Ricerche in Antartide - PNRA; Helmholtz Virtual Institute PolarTime (Biological timing in a changing marine environment - clocks and rhythms in polar pelagic organisms); University of Ferrara (FAR)</t>
  </si>
  <si>
    <t>We thank Antonello Sala (National Research Council, Institute of Marine Sciences, Ancona, Italy) for his help in collecting samples for the temporal expression analysis. This work was supported by the Italian Programma Nazionale di Ricerche in Antartide - PNRA (grant 2013/C1.05 to RC and CB) and the Helmholtz Virtual Institute PolarTime (VH-VI-500: Biological timing in a changing marine environment - clocks and rhythms in polar pelagic organisms). This project is also a contribution to the research programme PACES II (topic 1, workpackage5) of the Alfred Wegener Institute. CB acknowledges research grants from the University of Ferrara (FAR2014).</t>
  </si>
  <si>
    <t>1874-7787</t>
  </si>
  <si>
    <t>1876-7478</t>
  </si>
  <si>
    <t>MAR GENOM</t>
  </si>
  <si>
    <t>Mar. Genom.</t>
  </si>
  <si>
    <t>10.1016/j.margen.2016.04.010</t>
  </si>
  <si>
    <t>Genetics &amp; Heredity; Marine &amp; Freshwater Biology</t>
  </si>
  <si>
    <t>DY9RN</t>
  </si>
  <si>
    <t>WOS:000385472900010</t>
  </si>
  <si>
    <t>Blanchet, MA; Lydersen, C; Ims, RA; Kovacs, KM</t>
  </si>
  <si>
    <t>Blanchet, Marie-Anne; Lydersen, Christian; Ims, Rolf A.; Kovacs, Kit M.</t>
  </si>
  <si>
    <t>Making it through the first year: Ontogeny of movement and diving behavior in harbor seals from Svalbard, Norway</t>
  </si>
  <si>
    <t>MARINE MAMMAL SCIENCE</t>
  </si>
  <si>
    <t>Arctic; development; foraging; independence; weaning; Phoca vitulina; Svalbard</t>
  </si>
  <si>
    <t>PHOCA-VITULINA PUPS; ANTARCTIC FUR SEALS; INTERANNUAL VARIATION; HEART-RATE; BODY-MASS; SURVIVAL; GROWTH; AGE; TELEMETRY; SIZE</t>
  </si>
  <si>
    <t>Phocid seal pups must learn successful survival strategies, largely independently, following their abrupt weaning at a relatively young age. To explore the ontogeny of aquatic skills, space use and first-year habitat choices made by harbor seals, pups (n = 30) were instrumented with satellite relay data loggers (SRDLs) in Svalbard, Norway in 2009 and 2010. Initially, the pups had small home ranges and showed rapid changes in their activity budgets and diving capabilities, displaying steep linear increases in diving depth and duration and in the amount of time spent diving. Most pups underwent an abrupt shift in movement patterns at ca. 50 d of age, which likely marked the end of the postweaning fast. Around this same time, the steep progression in diving performance slowed, though longer, deeper dives gradually became the norm. However, bottom time, ascent and descent rates, and postdive recovery times remained stable after the postweaning fast, suggesting that most aquatic skill acquisition was completed during the first months of life. Few clear effects of environmental variables such as upwelling phenomenon, which are known to influence the diving behavior of adults from the same population, were detected in the diving patterns of pups.</t>
  </si>
  <si>
    <t>[Blanchet, Marie-Anne; Lydersen, Christian; Kovacs, Kit M.] Norwegian Polar Res Inst, Fram Ctr, N-9296 Tromso, Norway; [Ims, Rolf A.] UiT Arctic Univ Norway, Dept Arctic &amp; Marine Biol, N-9037 Tromso, Norway</t>
  </si>
  <si>
    <t>Norwegian Polar Institute; UiT The Arctic University of Tromso</t>
  </si>
  <si>
    <t>Blanchet, MA (corresponding author), Norwegian Polar Res Inst, Fram Ctr, N-9296 Tromso, Norway.</t>
  </si>
  <si>
    <t>blanchet@npolar.no</t>
  </si>
  <si>
    <t>Research Council of Norway; Norwegian Polar Institute</t>
  </si>
  <si>
    <t>Research Council of Norway(Research Council of Norway); Norwegian Polar Institute</t>
  </si>
  <si>
    <t>This study was supported financially by the Research Council of Norway and the Norwegian Polar Institute. We thank Kathy Frost, Lloyd Lowry, Helen Fla, and Knut Fla for their assistance in the field and Drs. Jonas Teilmann and Mike Fedak for their constructive reviews that helped improve the final manuscript. Fieldwork in this study was carried out under the research permits granted by the Governor of Svalbard (2009/00103-2.a512 and 2010/000932.a.512) and the Norwegian Animal Care Authority (2009/1449).</t>
  </si>
  <si>
    <t>0824-0469</t>
  </si>
  <si>
    <t>1748-7692</t>
  </si>
  <si>
    <t>MAR MAMMAL SCI</t>
  </si>
  <si>
    <t>Mar. Mamm. Sci.</t>
  </si>
  <si>
    <t>10.1111/mms.12341</t>
  </si>
  <si>
    <t>Marine &amp; Freshwater Biology; Zoology</t>
  </si>
  <si>
    <t>ED1UW</t>
  </si>
  <si>
    <t>WOS:000388631400009</t>
  </si>
  <si>
    <t>D'amico, VL; Libertelli, M; Coria, N; Bertellotti, M</t>
  </si>
  <si>
    <t>D'amico, Veronica L.; Libertelli, Marcela; Coria, Nestor; Bertellotti, Marcelo</t>
  </si>
  <si>
    <t>BLOOD PARAMETERS OF EMPEROR PENGUIN APTENODYTES FORSTERI CHICKS AT THEIR NORTHERNMOST ANTARCTIC COLONY</t>
  </si>
  <si>
    <t>MARINE ORNITHOLOGY</t>
  </si>
  <si>
    <t>LEUKOCYTE PROFILES; STRESS</t>
  </si>
  <si>
    <t>[D'amico, Veronica L.; Bertellotti, Marcelo] Consejo Nacl Invest Cient &amp; Tecn, Ctr Nacl Patagon, Bv Almirante Brown 2915, Puerto Madryn, Chubut, Argentina; [Libertelli, Marcela; Coria, Nestor] Inst Antartico Argentino, Balcarre 290-2 Piso,CABA C1064ABR, Buenos Aires, DF, Argentina</t>
  </si>
  <si>
    <t>Centro Nacional Patagonico (CENPAT); Consejo Nacional de Investigaciones Cientificas y Tecnicas (CONICET); Instituto Antartico Argentino</t>
  </si>
  <si>
    <t>D'amico, VL (corresponding author), Consejo Nacl Invest Cient &amp; Tecn, Ctr Nacl Patagon, Bv Almirante Brown 2915, Puerto Madryn, Chubut, Argentina.</t>
  </si>
  <si>
    <t>damico@cenpat-conicet.gob.ar</t>
  </si>
  <si>
    <t>Bertellotti, Marcelo/GQZ-7950-2022</t>
  </si>
  <si>
    <t>Bertellotti, Marcelo/0000-0002-1834-7788</t>
  </si>
  <si>
    <t>AFRICAN SEABIRD GROUP</t>
  </si>
  <si>
    <t>RHODES GIFT</t>
  </si>
  <si>
    <t>P. O. BOX 34113, RHODES GIFT, SOUTH AFRICA</t>
  </si>
  <si>
    <t>1018-3337</t>
  </si>
  <si>
    <t>2074-1235</t>
  </si>
  <si>
    <t>MAR ORNITHOL</t>
  </si>
  <si>
    <t>Mar. Ornithol.</t>
  </si>
  <si>
    <t>Marine &amp; Freshwater Biology; Ornithology</t>
  </si>
  <si>
    <t>VH8PD</t>
  </si>
  <si>
    <t>WOS:000456309200011</t>
  </si>
  <si>
    <t>Jorquera, MA; Maruyama, F; Ogram, AV; Navarrete, OU; Lagos, LM; Inostroza, NG; Acuña, JJ; Rilling, JI; Mora, MD</t>
  </si>
  <si>
    <t>Jorquera, Milko A.; Maruyama, Fumito; Ogram, Andrew V.; Navarrete, Oscar U.; Lagos, Lorena M.; Inostroza, Nitza G.; Acuna, Jacquelinne J.; Rilling, Joaquin I.; de La Luz Mora, Maria</t>
  </si>
  <si>
    <t>Rhizobacterial Community Structures Associated with Native Plants Grown in Chilean Extreme Environments</t>
  </si>
  <si>
    <t>MICROBIAL ECOLOGY</t>
  </si>
  <si>
    <t>Antarctic; Bacterial community; Atacama Desert; Extreme environments; Andes Mountain; Rhizosphere</t>
  </si>
  <si>
    <t>SOIL MICROBIAL COMMUNITIES; BACTERIAL COMMUNITY; RHIZOSPHERE MICROBIOME; DNA EXTRACTION; ATACAMA DESERT; DIVERSITY; FINGERPRINTS; PATTERNS; LEGUMES; IMPACT</t>
  </si>
  <si>
    <t>Chile is topographically and climatically diverse, with a wide array of diverse undisturbed ecosystems that include native plants that are highly adapted to local conditions. However, our understanding of the diversity, activity, and role of rhizobacteria associated with natural vegetation in undisturbed Chilean extreme ecosystems is very poor. In the present study, the combination of denaturing gradient gel electrophoresis and 454-pyrosequencing approaches was used to describe the rhizobacterial community structures of native plants grown in three representative Chilean extreme environments: Atacama Desert (ATA), Andes Mountains (AND), and Antarctic (ANT). Both molecular approaches revealed the presence of Proteobacteria, Bacteroidetes, and Actinobacteria as the dominant phyla in the rhizospheres of native plants. Lower numbers of operational taxonomic units (OTUs) were observed in rhizosphere soils from ATA compared with AND and ANT. Both approaches also showed differences in rhizobacterial community structures between extreme environments and between plant species. The differences among plant species grown in the same environment were attributed to the higher relative abundance of classes Gammaproteobacteria and Alphaproteobacteria. However, further studies are needed to determine which environmental factors regulate the structures of rhizobacterial communities, and how (or if) specific bacterial groups may contribute to the growth and survival of native plants in each Chilean extreme environments.</t>
  </si>
  <si>
    <t>[Jorquera, Milko A.; Navarrete, Oscar U.; Inostroza, Nitza G.; Acuna, Jacquelinne J.; de La Luz Mora, Maria] Biotechnol Sci &amp; Technol Bioresource Nucleus, Ctr Plant Soil Interact &amp; Nat Resources, Ave Francisco Salazar, Temuco 01145, Chile; [Maruyama, Fumito] Kyoto Univ, Grad Sch Med, Microbiol Sect, Sakyo Ku, Yoshida Konoe Cho, Kyoto 6068501, Japan; [Ogram, Andrew V.] Univ Florida, Dept Soil &amp; Water Sci, 2181 McCarty Hall,POB 110290, Gainesville, FL 32611 USA; [Lagos, Lorena M.; Rilling, Joaquin I.] Univ La Frontera, Programa Doctorado Ciencias Recursos Nat, Ave Francisco Salazar, Temuco 01145, Chile</t>
  </si>
  <si>
    <t>Kyoto University; State University System of Florida; University of Florida; Universidad de La Frontera</t>
  </si>
  <si>
    <t>Jorquera, MA (corresponding author), Biotechnol Sci &amp; Technol Bioresource Nucleus, Ctr Plant Soil Interact &amp; Nat Resources, Ave Francisco Salazar, Temuco 01145, Chile.</t>
  </si>
  <si>
    <t>milko.jorquera@ufrontera.cl</t>
  </si>
  <si>
    <t>Jorquera, Milko Alberto/B-7378-2011; Mora Gil, Maria Luz/AAT-4081-2021; Maruyama, Fumito/AAK-5928-2020; JORQUERA, MILKO/O-3038-2019</t>
  </si>
  <si>
    <t>Mora Gil, Maria Luz/0000-0002-7474-1595; Maruyama, Fumito/0000-0003-2347-616X; JORQUERA, MILKO/0000-0003-4760-6379; LAGOS PAILLA, LORENA M./0009-0000-6728-435X; Acuna, Jacquelinne/0000-0002-7752-166X</t>
  </si>
  <si>
    <t>International Cooperation Projects Conicyt-USA [USA2013-0010]; Conicyt-MEC [80140015]; Fondecyt [1120505, 3140620]</t>
  </si>
  <si>
    <t>International Cooperation Projects Conicyt-USA; Conicyt-MEC; Fondecyt(Comision Nacional de Investigacion Cientifica y Tecnologica (CONICYT)CONICYT FONDECYT)</t>
  </si>
  <si>
    <t>The authors wish to thank the two anonymous referees for their helpful and constructive criticism. This study was financed by International Cooperation Projects Conicyt-USA (code USA2013-0010), Conicyt-MEC (no. 80140015), and Fondecyt no. 1120505. J.J. Acuna thanks the Fondecyt Postdoctoral Project (no. 3140620).</t>
  </si>
  <si>
    <t>0095-3628</t>
  </si>
  <si>
    <t>1432-184X</t>
  </si>
  <si>
    <t>MICROB ECOL</t>
  </si>
  <si>
    <t>Microb. Ecol.</t>
  </si>
  <si>
    <t>10.1007/s00248-016-0813-x</t>
  </si>
  <si>
    <t>Ecology; Marine &amp; Freshwater Biology; Microbiology</t>
  </si>
  <si>
    <t>Environmental Sciences &amp; Ecology; Marine &amp; Freshwater Biology; Microbiology</t>
  </si>
  <si>
    <t>DW2KH</t>
  </si>
  <si>
    <t>WOS:000383470800014</t>
  </si>
  <si>
    <t>Jones, JM; Gille, ST; Goosse, H; Abram, NJ; Canziani, PO; Charman, DJ; Clem, KR; Crosta, X; de Lavergne, C; Eisenman, I; England, MH; Fogt, RL; Frankcombe, LM; Marshall, GJ; Masson-Delmotte, V; Morrison, AK; Orsi, AJ; Raphael, MN; Renwick, JA; Schneider, DP; Simpkins, GR; Steig, EJ; Stenni, B; Swingedouw, D; Vance, TR</t>
  </si>
  <si>
    <t>Jones, Julie M.; Gille, Sarah T.; Goosse, Hugues; Abram, Nerilie J.; Canziani, Pablo O.; Charman, Dan J.; Clem, Kyle R.; Crosta, Xavier; de Lavergne, Casimir; Eisenman, Ian; England, Matthew H.; Fogt, Ryan L.; Frankcombe, Leela M.; Marshall, Gareth J.; Masson-Delmotte, Valerie; Morrison, Adele K.; Orsi, Anais J.; Raphael, Marilyn N.; Renwick, James A.; Schneider, David P.; Simpkins, Graham R.; Steig, Eric J.; Stenni, Barbara; Swingedouw, Didier; Vance, Tessa R.</t>
  </si>
  <si>
    <t>Assessing recent trends in high-latitude Southern Hemisphere surface climate</t>
  </si>
  <si>
    <t>NATURE CLIMATE CHANGE</t>
  </si>
  <si>
    <t>SEA-ICE EXTENT; PINE ISLAND GLACIER; WEST ANTARCTICA; ANNULAR MODE; LEVEL RISE; PART I; OCEAN; VARIABILITY; CIRCULATION; RECORD</t>
  </si>
  <si>
    <t>Understanding the causes of recent climatic trends and variability in the high-latitude Southern Hemisphere is hampered by a short instrumental record. Here, we analyse recent atmosphere, surface ocean and sea-ice observations in this region and assess their trends in the context of palaeoclimate records and climate model simulations. Over the 36-year satellite era, significant linear trends in annual mean sea-ice extent, surface temperature and sea-level pressure are superimposed on large interannual to decadal variability. Most observed trends, however, are not unusual when compared with Antarctic palaeoclimate records of the past two centuries. With the exception of the positive trend in the Southern Annular Mode, climate model simulations that include anthropogenic forcing are not compatible with the observed trends. This suggests that natural variability overwhelms the forced response in the observations, but the models may not fully represent this natural variability or may overestimate the magnitude of the forced response.</t>
  </si>
  <si>
    <t>[Jones, Julie M.] Univ Sheffield, Dept Geog, Sheffield S10 2TN, S Yorkshire, England; [Gille, Sarah T.; Eisenman, Ian] Univ Calif San Diego, Scripps Inst Oceanog, La Jolla, CA 92093 USA; [Goosse, Hugues] Catholic Univ Louvain, ELIC TECLIM, Pl Pasteur 3, B-1348 Louvain, Belgium; [Abram, Nerilie J.] Australian Natl Univ, Res Sch Earth Sci, Canberra, ACT 2601, Australia; [Abram, Nerilie J.] Australian Natl Univ, ARC Ctr Excellence Climate Syst Sci, Canberra, ACT 2601, Australia; [Canziani, Pablo O.] Univ Tecnol Nacl, Fac Reg Buenos Aires, CONICET, Unidad Invest &amp; Desarrollo Ingn, Buenos Aires, DF, Argentina; [Charman, Dan J.] Univ Exeter, Coll Life &amp; Environm Sci, Dept Geog, Exeter EX4 1RJ, Devon, England; [Clem, Kyle R.; Renwick, James A.] Victoria Univ Wellington, Sch Geog Environm &amp; Earth Sci, Wellington 6012, New Zealand; [Crosta, Xavier; Swingedouw, Didier] Univ Bordeaux, Environm &amp; Paleoenvironm Ocean &amp; Continentaux UMR, Allee Geoffroy St Hilaire, F-33615 Pessac, France; [de Lavergne, Casimir] Univ Pierre &amp; Marie Curie Paris 6, Sorbonne Univ, CNRS, IRD,MNHN,LOCEAN Lab, F-75005 Paris, France; [England, Matthew H.; Frankcombe, Leela M.] Univ New South Wales, ARC Ctr Excellence Climate Syst Sci, Sydney, NSW 2052, Australia; [Fogt, Ryan L.] Ohio Univ, Dept Geog, Athens, OH 45701 USA; [Marshall, Gareth J.] British Antarctic Survey, Madingley Rd, Cambridge CB3 0ET, England; [Masson-Delmotte, Valerie; Orsi, Anais J.] Univ Paris Saclay, UVSQ, CNRS, LSCE,IPSL,CEA, St Aubin, France; [Morrison, Adele K.] Princeton Univ, Program Atmospher &amp; Ocean Sci, 300 Forrestal Rd, Princeton, NJ 08544 USA; [Raphael, Marilyn N.] Univ Calif Los Angeles, Dept Geog, 1255 Bunche Hall, Los Angeles, CA 90095 USA; [Schneider, David P.] Natl Ctr Atmospher Res, POB 3000, Boulder, CO 80307 USA; [Simpkins, Graham R.] Univ Calif Irvine, Dept Earth Syst Sci, Croul Hall, Irvine, CA 92697 USA; [Steig, Eric J.] Univ Washington, Dept Earth &amp; Space Sci, 70 Johnson Hall,Box 351310, Seattle, WA 98195 USA; [Stenni, Barbara] Ca Foscari Univ Venice, Dept Environm Sci Informat &amp; Stat, Via Torino 155, I-30170 Venice, Italy; [Vance, Tessa R.] Univ Tasmania, Antarctic Climate &amp; Ecosyst Cooperat Res Ctr, Private Bag 80, Hobart, Tas 7001, Australia</t>
  </si>
  <si>
    <t>University of Sheffield; University of California System; University of California San Diego; Scripps Institution of Oceanography; Universite Catholique Louvain; Australian National University; Australian National University; ARC Centre of Excellence for Climate System Science; Consejo Nacional de Investigaciones Cientificas y Tecnicas (CONICET); University of Exeter; Victoria University Wellington; Universite de Bordeaux; Sorbonne Universite; Museum National d'Histoire Naturelle (MNHN); Institut de Recherche pour le Developpement (IRD); Centre National de la Recherche Scientifique (CNRS); ARC Centre of Excellence for Climate System Science; University of New South Wales Sydney; University System of Ohio; Ohio University; UK Research &amp; Innovation (UKRI); Natural Environment Research Council (NERC); NERC British Antarctic Survey; CEA; Centre National de la Recherche Scientifique (CNRS); Universite Paris Saclay; Universite Paris Cite; Princeton University; National Oceanic Atmospheric Admin (NOAA) - USA; University of California System; University of California Los Angeles; National Center Atmospheric Research (NCAR) - USA; University of California System; University of California Irvine; University of Washington; University of Washington Seattle; Universita Ca Foscari Venezia; University of Tasmania; Antarctic Climate &amp; Ecosystems Cooperative Research Centre (ACE CRC)</t>
  </si>
  <si>
    <t>Jones, JM (corresponding author), Univ Sheffield, Dept Geog, Sheffield S10 2TN, S Yorkshire, England.</t>
  </si>
  <si>
    <t>julie.jones@sheffield.ac.uk</t>
  </si>
  <si>
    <t>Abram, Nerilie/AAT-5171-2021; Masson-Delmotte, Valerie L/G-1995-2011; England, Matthew/A-7539-2011; Clem, Kyle/AAG-6626-2021; Steig, Eric J/G-9088-2015; IPO, PAGES/JXY-7546-2024; Eisenman, Ian/B-9329-2009; Fogt, Ryan L/B-6989-2008; Swingedouw, Didier/D-1408-2010; Gille, Sarah T./B-3171-2012; Frankcombe, Leela M/C-7003-2012; Schneider, David/E-2726-2010; Morrison, Adele/C-1774-2012; Charman, Dan/K-9303-2014</t>
  </si>
  <si>
    <t>Masson-Delmotte, Valerie L/0000-0001-8296-381X; England, Matthew/0000-0001-9696-2930; Clem, Kyle/0000-0002-1419-2758; Fogt, Ryan L/0000-0002-5398-3990; Swingedouw, Didier/0000-0002-0583-0850; Frankcombe, Leela/0000-0001-6578-3200; de Lavergne, Casimir/0000-0001-9267-7390; Jones, Julie/0000-0003-2892-8647; Schneider, David/0000-0001-5308-1834; Gille, Sarah/0000-0001-9144-4368; Hegerl, Gabriele/0000-0002-4159-1295; Eisenman, Ian/0000-0003-0190-2869; Stenni, Barbara/0000-0003-4950-3664; Vance, Tessa/0000-0001-6970-8646; Morrison, Adele/0000-0002-9904-4980; Abram, Nerilie/0000-0003-1246-2344; Charman, Dan/0000-0003-3464-4536</t>
  </si>
  <si>
    <t>Climate and Cryosphere project of the World Climate Research Programme (through the Polar Climate Predictability Initiative); Government of Canada through the Federal Department of the Environment; QEII fellowship; Australian Research Council [ARC DP110101161, DP140102059, FL100100214]; ARC Laureate Fellowship [FL100100214]; Agence Nationale de la Recherche [ANR-14-CE01-0001]; Fonds National de la Recherche Scientifique (F.R.S.-FNRS-Belgium); ANPCyT [PICT2012 2927]; NSF [1341621, OCE-1234473, PLR-1425989, 1235231, AGS-1206120, AGS-1407360, OCE-1357078]; Leverhulme Trust; National Science Foundation (NSF); French ANR CEPS project Green Greenland [ANR-10-CEPL-0008]; UK Natural Environment Research Council (NERC) through the British Antarctic Survey research programme Polar Science for Planet Earth; US Department of Energy [DE-SC0012457]; VUW doctoral scholarship; NERC [NE/H014896/1]; UPMC doctoral scholarship; EU [FP7-PEOPLE-2012-IIF 331615]; French ANR CLIMICE project [ANR-08-CEXC-012-01]; FP7 PAST4FUTURE project [243908]; Marsden grant [VUW1408]; Australian Government's Cooperative Research Centres programme, through the ACE CRC; NERC [bas0100032, NE/J013595/1, NE/H014896/1, NE/H014810/1] Funding Source: UKRI; U.S. Department of Energy (DOE) [DE-SC0012457] Funding Source: U.S. Department of Energy (DOE); Natural Environment Research Council [NE/J013595/1, NE/H014810/1, NE/H014896/1, bas0100032] Funding Source: researchfish; Directorate For Geosciences; Division Of Earth Sciences [1440015] Funding Source: National Science Foundation; Directorate For Geosciences; Division Of Ocean Sciences [1357078, 1234473] Funding Source: National Science Foundation; Directorate For Geosciences; ICER [1450657, 1450554] Funding Source: National Science Foundation; Directorate For Geosciences; Office of Polar Programs (OPP) [1235231] Funding Source: National Science Foundation; Office of Polar Programs (OPP); Directorate For Geosciences [1425989, 1341527, 1341621] Funding Source: National Science Foundation; Agence Nationale de la Recherche (ANR) [ANR-14-CE01-0001] Funding Source: Agence Nationale de la Recherche (ANR)</t>
  </si>
  <si>
    <t>Climate and Cryosphere project of the World Climate Research Programme (through the Polar Climate Predictability Initiative); Government of Canada through the Federal Department of the Environment; QEII fellowship; Australian Research Council(Australian Research Council); ARC Laureate Fellowship(Australian Research Council); Agence Nationale de la Recherche(Agence Nationale de la Recherche (ANR)); Fonds National de la Recherche Scientifique (F.R.S.-FNRS-Belgium)(Fonds de la Recherche Scientifique - FNRS); ANPCyT(ANPCyT); NSF(National Science Foundation (NSF)); Leverhulme Trust(Leverhulme Trust); National Science Foundation (NSF)(National Science Foundation (NSF)); French ANR CEPS project Green Greenland(Agence Nationale de la Recherche (ANR)); UK Natural Environment Research Council (NERC) through the British Antarctic Survey research programme Polar Science for Planet Earth; US Department of Energy(United States Department of Energy (DOE)); VUW doctoral scholarship; NERC(UK Research &amp; Innovation (UKRI)Natural Environment Research Council (NERC)); UPMC doctoral scholarship; EU(European Union (EU)); French ANR CLIMICE project(Agence Nationale de la Recherche (ANR)); FP7 PAST4FUTURE project; Marsden grant(Royal Society of New ZealandMarsden Fund (NZ)); Australian Government's Cooperative Research Centres programme, through the ACE CRC(Australian GovernmentDepartment of Industry, Innovation and ScienceCooperative Research Centres (CRC) Programme); NERC(UK Research &amp; Innovation (UKRI)Natural Environment Research Council (NERC)); U.S. Department of Energy (DOE)(United States Department of Energy (DOE)); Natural Environment Research Council(UK Research &amp; Innovation (UKRI)Natural Environment Research Council (NERC)); Directorate For Geosciences; Division Of Earth Sciences(National Science Foundation (NSF)NSF - Directorate for Geosciences (GEO)); Directorate For Geosciences; Division Of Ocean Sciences(National Science Foundation (NSF)NSF - Directorate for Geosciences (GEO)); Directorate For Geosciences; ICER(National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 Agence Nationale de la Recherche (ANR)(Agence Nationale de la Recherche (ANR))</t>
  </si>
  <si>
    <t>We thank H. Diamond, I. Goodwin, J. McClean, J. Twedt, J. Severinghaus, C. Wilkinson, R. Wilson and U. Zajacazkovski for their contributions to the meeting at which this paper was planned. The meeting and this project were supported by the Climate and Cryosphere project of the World Climate Research Programme (through the Polar Climate Predictability Initiative) and the Government of Canada through the Federal Department of the Environment. We also thank Past Global Changes (PAGES) for supporting this meeting; D. McCutcheon for producing Supplementary Fig. 1; the SCAR Reader project for providing the Antarctic station data; J. Nicolas and D. Bromwich for making the Antarctic surface temperature reconstruction available; the National Snow and Ice Data Centre for provision of the sea ice data; the ECMWF for providing the Era Interim reanalysis; and NOAA for providing the SST data. We thank the many scientists who made their published palaeoclimate datasets available via public data repositories or personal requests, and we acknowledge the efforts of the PAGES Antarctica 2k working group in compiling many of the palaeoclimate records used in this study. We acknowledge the World Climate Research Programme's Working Group on Coupled Modelling, which is responsible for CMIP. The US Department of Energy's Program for Climate Model Diagnosis and Intercomparison provides coordinating support for CMIP and led the development of software infrastructure in partnership with the Global Organization for Earth System Science Portals.; Support was provided by the following organizations: N.J.A: QEII fellowship and Discovery Project awarded by the Australian Research Council (ARC DP110101161 and DP140102059); M.H.E., ARC Laureate Fellowship (FL100100214); V.M.D., Agence Nationale de la Recherche, project ANR-14-CE01-0001 (ASUMA), and logistical support to French Antarctic studies from the Institut Polaire Paul-Emile Victor (IPEV); B.S., PAGES Antarctica 2k and the ESF-PolarClimate HOLOCLIP project; H.G., the Fonds National de la Recherche Scientifique (F.R.S.-FNRS-Belgium), where he is Research Director; P.O.C., research grant ANPCyT PICT2012 2927; R.L.F., NSF grant 1341621; E.J.S., the Leverhulme Trust; S.T.G., NSF grants OCE-1234473 and PLR-1425989; D.P.S., NSF grant 1235231; NCAR is sponsored by the National Science Foundation (NSF); G.R.S., NSF grants AGS-1206120 and AGS-1407360; D.S., the French ANR CEPS project Green Greenland (ANR-10-CEPL-0008); G.J.M., UK Natural Environment Research Council (NERC) through the British Antarctic Survey research programme Polar Science for Planet Earth; A.K.M., US Department of Energy under contract DE-SC0012457; K.R.C., VUW doctoral scholarship; L.M.F., Australian Research Council (FL100100214); D.J.C., NERC grant NE/H014896/1; C.d.L., UPMC doctoral scholarship; A.J.O., EU grant FP7-PEOPLE-2012-IIF 331615; X.C., the French ANR CLIMICE (ANR-08-CEXC-012-01) and the FP7 PAST4FUTURE (243908) projects; J.A.R., Marsden grant VUW1408; I.E., NSF grant OCE-1357078; T.R.V., the Australian Government's Cooperative Research Centres programme, through the ACE CRC.</t>
  </si>
  <si>
    <t>1758-678X</t>
  </si>
  <si>
    <t>1758-6798</t>
  </si>
  <si>
    <t>NAT CLIM CHANGE</t>
  </si>
  <si>
    <t>Nat. Clim. Chang.</t>
  </si>
  <si>
    <t>10.1038/NCLIMATE3103</t>
  </si>
  <si>
    <t>Environmental Sciences; Environmental Studies; Meteorology &amp; Atmospheric Sciences</t>
  </si>
  <si>
    <t>EC7CG</t>
  </si>
  <si>
    <t>Green Submitted, Green Accepted</t>
  </si>
  <si>
    <t>WOS:000388292800013</t>
  </si>
  <si>
    <t>Gionfriddo, CM; Tate, MT; Wick, RR; Schultz, MB; Zemla, A; Thelen, MP; Schofield, R; Krabbenhoft, DP; Holt, KE; Moreau, JW</t>
  </si>
  <si>
    <t>Gionfriddo, Caitlin M.; Tate, Michael T.; Wick, Ryan R.; Schultz, Mark B.; Zemla, Adam; Thelen, Michael P.; Schofield, Robyn; Krabbenhoft, David P.; Holt, Kathryn E.; Moreau, John W.</t>
  </si>
  <si>
    <t>Microbial mercury methylation in Antarctic sea ice</t>
  </si>
  <si>
    <t>NITROSPINA-LIKE BACTERIA; FRESH-WATER; INORGANIC MERCURY; SURFACE WATERS; SNOW; METHYLMERCURY; METAGENOMICS; RESISTANCE; BRINE; OXIDATION</t>
  </si>
  <si>
    <t>Atmospheric deposition of mercury onto sea ice and circumpolar sea water provides mercury for microbial methylation, and contributes to the bioaccumulation of the potent neurotoxin methylmercury in the marine food web. Little is known about the abiotic and biotic controls on microbial mercury methylation in polar marine systems. However, mercury methylation is known to occur alongside photochemical and microbial mercury reduction and subsequent volatilization. Here, we combine mercury speciation measurements of total and methylated mercury with metagenomic analysis of whole-community microbial DNA from Antarctic snow, brine, sea ice and sea water to elucidate potential microbially mediated mercury methylation and volatilization pathways in polar marine environments. Our results identify the marine microaerophilic bacterium Nitrospina as a potential mercury methylator within sea ice. Anaerobic bacteria known to methylate mercury were notably absent from sea-ice metagenomes. We propose that Antarctic sea ice can harbour a microbial source of methylmercury in the Southern Ocean.</t>
  </si>
  <si>
    <t>[Gionfriddo, Caitlin M.; Schofield, Robyn; Moreau, John W.] Univ Melbourne, Sch Earth Sci, Parkville, Vic 3010, Australia; [Tate, Michael T.; Krabbenhoft, David P.] US Geol Survey, Wisconsin Water Sci Ctr, Middleton, WI 53562 USA; [Wick, Ryan R.; Schultz, Mark B.; Holt, Kathryn E.] Univ Melbourne, Ctr Syst Genom, Melbourne, Vic 3010, Australia; [Wick, Ryan R.; Schultz, Mark B.; Holt, Kathryn E.] Univ Melbourne, Mol Sci &amp; Biotechnol Inst Bio21, Dept Biochem &amp; Mol Biol, Melbourne, Vic 3010, Australia; [Zemla, Adam] Lawrence Livermore Natl Lab, Computat Directorate, Livermore, CA 94550 USA; [Thelen, Michael P.] Lawrence Livermore Natl Lab, Phys &amp; Life Sci Directorate, Livermore, CA 94550 USA</t>
  </si>
  <si>
    <t>University of Melbourne; United States Department of the Interior; United States Geological Survey; University of Melbourne; Melbourne Genomics Health Alliance; University of Melbourne; Melbourne Bioinformatics; United States Department of Energy (DOE); Lawrence Livermore National Laboratory; United States Department of Energy (DOE); Lawrence Livermore National Laboratory</t>
  </si>
  <si>
    <t>Moreau, JW (corresponding author), Univ Melbourne, Sch Earth Sci, Parkville, Vic 3010, Australia.</t>
  </si>
  <si>
    <t>jmoreau@unimelb.edu.au</t>
  </si>
  <si>
    <t>Schofield, Robyn/A-4062-2010; Holt, Kathryn E/A-8108-2012; Wick, Ryan R./JOZ-5630-2023; Moreau, John W/A-8061-2013; Thelen, Michael P/G-2032-2014; Schultz, Mark B/R-1179-2019; Gionfriddo, Caitlin/JGL-7314-2023</t>
  </si>
  <si>
    <t>Schofield, Robyn/0000-0002-4230-717X; Holt, Kathryn E/0000-0003-3949-2471; Schultz, Mark B/0000-0002-7689-6531; Gionfriddo, Caitlin/0000-0003-0745-9255; Moreau, John W/0000-0002-5997-522X; Tate, Michael/0000-0003-1525-1219</t>
  </si>
  <si>
    <t>Australian Antarctic Division [AAD4032]; University of Melbourne Joyce Lambert Antarctic Research Seed Funding Grant [501325]</t>
  </si>
  <si>
    <t>Australian Antarctic Division; University of Melbourne Joyce Lambert Antarctic Research Seed Funding Grant</t>
  </si>
  <si>
    <t>The authors acknowledge funding support from the Australian Antarctic Division (AAD4032, awarded to R.S., J.W.M., M.T.T. and D.P.K.) and The University of Melbourne Joyce Lambert Antarctic Research Seed Funding Grant (no. 501325, awarded to M.B.S., K.E.H. and J.W.M.). The authors thank K. Meiners for contributions to the sea ice chemistry data and shipboard logistical support as the Chief Scientist of SIPEX II; A. Klekociuk (Australian Antarctic Division, Co-Investigator on AAD4032) for shipboard logistical support; D. Lannuzel and A. Bowie (University of Tasmania) for making trace metal data available and for shipboard sampling and logistical support; K. Westwood at the Australian Antarctic Division for assistance in the biology laboratory and contributions to water chemistry data; and A. Martin, S. Ugalde, F. Chever, C. Schallenberg and J. Janssens (SIPEX II Science Party) for logistical assistance on the ice. The authors also thank J. Banfield and B. Thomas (University of California-Berkeley) for help with ggKbase. The authors thank J. Santillan and C. Gilmour (Smithsonian Environmental Research Center) for their constructive review that helped to improve this manuscript.</t>
  </si>
  <si>
    <t>10.1038/NMICROBIOL.2016.127</t>
  </si>
  <si>
    <t>ED8RS</t>
  </si>
  <si>
    <t>WOS:000389139200004</t>
  </si>
  <si>
    <t>Howe, JNW; Piotrowski, AM; Oppo, DW; Huang, KF; Mulitza, S; Chiessi, CM; Blusztajn, J</t>
  </si>
  <si>
    <t>Howe, Jacob N. W.; Piotrowski, Alexander M.; Oppo, Delia W.; Huang, Kuo-Fang; Mulitza, Stefan; Chiessi, Cristiano M.; Blusztajn, Jurek</t>
  </si>
  <si>
    <t>Antarctic intermediate water circulation in the South Atlantic over the past 25,000years</t>
  </si>
  <si>
    <t>PALEOCEANOGRAPHY</t>
  </si>
  <si>
    <t>Antarctic Intermediate Water; neodymium isotopes; degalciation; South Atlantic</t>
  </si>
  <si>
    <t>TROPICAL NORTH-ATLANTIC; DEEP-WATER; HIGH-LATITUDE; THERMOHALINE CIRCULATION; OVERTURNING CIRCULATION; NEODYMIUM ISOTOPES; OCEAN CIRCULATION; ABRUPT CHANGES; ND; EVOLUTION</t>
  </si>
  <si>
    <t>Antarctic Intermediate Water is an essential limb of the Atlantic meridional overturning circulation that redistributes heat and nutrients within the Atlantic Ocean. Existing reconstructions have yielded conflicting results on the history of Antarctic Intermediate Water penetration into the Atlantic across the most recent glacial termination. In this study we present leachate, foraminiferal, and detrital neodymium isotope data from three intermediate-depth cores collected from the southern Brazil margin in the South Atlantic covering the past 25kyr. These results reveal that strong chemical leaching following decarbonation does not extract past seawater neodymium composition in this location. The new foraminiferal records reveal no changes in seawater Nd isotopes during abrupt Northern Hemisphere cold events at these sites. We therefore conclude that there is no evidence for greater incursion of Antarctic Intermediate Water into the South Atlantic during either the Younger Dryas or Heinrich Stadial 1. We do, however, observe more radiogenic Nd isotope values in the intermediate-depth South Atlantic during the mid-Holocene. This radiogenic excursion coincides with evidence for a southward shift in the Southern Hemisphere westerlies that may have resulted in a greater entrainment of radiogenic Pacific-sourced water during intermediate water production in the Atlantic sector of the Southern Ocean. Our intermediate-depth records show similar values to a deglacial foraminiferal Nd isotope record from the deep South Atlantic during the Younger Dryas but are clearly distinct during the Last Glacial Maximum and Heinrich Stadial 1, demonstrating that the South Atlantic remained chemically stratified during Heinrich Stadial 1.</t>
  </si>
  <si>
    <t>[Howe, Jacob N. W.; Piotrowski, Alexander M.] Univ Cambridge, Dept Earth Sci, Cambridge, England; [Oppo, Delia W.; Huang, Kuo-Fang; Blusztajn, Jurek] Woods Hole Oceanog Inst, Dept Geol &amp; Geophys, Woods Hole, MA USA; [Huang, Kuo-Fang] Acad Sinica, Inst Earth Sci, Taipei, Taiwan; [Mulitza, Stefan] Univ Bremen, MARUM Ctr Marine Environm Sci, Bremen, Germany; [Chiessi, Cristiano M.] Univ Sao Paulo, Sch Arts Sci &amp; Humanities, Sao Paulo, Brazil</t>
  </si>
  <si>
    <t>University of Cambridge; Woods Hole Oceanographic Institution; Academia Sinica - Taiwan; University of Bremen; Universidade de Sao Paulo</t>
  </si>
  <si>
    <t>Howe, JNW (corresponding author), Univ Cambridge, Dept Earth Sci, Cambridge, England.</t>
  </si>
  <si>
    <t>jacob.howe@cantab.net</t>
  </si>
  <si>
    <t>Chiessi, Cristiano Mazur/E-1916-2012; Chiessi, Cristiano Mazur/JAZ-0806-2023; Huang, Kuo-Fang/M-2740-2019; Mulitza, Stefan/G-5357-2011</t>
  </si>
  <si>
    <t>Chiessi, Cristiano Mazur/0000-0003-3318-8022; Chiessi, Cristiano Mazur/0000-0003-3318-8022; Huang, Kuo-Fang/0000-0002-7858-4865; Oppo, Delia/0000-0003-2946-5904; Mulitza, Stefan/0000-0002-3842-1447</t>
  </si>
  <si>
    <t>NERC [NE/K005235/1, NE/F006047/1]; NSF [OCE-1335191]; Rutherford Memorial Scholarship; DFG Research Center/Cluster of Excellence The Ocean in the Earth System; FAPESP [2012/17517-3]; CAPES [1976/2014, 564/2015]; Directorate For Geosciences; Division Of Ocean Sciences [1335191] Funding Source: National Science Foundation; NERC [NE/F006047/1, NE/K005235/1] Funding Source: UKRI; Natural Environment Research Council [NE/K005235/1, NE/F006047/1] Funding Source: researchfish</t>
  </si>
  <si>
    <t>NERC(UK Research &amp; Innovation (UKRI)Natural Environment Research Council (NERC)); NSF(National Science Foundation (NSF)); Rutherford Memorial Scholarship; DFG Research Center/Cluster of Excellence The Ocean in the Earth System(German Research Foundation (DFG)); FAPESP(Fundacao de Amparo a Pesquisa do Estado de Sao Paulo (FAPESP)); CAPES(Coordenacao de Aperfeicoamento de Pessoal de Nivel Superior (CAPES)); Directorate For Geosciences; Division Of Ocean Sciences(National Science Foundation (NSF)NSF - Directorate for Geosciences (GEO)); NERC(UK Research &amp; Innovation (UKRI)Natural Environment Research Council (NERC)); Natural Environment Research Council(UK Research &amp; Innovation (UKRI)Natural Environment Research Council (NERC))</t>
  </si>
  <si>
    <t>Sample material was provided by the GeoB Core Repository at the MARUM-Center for Marine Environmental Sciences, University of Bremen, and Woods Hole Oceanographic Institute. Gideon Henderson and Ben Hickey are thanked for providing the age model for GeoB2104-3 and Katharina Pahnke for providing the detrital data from KNR159-5-36GGC. Hazel Chapman, KR Pietro, Jo Clegg, and Vicky Rennie are thanked for technical support. Nd isotope analyses were supported by NERC grants NE/K005235/1 and NE/F006047/1 to A.M.P. and NSF grant OCE-1335191 to D.W.O. J.N.W.H. was supported by a Rutherford Memorial Scholarship, S.M. was funded through the DFG Research Center/Cluster of Excellence The Ocean in the Earth System, and C.M.C. acknowledges financial support from FAPESP (grant 2012/17517-3) and CAPES (grants 1976/2014 and 564/2015). Data presented in this work are listed in the supporting information and archived at www.pangaea.de.</t>
  </si>
  <si>
    <t>0883-8305</t>
  </si>
  <si>
    <t>1944-9186</t>
  </si>
  <si>
    <t>Paleoceanography</t>
  </si>
  <si>
    <t>10.1002/2016PA002975</t>
  </si>
  <si>
    <t>Geosciences, Multidisciplinary; Oceanography; Paleontology</t>
  </si>
  <si>
    <t>Geology; Oceanography; Paleontology</t>
  </si>
  <si>
    <t>EC0FX</t>
  </si>
  <si>
    <t>WOS:000387775200001</t>
  </si>
  <si>
    <t>Grenvald, JC; Callesen, TA; Daase, M; Hobbs, L; Darnis, G; Renaud, PE; Cottier, F; Nielsen, TG; Berge, J</t>
  </si>
  <si>
    <t>Grenvald, Julie Cornelius; Callesen, Trine Abraham; Daase, Malin; Hobbs, Laura; Darnis, Gerald; Renaud, Paul E.; Cottier, Finlo; Nielsen, Torkel Gissel; Berge, Jorgen</t>
  </si>
  <si>
    <t>Plankton community composition and vertical migration during polar night in Kongsfjorden</t>
  </si>
  <si>
    <t>Protists; Zooplankton; Vertical migration; Polar night; Kongsfjorden; Svalbard</t>
  </si>
  <si>
    <t>ANNUAL POPULATION DEVELOPMENT; ARCTIC FJORD KONGSFJORDEN; ZOOPLANKTON COMMUNITY; CALANUS-FINMARCHICUS; SEA-ICE; ANTARCTIC KRILL; OITHONA-SIMILIS; DISKO BAY; MARINE; COPEPODS</t>
  </si>
  <si>
    <t>The polar night in the Arctic is characterized by up to six months of darkness, low temperatures and limited food availability. Biological data on species composition and abundance during this period are scarce due to the logistical challenges posed when sampling these regions. Here, we characterize the plankton community composition during the polar night using water samplers and zooplankton net samples (50, 64, 200, 1500 mu m), supplemented by acoustics (ADCPs, 300 kHz), to address a previously unresolved question-which species of zooplankton perform diel vertical migration during the polar night? The protist community (smallest plankton fraction) was mainly represented by ciliates (Strombidiida). In the larger zooplankton fractions (50, 64, 200 mu m) the species composition was represented primarily by copepod nauplii and small copepods (e.g., Microcalanus spp., Pseudocalanus spp. and Oithona similis). In the largest zooplankton fraction (&gt; 1500 mu m), the euphausiid, Thysanoessa inermis, was the most abundant species followed by the chaetognath Parasagitta elegans. Classical DVM was not observed throughout the darkest parts of the polar night (November-mid-January), although, subtle vertical migration patterns were detected in the acoustic data. With the occurrence of a more distinct day-night cycle (i.e., end of January), acoustical DVM signals were observed, paralleled by a classical DVM pattern in February in the largest fractions of zooplankton net samples. We suggest that Thysanoessa spp. are main responsible for the acoustical migration patterns throughout the polar night, although, chaetognaths and copepods may be co-responsible.</t>
  </si>
  <si>
    <t>[Grenvald, Julie Cornelius; Callesen, Trine Abraham; Renaud, Paul E.; Berge, Jorgen] Univ Ctr Svalbard, N-9171 Longyearbyen, Norway; [Grenvald, Julie Cornelius; Daase, Malin; Cottier, Finlo; Berge, Jorgen] UiT Arctic Univ Norway, Fac Biosci Fisheries &amp; Econ, N-9037 Tromso, Norway; [Darnis, Gerald; Renaud, Paul E.] Akvaplan Niva, Fram Ctr Climate &amp; Environm, N-9296 Tromso, Norway; [Hobbs, Laura; Cottier, Finlo] Scottish Assoc Marine Sci, Scottish Marine Inst, Oban PA37 1QA, Argyll, Scotland; [Grenvald, Julie Cornelius; Callesen, Trine Abraham; Nielsen, Torkel Gissel] Tech Univ Denmark, Natl Inst Aquat Resources, DK-2900 Charlottenlund, Denmark</t>
  </si>
  <si>
    <t>University Centre Svalbard (UNIS); UiT The Arctic University of Tromso; Akvaplan-niva; UHI Millennium Institute; Technical University of Denmark</t>
  </si>
  <si>
    <t>Grenvald, JC (corresponding author), Univ Ctr Svalbard, N-9171 Longyearbyen, Norway.;Grenvald, JC (corresponding author), UiT Arctic Univ Norway, Fac Biosci Fisheries &amp; Econ, N-9037 Tromso, Norway.;Grenvald, JC (corresponding author), Tech Univ Denmark, Natl Inst Aquat Resources, DK-2900 Charlottenlund, Denmark.</t>
  </si>
  <si>
    <t>julie.cornelius.grenvald@unis.no</t>
  </si>
  <si>
    <t>Nielsen, Torkel Gissel/HLQ-4981-2023; Cottier, Finlo/K-6277-2012; Berge, Jorgen/E-7544-2015</t>
  </si>
  <si>
    <t>Berge, Jorgen/0000-0003-0900-5679; Daase, Malin/0000-0001-8413-3924; Cottier, Finlo/0000-0002-3068-1754; Nielsen, Torkel Gissel/0000-0003-1057-158X; Hobbs, Laura/0000-0002-2964-6310</t>
  </si>
  <si>
    <t>Norwegian Research Council: CircA [214271]; Marine Night [226417]</t>
  </si>
  <si>
    <t>Norwegian Research Council: CircA; Marine Night</t>
  </si>
  <si>
    <t>The authors would like to thank the crew onboard RV Helmer Hanssen and KV Svalbard for their support and efforts during the cruises. A special thanks to Colin Griffiths and Daniel Vogedes for their assistance in sampling and to Michael Greenacre and Sigrun Jonasdottir for criticism and guidance in stages of manuscript writing. Ship time was provided by UiT-The Arctic University of Norway. This study was funded by two Grants from the Norwegian Research Council: CircA (Project number 214271) and Marine Night (Project number 226417).</t>
  </si>
  <si>
    <t>10.1007/s00300-016-2015-x</t>
  </si>
  <si>
    <t>WOS:000384551800014</t>
  </si>
  <si>
    <t>Hirche, HJ; Laudien, J; Buchholz, F</t>
  </si>
  <si>
    <t>Hirche, H. -J.; Laudien, J.; Buchholz, F.</t>
  </si>
  <si>
    <t>Near-bottom zooplankton aggregations in Kongsfjorden: implications for pelago-benthic coupling</t>
  </si>
  <si>
    <t>Kongsfjord; Near-bottom macrozooplankton; Hyperbenthic krill; Chaetognatha; Amphipoda; Copepoda; Arctic fjord; MOKI system; ROV</t>
  </si>
  <si>
    <t>THEMISTO-LIBELLULA AMPHIPODA; COPEPOD CALANUS-HYPERBOREUS; ARCTIC FJORD KONGSFJORDEN; MARGINAL ICE-ZONE; VERTICAL-DISTRIBUTION; ANTARCTIC KRILL; MEGANYCTIPHANES-NORVEGICA; ECOLOGICAL INVESTIGATIONS; ACOUSTIC BACKSCATTERING; THYSANOESSA-INERMIS</t>
  </si>
  <si>
    <t>Near-bottom zooplankton communities have rarely been studied despite numerous reports of high zooplankton concentrations, probably due to methodological constraints. In Kongsfjorden, Svalbard, the near-bottom layer was studied for the first time by combining daytime deployments of a remotely operated vehicle (ROV), the optical zooplankton sensor moored on-sight key species investigation (MOKI), and Tucker trawl sampling. ROV data from the fjord entrance and the inner fjord showed high near-bottom abundances of euphausiids with a mean concentration of 17.3 +/- 3.5 n x 100 m(-3). With the MOKI system, we observed varying numbers of euphausiids, amphipods, chaetognaths, and copepods on the seafloor at six stations. Light-induced zooplankton swarms reached densities in the order of 90,000 (euphausiids), 120,000 (amphipods), and 470,000 ind m(-3) (chaetognaths), whereas older copepodids of Calanus hyperboreus and C. glacialis did not respond to light. They were abundant at the seafloor and 5 and 15 m above and showed maximum abundance of 65,000 ind m(-3). Tucker trawl data provided an overview of the seasonal vertical distribution of euphausiids. The most abundant species Thysanoessa inermis reached near-bottom concentrations of 270 ind m(-3). Regional distribution was neither related to depth nor to location in the fjord. The taxa observed were all part of the pelagic community. Our observations suggest the presence of near-bottom macrozooplankton also in other regions and challenge the current view of bentho-pelagic coupling. Neglecting this community may cause severe underestimates of the stock of pelagic zooplankton, especially predatory species, which link secondary production with higher trophic levels.</t>
  </si>
  <si>
    <t>[Hirche, H. -J.; Laudien, J.; Buchholz, F.] Helmholtz Ctr Marine &amp; Polar Res, Alfred Wegener Inst, D-27570 Bremerhaven, Germany</t>
  </si>
  <si>
    <t>Hirche, HJ (corresponding author), Helmholtz Ctr Marine &amp; Polar Res, Alfred Wegener Inst, D-27570 Bremerhaven, Germany.</t>
  </si>
  <si>
    <t>Hans-Juergen.Hirche@awi.de</t>
  </si>
  <si>
    <t>Laudien, Jurgen/0000-0003-2663-4821</t>
  </si>
  <si>
    <t>10.1007/s00300-015-1799-4</t>
  </si>
  <si>
    <t>WOS:000384551800015</t>
  </si>
  <si>
    <t>Nicoll, KA; Harrison, RC</t>
  </si>
  <si>
    <t>Nicoll, K. A.; Harrison, R. C.</t>
  </si>
  <si>
    <t>Stratiform cloud electrification: comparison of theory with multiple in-cloud measurements</t>
  </si>
  <si>
    <t>QUARTERLY JOURNAL OF THE ROYAL METEOROLOGICAL SOCIETY</t>
  </si>
  <si>
    <t>atmospheric electricity; balloon meaurements; radiosonde; cloud electricity</t>
  </si>
  <si>
    <t>GLOBAL ELECTRIC-CIRCUIT; ATMOSPHERIC ELECTRICITY; ION PRODUCTION; DROPLETS; CONDUCTIVITY; ENHANCEMENT; TROPOSPHERE; CYCLE; FIELD; SIZE</t>
  </si>
  <si>
    <t>Stratiform clouds constitute similar to 40% of global cloud cover and play a key role in determining the planetary radiation budget. Electrification remains one of the least understood effects on their microphysical processes. Droplet charging at the top and bottom edges of stratiform clouds arises from vertical current flow through clouds driven by the Global atmospheric Electric Circuit. In-cloud charge data are central in assessing the role of charge in droplet growth processes, which influence droplet size distributions and associated cloud radiative properties and precipitation. This study presents the first high vertical resolution electrical measurements made in multiple layer clouds. Of the 22 clouds sampled, all were charged at their edges, demonstrating unequivocally that all stratiform clouds can be expected to contain charge at their upper and lower boundaries to varying extent. Cloud base and cloud top are shown to charge asymmetrically, with mean cloud-top space charge +32 pC m(-3) and base space charge -24 pC m(-3). The larger cloud-top charges are associated with strong temperature inversions and large vertical electrical conductivity gradients at the upper cloud boundary. Greater charging was observed in low altitude (&lt; 2 km) clouds (20.2 pC m(-3)), compared to higher altitude (&gt; 2 km) cloud layers (7.0 pC m(-3)), consistent with the smaller air conductivity at lower altitudes associated with reduced cosmic ray ionisation. Taken together, these measurements show that the greatest cloud droplet charges in extensive stratiform clouds occur at cloud tops for low altitude (&lt; 2 km) clouds, when vertical mixing is suppressed by appreciable temperature inversions, confirming theoretical expectations. The influence of cloud dynamics on layer cloud edge charging reported here should inform modelling studies of cloud droplet charging effects on cloud microphysics.</t>
  </si>
  <si>
    <t>[Nicoll, K. A.; Harrison, R. C.] Univ Reading, Dept Meteorol, Whiteknights Campus, Reading RG6 6BB, Berks, England</t>
  </si>
  <si>
    <t>University of Reading</t>
  </si>
  <si>
    <t>Nicoll, KA (corresponding author), Univ Reading, Dept Meteorol, Whiteknights Campus, Reading RG6 6BB, Berks, England.</t>
  </si>
  <si>
    <t>k.a.nicoll@reading.ac.uk</t>
  </si>
  <si>
    <t>Harrison, RG/GWQ-8421-2022; Nicoll, Keri/L-6106-2017</t>
  </si>
  <si>
    <t>Harrison, RG/0000-0003-0693-347X; Nicoll, Keri/0000-0001-5580-6325</t>
  </si>
  <si>
    <t>NERC (Natural Environment Research Council) [NE/H002081/1]; STFC [ST/K001965/1]; Leverhulme Trust [ECF-2011-225]; NERC [NE/L011514/1]; ACTRIS TransNational Access funding from European Union [262254]; Natural Environment Research Council [NE/L011514/1, NE/H002081/1, NE/L011514/2] Funding Source: researchfish; Science and Technology Facilities Council [ST/K001965/1] Funding Source: researchfish; NERC [NE/H002081/1, NE/L011514/2, NE/L011514/1] Funding Source: UKRI; STFC [ST/K001965/1] Funding Source: UKRI</t>
  </si>
  <si>
    <t>NERC (Natural Environment Research Council)(UK Research &amp; Innovation (UKRI)Natural Environment Research Council (NERC)); STFC(UK Research &amp; Innovation (UKRI)Science &amp; Technology Facilities Council (STFC)); Leverhulme Trust(Leverhulme Trust); NERC(UK Research &amp; Innovation (UKRI)Natural Environment Research Council (NERC)); ACTRIS TransNational Access funding from European Union;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</si>
  <si>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NERC (Natural Environment Research Council) grant NE/H002081/1 and STFC grant ST/K001965/1 supported the radiosonde sensor development. KAN also acknowledges an Early Career Fellowship of the Leverhulme Trust (ECF-2011-225), a NERC Independent Research Fellowship (NE/L011514/1), NERC Collaborative Gearing Scheme (CGS) grant and ACTRIS TransNational Access funding from the European Union Seventh Framework Programme (FP7/2007-2013) under grant agreement no. 262254. Logistics support for Hyytiala launches was supported by the Office of Biological and Environmental Research of the US Department of Energy as part of the Atmospheric Radiation Measurement (ARM) Climate Research Facility, an Office of Science user facility. Technicians in the Department of Meteorology at the University of Reading assisted with sensor assembly and the majority of the balloon launches. Assistance with additional balloon launches was provided by ARM AMF2 technicians at Hyytiala, and staff at the British Antarctic Survey research station at Halley. The satellite image in Figure 7 is courtesy of NERC Satellite Receiving Station, Dundee University, Scotland: http://www.sat.dundee.ac.uk/. The balloon flight data used in the analysis are archived through the University of Reading Data repository at http://dx.doi.org/10.17864/1947.38.</t>
  </si>
  <si>
    <t>0035-9009</t>
  </si>
  <si>
    <t>1477-870X</t>
  </si>
  <si>
    <t>Q J ROY METEOR SOC</t>
  </si>
  <si>
    <t>Q. J. R. Meteorol. Soc.</t>
  </si>
  <si>
    <t>PT A</t>
  </si>
  <si>
    <t>10.1002/qj.2858</t>
  </si>
  <si>
    <t>EF9LU</t>
  </si>
  <si>
    <t>WOS:000390652500008</t>
  </si>
  <si>
    <t>Darvill, CM; Bentley, MJ; Stokes, CR; Shulmeister, J</t>
  </si>
  <si>
    <t>Darvill, Christopher M.; Bentley, Michael J.; Stokes, Chris R.; Shulmeister, James</t>
  </si>
  <si>
    <t>The timing and cause of glacial advances in the southern mid-latitudes during the last glacial cycle based on a synthesis of exposure ages from Patagonia and New Zealand</t>
  </si>
  <si>
    <t>Last glacial cycle; Patagonia; New Zealand; Cosmogenic nuclide exposure dating; Glacial advances</t>
  </si>
  <si>
    <t>COSMOGENIC NUCLIDE CHRONOLOGY; LAGUNA POTROK AIKE; SEA-SURFACE TEMPERATURES; ANTARCTIC COLD REVERSAL; BE-10 PRODUCTION-RATE; ICE CORE CHRONOLOGY; LAGO BUENOS-AIRES; YOUNGER DRYAS; RADIOCARBON CHRONOLOGY; PRODUCTION-RATES</t>
  </si>
  <si>
    <t>Glacier advances in the southern mid-latitudes during the last glacial cycle (ca. 110-10 ka) were controlled by changes in temperature and precipitation linked to several important ocean-climate systems. As such, the timing of glacial advance and retreat can yield important insights into the mechanisms of Southern Hemisphere climate change. This is particularly important given that several recent studies have demonstrated significant glacial advances prior to the global Last Glacial Maximum (gLGM) in Patagonia and New Zealand, the cause of which are uncertain. The recent increase in chronological studies in these regions offers the opportunity to compare regional trends in glacial activity. Here, we compile the first consistent Be-10 exposure-dating chronologies for Patagonia and New Zealand to highlight the broad pattern of mid-latitude glacial activity over the last glacial cycle. Our results show that advances or still stands culminated at 26-27 ka, 18-19 ka and 13-14 ka in both Patagonia and New Zealand and were broadly synchronous, but with an offset between regions of up to 900 years that cannot be explained by age calculation or physically plausible erosion differences. Furthermore, there is evidence in both regions for glacial advances culminating from at least 45 ka, during the latter half of Marine Isotope Stage (MIS) 3. Glacial activity prior to the gLGM differed from the large Northern Hemisphere ice sheets, likely due to favourable Southern Hemisphere conditions during late MIS 3: summer insolation reached a minimum, seasonality was reduced, winter duration was increasing, and sea ice had expanded significantly, inducing stratification of the ocean and triggering northward migration of oceanic fronts and the Southern Westerly Winds. Glacial advances in Patagonia and New Zealand during the gLGM were probably primed by underlying orbital parameters. However, the precise timing is likely to have been intrinsically linked to migration of the coupled ocean-atmosphere system, which may account for the small offset between Patagonia and New Zealand due to differences in oceanic frontal migration. During deglaciation, advances or still stands occurred in both regions during the southern Antarctic Cold Reversal (ca. 14.5-12.9 ka) rather than the northern Younger Dryas (ca. 12.9-11.7 ka). Our findings suggest that major rearrangements of the Southern Hemisphere climate system occurred at various times during the last glacial cycle, with associated impacts on the position and intensity of the Southern Westerly Winds and oceanic fronts, as well as wind-driven upwelling and degassing of the deep Southern Ocean. Thus, reconstructing the timing of glacial advance/retreat using our compilation is a powerful way to understand the mechanisms of past interhemispheric climate change. (C) 2016 Elsevier Ltd. All rights reserved.</t>
  </si>
  <si>
    <t>[Darvill, Christopher M.; Bentley, Michael J.; Stokes, Chris R.] Univ Durham, Dept Geog, South Rd, Durham DH1 3LE, England; [Shulmeister, James] Univ Queensland, Sch Geog Planning &amp; Environm Management, Brisbane, Qld 4072, Australia</t>
  </si>
  <si>
    <t>Durham University; University of Queensland</t>
  </si>
  <si>
    <t>Darvill, CM (corresponding author), Univ Northern British Columbia, Geog Program, 3333 Univ Way, Prince George, BC V2N 4Z9, Canada.;Darvill, CM (corresponding author), Univ Northern British Columbia, Nat Resources &amp; Environm Studies Inst, 3333 Univ Way, Prince George, BC V2N 4Z9, Canada.</t>
  </si>
  <si>
    <t>christopher.darvill@unbc.ca</t>
  </si>
  <si>
    <t>Darvill, Christopher M./M-2672-2013; Bentley, Michael J/F-7386-2011; shulmeister, james/J-2859-2015; Stokes, Chris/A-1957-2011</t>
  </si>
  <si>
    <t>Bentley, Michael J/0000-0002-2048-0019; Darvill, Christopher/0000-0001-8175-2658; shulmeister, james/0000-0001-5863-9462; Stokes, Chris/0000-0003-3355-1573</t>
  </si>
  <si>
    <t>UK NERC Ph.D. studentship [NE/j500215/1]; Natural Environment Research Council [1079590] Funding Source: researchfish</t>
  </si>
  <si>
    <t>UK NERC Ph.D. studentship(UK Research &amp; Innovation (UKRI)Natural Environment Research Council (NERC)); Natural Environment Research Council(UK Research &amp; Innovation (UKRI)Natural Environment Research Council (NERC))</t>
  </si>
  <si>
    <t>This research was funded by a UK NERC Ph.D. studentship (NE/j500215/1) awarded to CMD at Durham University. We are grateful to Dave Evans and Neil Glasser for their comments on an earlier version of the manuscript. We thank two anonymous reviewers and Tim Barrows for their comprehensive reviews of the manuscript, and Neil Glasser for his editorial work throughout.</t>
  </si>
  <si>
    <t>10.1016/j.quascirev.2016.07.024</t>
  </si>
  <si>
    <t>WOS:000383825400013</t>
  </si>
  <si>
    <t>Grebby, S; Field, E; Tansey, K</t>
  </si>
  <si>
    <t>Grebby, Stephen; Field, Elena; Tansey, Kevin</t>
  </si>
  <si>
    <t>Evaluating the Use of an Object-Based Approach to Lithological Mapping in Vegetated Terrain</t>
  </si>
  <si>
    <t>lithological mapping; OBIA; airborne LiDAR; multispectral; Troodos ophiolite</t>
  </si>
  <si>
    <t>REMOTE-SENSING DATA; MACHINE LEARNING ALGORITHMS; IMAGE-ANALYSIS; ORIENTED CLASSIFICATION; HYPERSPECTRAL DATA; SEGMENTATION; ROCK; OPHIOLITE; ACCURACY; CANADA</t>
  </si>
  <si>
    <t>Remote sensing-based approaches to lithological mapping are traditionally pixel-oriented, with classification performed on either a per-pixel or sub-pixel basis with complete disregard for contextual information about neighbouring pixels. However, intra-class variability due to heterogeneous surface cover (i.e., vegetation and soil) or regional variations in mineralogy and chemical composition can result in the generation of unrealistic, generalised lithological maps that exhibit the salt-and-pepper artefact of spurious pixel classifications, as well as poorly defined contacts. In this study, an object-based image analysis (OBIA) approach to lithological mapping is evaluated with respect to its ability to overcome these issues by instead classifying groups of contiguous pixels (i.e., objects). Due to significant vegetation cover in the study area, the OBIA approach incorporates airborne multispectral and LiDAR data to indirectly map lithologies by exploiting associations with both topography and vegetation type. The resulting lithological maps were assessed both in terms of their thematic accuracy and ability to accurately delineate lithological contacts. The OBIA approach is found to be capable of generating maps with an overall accuracy of 73.5% through integrating spectral and topographic input variables. When compared to equivalent per-pixel classifications, the OBIA approach achieved thematic accuracy increases of up to 13.1%, whilst also reducing the salt-and-pepper artefact to produce more realistic maps. Furthermore, the OBIA approach was also generally capable of mapping lithological contacts more accurately. The importance of optimising the segmentation stage of the OBIA approach is also highlighted. Overall, this study clearly demonstrates the potential of OBIA for lithological mapping applications, particularly in significantly vegetated and heterogeneous terrain.</t>
  </si>
  <si>
    <t>[Grebby, Stephen] Univ Nottingham, Nottingham Geospatial Inst, Innovat Pk, Nottingham NG7 2TU, England; [Field, Elena] British Antarctic Survey, Nat Environm Res Council, High Cross, Madingley Rd, Cambridge CB3 0ET, England; [Tansey, Kevin] Univ Leicester, Dept Geog, Leicester LE1 7RH, Leics, England</t>
  </si>
  <si>
    <t>University of Nottingham; UK Research &amp; Innovation (UKRI); Natural Environment Research Council (NERC); NERC British Antarctic Survey; University of Leicester</t>
  </si>
  <si>
    <t>Grebby, S (corresponding author), Univ Nottingham, Nottingham Geospatial Inst, Innovat Pk, Nottingham NG7 2TU, England.</t>
  </si>
  <si>
    <t>stephen.grebby@nottingham.ac.uk; eleeld@bas.ac.uk; kjt7@le.ac.uk</t>
  </si>
  <si>
    <t>Grebby, Stephen/0000-0001-9768-2682; Field, Elena/0000-0003-0586-7626</t>
  </si>
  <si>
    <t>BGS University Funding Initiative bursary awarded; NERC ARF [MC04/30]; NERC [bas010011] Funding Source: UKRI; Natural Environment Research Council [bas010011] Funding Source: researchfish</t>
  </si>
  <si>
    <t>BGS University Funding Initiative bursary awarded; NERC ARF; NERC(UK Research &amp; Innovation (UKRI)Natural Environment Research Council (NERC)); Natural Environment Research Council(UK Research &amp; Innovation (UKRI)Natural Environment Research Council (NERC))</t>
  </si>
  <si>
    <t>This work was primarily supported via a BGS University Funding Initiative bursary awarded to Elena Field. We gratefully acknowledge the NERC ARF (grant) MC04/30 for data acquisition, and Stelios Nicolaides (Geological Survey Department of Cyprus) and Simon Jowitt (University of Nevada Las Vegas) for invaluable logistical and scientific help in the field. We also express our gratitude to Luke Bateson (BGS) and Danny Donoghue (Durham University) for AZGCORR and Terrasolid software support, respectively. Colm Jordan (BGS) is also thanked for providing comments on an early draft of this manuscript. We are grateful to the four anonymous reviewers, whose comments and suggestions have help to greatly improve the quality of the manuscript.</t>
  </si>
  <si>
    <t>MDPI</t>
  </si>
  <si>
    <t>10.3390/rs8100843</t>
  </si>
  <si>
    <t>Green Published, Green Submitted, gold, Green Accepted</t>
  </si>
  <si>
    <t>WOS:000387357300057</t>
  </si>
  <si>
    <t>Oh, C; Park, TYS; Woo, J; Bomfleur, B; Philippe, M; Decombeix, AL; Kim, YHG; Lee, JI</t>
  </si>
  <si>
    <t>Oh, Changhwan; Park, Tae-Yoon S.; Woo, Jusun; Bomfleur, Benjamin; Philippe, Marc; Decombeix, Anne-Laure; Kim, Young-Hwan G.; Lee, Jong Ik</t>
  </si>
  <si>
    <t>Triassic Kykloxylon wood (Umkomasiaceae, Gymnospermopsida) from Skinner Ridge, northern Victoria Land, East Antarctica</t>
  </si>
  <si>
    <t>REVIEW OF PALAEOBOTANY AND PALYNOLOGY</t>
  </si>
  <si>
    <t>Fossil wood; Triassic; Kykloxylon; Umkomasiaceae; Skinner Ridge; Antarctica</t>
  </si>
  <si>
    <t>STRUCTURALLY PRESERVED SPHENOPHYTES; CENTRAL TRANSANTARCTIC MOUNTAINS; PRINCE-CHARLES MOUNTAINS; SEED CONE TELEMACHUS; FOSSIL PLANTS; PERMINERALIZED STEMS; POLLEN CONE; GEN-NOV; CONIFER; ARGENTINA</t>
  </si>
  <si>
    <t>During the first Korea Antarctic Geological Expedition (KAGEX I, 2013/2014), fossil wood was collected from the Triassic fluvial deposits of the Beacon Supergroup at Skinner Ridge in northern Victoria Land, Antarctica. The material is coalified and partially silicified; most specimens are slightly compressed due to burial compaction. In spite of this imperfect preservation, anatomical features of both the xylem and the pith could be observed in some specimens. The xylem displays prominent growth rings and usually araucarioid or somewhat mixed type radial pitting with some abnormal rings partly composed of parenchymatous tissues. Some specimens also have a wood cylinder that is divided radially by parenchymatous zones. These anatomical features indicate a systematic affinity with Kykloxylon Mey.-Berth., T.N.Taylor et Ed.L.Taylor, a characteristic wood type of the Umkomaciaceae, which flourished throughout Gondwana during the Triassic. The Kykloxylon specimens in this study represent the only wood fossil taxon in the Triassic of Victoria Land, except for a dubious report of Antarcticoxylon Seward in 1914. This may indicate a low diversity of Triassic wood fossils in this area, as in other parts of Antarctica. On the contrary, diverse other gymnosperm organs are known to occur in the Triassic of Antarctica. This low diversity of wood taxa compared to the various plant organs in the Triassic of Antarctica is remarkable. We hypothesize three major reasons for this: 1) the overall structural uniformity of gymnosperm wood compared to other vegetative and especially reproductive organ diversity; 2) the overwhelming dominance of corystosperm plants, with a minor component of voltzialean conifers in the canopy-forming forest vegetation during the Triassic in Antarctica; and 3) the very few systematic studies of fossil wood compared to other plant macrofossils. (C) 2016 Elsevier B.V. All rights reserved.</t>
  </si>
  <si>
    <t>[Oh, Changhwan; Park, Tae-Yoon S.; Woo, Jusun; Kim, Young-Hwan G.; Lee, Jong Ik] Korea Polar Res Inst, Div Polar Earth Syst Sci, 26 Sondomirae Ro, Inchon 21990, South Korea; [Bomfleur, Benjamin] Swedish Museum Nat Hist, Dept Palaeobiol, POB 50007, SE-10405 Stockholm, Sweden; [Bomfleur, Benjamin] Univ Munster, Inst Geol &amp; Palaontol, Forsch Stelle Palaobot, Heisenbergstr 2, D-48149 Munster, Germany; [Philippe, Marc] Univ Lyon 1, 7 Rue Dubois, F-69622 Villeurbanne, France; [Philippe, Marc] CNRS, UMR 5023, 7 Rue Dubois, F-69622 Villeurbanne, France; [Decombeix, Anne-Laure] Univ Montpellier 2, F-34000 Montpellier, France; [Decombeix, Anne-Laure] CNRS, UMR AMAP, F-34000 Montpellier, France; [Kim, Young-Hwan G.] Univ Sci &amp; Technol, Polar Sci, Daejeon 34113, South Korea</t>
  </si>
  <si>
    <t>Korea Polar Research Institute (KOPRI); Swedish Museum of Natural History; University of Munster; Universite Claude Bernard Lyon 1; Centre National de la Recherche Scientifique (CNRS); CNRS - Institute of Ecology &amp; Environment (INEE); Universite Claude Bernard Lyon 1; Universite de Montpellier; CIRAD; Centre National de la Recherche Scientifique (CNRS); Institut de Recherche pour le Developpement (IRD); Universite de Montpellier; University of Science &amp; Technology (UST)</t>
  </si>
  <si>
    <t>Oh, C (corresponding author), Korea Polar Res Inst, Div Polar Earth Syst Sci, 26 Sondomirae Ro, Inchon 21990, South Korea.</t>
  </si>
  <si>
    <t>bluegaia@kopri.re.kr</t>
  </si>
  <si>
    <t>Decombeix, Anne-Laure/H-3710-2013</t>
  </si>
  <si>
    <t>Decombeix, Anne-Laure/0000-0002-6348-0086; Bomfleur, Benjamin/0000-0002-2186-4970</t>
  </si>
  <si>
    <t>Basic Science Research Program through the National Research Foundation of Korea (NRF) - Ministry [2013R1A6A3A01062680]; Ministry of Ocean and Fisheries, KOREA [PM16030]; Swedish Research Council (VR) [2014-5232]; Wenner-Gren Foundations (Stockholm, Sweden)</t>
  </si>
  <si>
    <t>Basic Science Research Program through the National Research Foundation of Korea (NRF) - Ministry(National Research Foundation of Korea); Ministry of Ocean and Fisheries, KOREA; Swedish Research Council (VR)(Swedish Research Council); Wenner-Gren Foundations (Stockholm, Sweden)</t>
  </si>
  <si>
    <t>The authors greatly thank the two anonymous reviewers for their critical and detailed comments. C. Oh was supported by Basic Science Research Program through the National Research Foundation of Korea (NRF) funded by the Ministry (2013R1A6A3A01062680). The research is a part of the project Crustal evolution of Victoria Land, Antarctica and formative process of planets (PM16030, KOPRI) funded by the Ministry of Ocean and Fisheries, KOREA. Additional financial support by the Swedish Research Council (VR grant 2014-5232 to B. Bomfleur) and the Wenner-Gren Foundations (Stockholm, Sweden) is gratefully acknowledged.</t>
  </si>
  <si>
    <t>0034-6667</t>
  </si>
  <si>
    <t>1879-0615</t>
  </si>
  <si>
    <t>REV PALAEOBOT PALYNO</t>
  </si>
  <si>
    <t>Rev. Palaeobot. Palynology</t>
  </si>
  <si>
    <t>10.1016/j.revpalbo.2016.07.006</t>
  </si>
  <si>
    <t>Plant Sciences; Paleontology</t>
  </si>
  <si>
    <t>DY1QP</t>
  </si>
  <si>
    <t>WOS:000384869800009</t>
  </si>
  <si>
    <t>Li, WC; Tse, HF; Fok, L</t>
  </si>
  <si>
    <t>Li, W. C.; Tse, H. F.; Fok, L.</t>
  </si>
  <si>
    <t>Plastic waste in the marine environment: A review of sources, occurrence and effects</t>
  </si>
  <si>
    <t>Macroplastics; Microplastics; Entanglement; Plastic ingestion</t>
  </si>
  <si>
    <t>LOGGERHEAD SEA-TURTLES; SHORT-TAILED SHEARWATERS; ANTARCTIC FUR SEALS; FULMAR FULMARUS-GLACIALIS; MAN-MADE DEBRIS; CHELONIA-MYDAS; ORGANIC POLLUTANTS; CARETTA-CARETTA; MICROPLASTIC POLLUTION; PUFFINUS-TENUIROSTRIS</t>
  </si>
  <si>
    <t>This review article summarises the sources, occurrence, fate and effects of plastic waste in the marine environment. Due to its resistance to degradation, most plastic debris will persist in the environment for centuries and may be transported far from its source, including great distances out to sea. Land- and ocean-based sources are the major sources of plastic entering the environment, with domestic, industrial and fishing activities being the most important contributors. Ocean gyres are particular hotspots of plastic waste accumulation. Both macroplastics and microplastics pose a risk to organisms in the natural environment, for example, through ingestion or entanglement in the plastic. Many studies have investigated the potential uptake of hydrophobic contaminants, which can then bioaccumulate in the food chain, from plastic waste by organisms. To address the issue of plastic pollution in the marine environment, governments should first play an active role in addressing the issue of plastic waste by introducing legislation to control the sources of plastic debris and the use of plastic additives. In addition, plastics industries should take responsibility for the end-of-life of their products by introducing plastic recycling or upgrading programmes. (C) 2016 Elsevier B.V. All rights reserved.</t>
  </si>
  <si>
    <t>[Li, W. C.; Tse, H. F.; Fok, L.] Hong Kong Inst Educ, Dept Sci &amp; Environm Studies, Hong Kong, Hong Kong, Peoples R China</t>
  </si>
  <si>
    <t>Education University of Hong Kong (EdUHK)</t>
  </si>
  <si>
    <t>Li, WC (corresponding author), Hong Kong Inst Educ, Dept Sci &amp; Environm Studies, Hong Kong, Hong Kong, Peoples R China.</t>
  </si>
  <si>
    <t>waichin@ied.edu.hk</t>
  </si>
  <si>
    <t>Li, Wenjun/F-5634-2015</t>
  </si>
  <si>
    <t>Fok, Lincoln/0000-0001-6467-4985; Li, Wai Chin/0000-0002-3808-6925</t>
  </si>
  <si>
    <t>Hong Kong SAR Government Research Grant Council (ECS) [859413]</t>
  </si>
  <si>
    <t>Hong Kong SAR Government Research Grant Council (ECS)</t>
  </si>
  <si>
    <t>Financial support from the Hong Kong SAR Government Research Grant Council (ECS project no.: 859413) is gratefully acknowledged.</t>
  </si>
  <si>
    <t>10.1016/j.scitotenv.2016.05.084</t>
  </si>
  <si>
    <t>DS8VK</t>
  </si>
  <si>
    <t>WOS:000381060900036</t>
  </si>
  <si>
    <t>Fu, HZ; Ho, YS</t>
  </si>
  <si>
    <t>Fu, Hui-Zhen; Ho, Yuh-Shan</t>
  </si>
  <si>
    <t>Highly cited Antarctic articles using Science Citation Index Expanded: a bibliometric analysis</t>
  </si>
  <si>
    <t>SCIENTOMETRICS</t>
  </si>
  <si>
    <t>SCI-EXPANDED; Bibliometric; Top-cited articles; Article life; Collaboration</t>
  </si>
  <si>
    <t>CLASSICS; CLIMATE; JOURNALS; COLLABORATION; PUBLICATIONS; PATTERNS; IMPACTS; HISTORY; CYCLES; OZONE</t>
  </si>
  <si>
    <t>This study aimed to identify and analyze the characteristics of the highly cited articles in Antarctic field using Science Citation Index Expanded from 1900 to 2012. Articles that have been cited more than 100 times since publication to 2012 were assessed. The analyzed aspects covered distribution of annual production, annual citations, journals, categories, countries/territories, institutions, authors, and research focuses and trends by words in title, author keywords, and KeyWords Plus. A total of 852 highly cited articles were published from 1959 to 2011, cited a mean number of 181 citations per article. Two famous journals: Nature and Science led 184 journals. Typically, the exploration of Antarctic needs multidisciplinary science, also involving more collaboration. The USA with the greatest manpower, took the lead position among 48 countries, while National Aeronautics and Space Administration of the USA and British Antarctic Survey of the UK were the two most productive institutions. European Project for Ice Coring in Antarctica Community was active in Antarctic research. Moreover, the comprehensive analysis of keywords revealed that sea ice, Southern Ocean, climate change, and ozone depletion were recent focuses and would receive more citations in the near future. In addition, citations in the first 3 years after publication (TC (3)), in 2012 (C (2012)), and since publication to 2012 (TC (2012)), and citations per year of each article (TCPY) were used to characterize the citation patterns and citation life of most cited articles.</t>
  </si>
  <si>
    <t>[Fu, Hui-Zhen] Zhejiang Univ, Sch Publ Affairs, Dept Informat Resources Management, 866 Yuhangtang Rd, Hangzhou 310058, Zhejiang, Peoples R China; [Ho, Yuh-Shan] Asia Univ, Trend Res Ctr, Taichung 41354, Taiwan</t>
  </si>
  <si>
    <t>Zhejiang University; Asia University Taiwan</t>
  </si>
  <si>
    <t>Ho, YS (corresponding author), Asia Univ, Trend Res Ctr, Taichung 41354, Taiwan.</t>
  </si>
  <si>
    <t>ysho@asia.edu.tw</t>
  </si>
  <si>
    <t>Fu, Hui-Zhen/G-2699-2013; Ho, Yuh-Shan/C-8624-2009</t>
  </si>
  <si>
    <t>0138-9130</t>
  </si>
  <si>
    <t>1588-2861</t>
  </si>
  <si>
    <t>Scientometrics</t>
  </si>
  <si>
    <t>10.1007/s11192-016-1992-4</t>
  </si>
  <si>
    <t>Computer Science, Interdisciplinary Applications; Information Science &amp; Library Science</t>
  </si>
  <si>
    <t>Computer Science; Information Science &amp; Library Science</t>
  </si>
  <si>
    <t>DV4SQ</t>
  </si>
  <si>
    <t>WOS:000382915800017</t>
  </si>
  <si>
    <t>Ozsvárt, P; Kocsis, L; Nyerges, A; Gyori, O; Pálfy, J</t>
  </si>
  <si>
    <t>Ozsvart, Peter; Kocsis, Laszlo; Nyerges, Anita; Gyori, Orsolya; Palfy, Jozsef</t>
  </si>
  <si>
    <t>The Eocene-Oligocene climate transition in the Central Paratethys</t>
  </si>
  <si>
    <t>PALAEOGEOGRAPHY PALAEOCLIMATOLOGY PALAEOECOLOGY</t>
  </si>
  <si>
    <t>EOT; Paleogene; Climate evolution; delta O-18 and delta C-13 records; Paleoceanography; Foraminifera; Calcareous nannoplankton</t>
  </si>
  <si>
    <t>BENTHIC FORAMINIFERA; ANTARCTIC GLACIATION; BASIN; SEA; EVOLUTION; BOUNDARY; ATLANTIC; PRESERVATION; VARIABILITY; RECORD</t>
  </si>
  <si>
    <t>We studied two boreholes (Cserepvaralja-1 and Kiscell-1) with continuous sedimentary records across the Eocene-Oligocene climate transition from the Central Paratethyan area. Assemblages of benthic foraminifera display a shift in dominance by epifaunal taxa in the late Eocene to shallow and deep infaunal taxa in the early Oligocene. Using the benthic foraminiferal oxygen index (BFOI), a decreasing trend of bottom-water oxygen levels is established across the Eocene-Oligocene transition (EOT), leading to the development of dysoxic conditions later in the early Oligocene. Trends in delta O-18 and delta C-13 values measured on tests of selected benthic and planktic foraminifera roughly parallel those of the global record of stepped EOT delta O-18 increase and deviate only later in the early Oligocene, related to the isolation of the Paratethys. The overall similarity of the isotope curves and the presence of a planktic-benthic ecological offset suggest that the original isotope trends are preserved, despite the systematically more negative delta O-18 values. Of different scenarios, a quasi-uniform diagenetic overprint by fluids with low delta O-18 values, during burial or uplift, appears best supported. We conclude that the globally established isotopic expression of Antarctic ice sheet growth across the EOT may be recognizable in the Paratethys. Deviations from the global trends after the EOT were caused by regional paleoceanographic changes induced by the progressing Alpine orogeny and sea level change, which led to a restricted connection with the open ocean, freshwater influx from increased precipitation, and gradual development of bottom-water oxygen depletion. (C) 2016 Elsevier B.V. All rights reserved.</t>
  </si>
  <si>
    <t>[Ozsvart, Peter; Nyerges, Anita; Palfy, Jozsef] MTA MTM ELTE Res Grp Paleontol, POB 137, H-1431 Budapest, Hungary; [Kocsis, Laszlo] Univ Brunei Darussalam, Geol Grp, Fac Sci, UBD FOS Bldg,B2-24 Jalan Tungku Link, BE-1410 Gadong, Brunei; [Kocsis, Laszlo] Univ Lausanne, Inst Earth Sci, Fac Geosci &amp; Environm, Geopolis, CH-1015 Lausanne, Switzerland; [Gyori, Orsolya] MTA ELTE Geol Geophys &amp; Space Sci Res Grp, Pozmany Peter Setany 1-C, H-1117 Budapest, Hungary; [Palfy, Jozsef] Eotvos Lorand Univ, Dept Phys &amp; Appl Geol, Pozmany Peter Setany 1-C, H-1117 Budapest, Hungary</t>
  </si>
  <si>
    <t>Hungarian Research Network; Office for Supported Research Groups (ELKH); University Brunei Darussalam; University of Lausanne; Eotvos Lorand University</t>
  </si>
  <si>
    <t>Ozsvárt, P (corresponding author), MTA MTM ELTE Res Grp Paleontol, POB 137, H-1431 Budapest, Hungary.</t>
  </si>
  <si>
    <t>ozsi@nhmus.hu</t>
  </si>
  <si>
    <t>Ozsvart, Peter/Q-1573-2018; Palfy, Jozsef/A-3908-2009</t>
  </si>
  <si>
    <t>Palfy, Jozsef/0000-0001-9686-1849; Kocsis, Laszlo/0000-0003-4613-1850</t>
  </si>
  <si>
    <t>Bolyai Research Scholarship [BO/00694/08/10]; Hungarian Science Foundation (OTKA) [K112708]; Swiss National Science Foundation [SNF PZ00P2_126407]; Swiss National Science Foundation (SNF) [PZ00P2_126407] Funding Source: Swiss National Science Foundation (SNF)</t>
  </si>
  <si>
    <t>Bolyai Research Scholarship(Hungarian Academy of Sciences); Hungarian Science Foundation (OTKA)(Orszagos Tudomanyos Kutatasi Alapprogramok (OTKA)); Swiss National Science Foundation(Swiss National Science Foundation (SNSF)); Swiss National Science Foundation (SNF)(Swiss National Science Foundation (SNSF))</t>
  </si>
  <si>
    <t>The authors are thankful to Janos Csizmeg, Janos Haas, Attila Petrik, Istvan Veto and Helmut Weissert for discussions on diagenesis. This research was supported in part by a Bolyai Research Scholarship to PO (BO/00694/08/10) and by the Hungarian Science Foundation (OTKA) project K112708. LK was supported by the Swiss National Science Foundation (SNF PZ00P2_126407) during this work. We are very grateful to Helen Coxall and an anonymous reviewer for their very constructive reviews. The helpful comments of journal editor Thomas Algeo through all stages handling the manuscript were greatly appreciated. This is MTA-MTM-ELTE Paleo Contribution No. 219.</t>
  </si>
  <si>
    <t>0031-0182</t>
  </si>
  <si>
    <t>1872-616X</t>
  </si>
  <si>
    <t>PALAEOGEOGR PALAEOCL</t>
  </si>
  <si>
    <t>Paleogeogr. Paleoclimatol. Paleoecol.</t>
  </si>
  <si>
    <t>10.1016/j.palaeo.2016.07.034</t>
  </si>
  <si>
    <t>Geography, Physical; Geosciences, Multidisciplinary; Paleontology</t>
  </si>
  <si>
    <t>Physical Geography; Geology; Paleontology</t>
  </si>
  <si>
    <t>DV0EU</t>
  </si>
  <si>
    <t>WOS:000382591600032</t>
  </si>
  <si>
    <t>MacMillan, H; Moore, AB; Augé, AA; Chilvers, BL</t>
  </si>
  <si>
    <t>MacMillan, Hamish; Moore, Antoni B.; Auge, Amelie A.; Chilvers, B. Louise</t>
  </si>
  <si>
    <t>GIS-based multi-criteria analysis of breeding habitats for recolonising species: New Zealand sea lions</t>
  </si>
  <si>
    <t>OCEAN &amp; COASTAL MANAGEMENT</t>
  </si>
  <si>
    <t>Spatial analysis; Environmental management; Phocarctos hookeri; Analytical hierarchy process; Geographic information systems; Habitat suitability</t>
  </si>
  <si>
    <t>PHOCARCTOS-HOOKERI; AUCKLAND ISLANDS; SITE FIDELITY; SANDY BAY; ABUNDANCE; MODELS; SYSTEM</t>
  </si>
  <si>
    <t>The New Zealand sea lion (Phocarctos hookeri) is a threatened endemic species, with only three breeding colonies in the sub-Antarctic islands. Since 1993, there has been evidence for recolonisation of mainland New Zealand. Yet the coast that the sea lion has returned to only has fragmented and unevenly distributed potential habitats due to coastal urbanisation and development. Therefore, the need to identify and protect potential breeding habitats for recolonisation is a priority for management. A GIS-based multi-criteria analysis was used to identify potential suitable habitats for a 1600 km length of the NZ South Island coast based on distance to anthropogenic disturbance (urban areas, roads), distance to desirable environmental features (beaches, estuaries) and presence of suitable habitat/land access. From this model, we identified preliminary suitable habitat for breeding sites on the Otago Peninsula (east coast) and Catlins Coast (south). We independently detected some of the current dominant areas used by recolonising sea lions as well as identifying some promising new sites. We discuss the limitation of the results of this case study and the need for further data to be added to the model in the face of limited data availability. Overcoming this data limitation will meet an increasing need for a New Zealand-wide study for determining potential habitat for NZ sea lions. The results of such a study would identify areas to allow real-world management (protection or restoration) of the limited potential breeding sites for New Zealand sea lions. This new method could also be used for other recolonising species and encourage management of areas most likely to be recolonized by them. (C) 2016 Elsevier Ltd. All rights reserved.</t>
  </si>
  <si>
    <t>[MacMillan, Hamish; Moore, Antoni B.; Auge, Amelie A.] Univ Otago, Sch Surveying, Dunedin, New Zealand; [MacMillan, Hamish] Trimble New Zealand, POB 8729, Christchurch 8440, New Zealand; [Auge, Amelie A.] James Cook Univ, ARC Ctr Excellence Coral Reef Studies, Townsville, Qld, Australia; [Chilvers, B. Louise] Dept Conservat, Marine Species &amp; Threats, Wellington, New Zealand; [Chilvers, B. Louise] Massey Univ, Inst Vet Anim &amp; Biomed Sci, Wildbase, Palmerston North, New Zealand</t>
  </si>
  <si>
    <t>University of Otago; James Cook University; Massey University</t>
  </si>
  <si>
    <t>Moore, AB (corresponding author), Univ Otago, Sch Surveying, Dunedin, New Zealand.</t>
  </si>
  <si>
    <t>hamish.macm@gmail.com; tony.moore@otago.ac.nz; amelie.auge@gmail.com; b.l.chilvers@massey.ac.nz</t>
  </si>
  <si>
    <t>Chilvers, B. Louise/AAV-1965-2021</t>
  </si>
  <si>
    <t>Chilvers, B. Louise/0000-0002-7657-4217</t>
  </si>
  <si>
    <t>New Zealand Department of Conservation (DOC); Otago University School of Surveying</t>
  </si>
  <si>
    <t>The authors would like to thank the New Zealand Department of Conservation (DOC) and the Otago University School of Surveying for funding, assistance with data and/or experts' knowledge. In particular we would like to thank the New Zealand Sea Lion Trust and Jim Fyfe (DOC coastal Otago area office).</t>
  </si>
  <si>
    <t>0964-5691</t>
  </si>
  <si>
    <t>1873-524X</t>
  </si>
  <si>
    <t>OCEAN COAST MANAGE</t>
  </si>
  <si>
    <t>Ocean Coastal Manage.</t>
  </si>
  <si>
    <t>10.1016/j.ocecoaman.2016.06.008</t>
  </si>
  <si>
    <t>Oceanography; Water Resources</t>
  </si>
  <si>
    <t>DT9QP</t>
  </si>
  <si>
    <t>WOS:000381837700016</t>
  </si>
  <si>
    <t>González, SN; Greco, GA; González, PD; Sato, AM; Llambías, EJ; Varela, R</t>
  </si>
  <si>
    <t>Gonzalez, Santiago N.; Greco, Gerson A.; Gonzalez, Pablo D.; Sato, Ana M.; Llambias, Eduardo J.; Varela, Ricardo</t>
  </si>
  <si>
    <t>Geochemistry of a Triassic dyke swarm in the North Patagonian Massif, Argentina. Implications for a postorogenic event of the Permian Gondwanide orogeny</t>
  </si>
  <si>
    <t>JOURNAL OF SOUTH AMERICAN EARTH SCIENCES</t>
  </si>
  <si>
    <t>Patagonia; Trachyandesite; Mildly alkaline; Extension; Postorogenic</t>
  </si>
  <si>
    <t>VOLCANIC-ROCKS; CALC-ALKALINE; ANTARCTIC PENINSULA; SOUTHERN ARGENTINA; ARC BASALTS; RIO NEGRO; U-PB; MAGMATISM; MANTLE; EVOLUTION</t>
  </si>
  <si>
    <t>Permo-Triassic magmatism is widespread in the eastern North Patagonian Massif and has been related to the Gondwanide orogeny. Although a magmatic arc setting is widely accepted for the Permian plutonic rocks, the origin and geotectonic setting for the Triassic plutonic and volcanic rocks are still unknown. A NW-SE Triassic dyke swarm composed of andesites and latites with minor rhyolites was previously described in the Sierra Grande - Rincon de Paileman area. The dyke swarm was associated with extensional tectonics which was linked to a postorogenic process. In this paper we present new geochemical data of the rocks that form the swarm. Trachyandesites and rhyolites were separated based on their geochemical characteristics. Both groups may be considered originated from different sources. On the other hand, the content of incompatible elements (LILE and HFSE) indicates a strong relation between the swarm and an active continental margin. The samples also show a transitional signature between continental-arc and postcollisional or anorogenic settings. The new geochemical data on the dyke swarm support the idea of a magmatism that was linked to a postorogenic extensional tectonic regime related to a continental magmatic arc. Such an extension started in the Paleopacific margin of Pangea during the Anisian and might indicate the beginning of the Pangea break-up. (C) 2016 Elsevier Ltd. All rights reserved.</t>
  </si>
  <si>
    <t>[Gonzalez, Santiago N.; Greco, Gerson A.; Gonzalez, Pablo D.] Inst Invest Paleobiol &amp; Geol UNRN CONICET, Ave Julio A Roca 1242,R 8332 EXZ, Gen Roca, Rio Negro, Argentina; [Sato, Ana M.; Llambias, Eduardo J.; Varela, Ricardo] Ctr Invest Geol UNLP CONICET, Calle 1 644,B 1900 TAC, Buenos Aires, DF, Argentina</t>
  </si>
  <si>
    <t>González, SN (corresponding author), Univ Nacl Rio Negro, Inst Invest Paleobiol &amp; Geol, Ave Julio A Roca 1242,R 8332 EXZ, Gen Roca, Rio Negro, Argentina.</t>
  </si>
  <si>
    <t>sgonzalez@unrn.edu.ar; gersongreco@gmail.com; pdgonzalez@unrn.edu.ar; sato@cig.museo.unlp.edu.ar; llambias@cig.museo.unlp.edu.ar; ricardovarela4747@gmail.com</t>
  </si>
  <si>
    <t>Universidad Nacional de La Plata (UNLP Project) [11/N 653]; Consejo Nacional de Investigaciones Cientificas y Tecnicas [PIP-CONICET 0119]</t>
  </si>
  <si>
    <t>Universidad Nacional de La Plata (UNLP Project); Consejo Nacional de Investigaciones Cientificas y Tecnicas(Consejo Nacional de Investigaciones Cientificas y Tecnicas (CONICET))</t>
  </si>
  <si>
    <t>We would like to express our sincere thanks to the people from Sierra Grande to Gonzalito areas, all over the wide eastern part of Rio Negro province, for allowing us the access to their farms and for their hospitality during our field work. We are grateful to W. von Gosen for him constructive review that helped to improve the present manuscript. Fieldwork and laboratory task were possible by the financial contributions of the Universidad Nacional de La Plata (UNLP Project 11/N 653) and Consejo Nacional de Investigaciones Cientificas y Tecnicas (PIP-CONICET 0119).</t>
  </si>
  <si>
    <t>0895-9811</t>
  </si>
  <si>
    <t>J S AM EARTH SCI</t>
  </si>
  <si>
    <t>J. South Am. Earth Sci.</t>
  </si>
  <si>
    <t>10.1016/j.jsames.2016.04.009</t>
  </si>
  <si>
    <t>DS2IO</t>
  </si>
  <si>
    <t>WOS:000380593400006</t>
  </si>
  <si>
    <t>McWatters, RS; Rowe, RK; Wilkins, D; Spedding, T; Jones, D; Wise, L; Mets, J; Terry, D; Hince, G; Gates, WP; Di Battista, V; Shoaib, M; Bouazza, A; Snape, I</t>
  </si>
  <si>
    <t>McWatters, R. S.; Rowe, R. K.; Wilkins, D.; Spedding, T.; Jones, D.; Wise, L.; Mets, J.; Terry, D.; Hince, G.; Gates, W. P.; Di Battista, V.; Shoaib, M.; Bouazza, A.; Snape, I.</t>
  </si>
  <si>
    <t>Geosynthetics in Antarctica: Performance of a composite barrier system to contain hydrocarbon-contaminated soil after three years in the field</t>
  </si>
  <si>
    <t>GEOTEXTILES AND GEOMEMBRANES</t>
  </si>
  <si>
    <t>7th International Congress on Environmental Geotechnics</t>
  </si>
  <si>
    <t>NOV, 2014</t>
  </si>
  <si>
    <t>Melbourne, AUSTRALIA</t>
  </si>
  <si>
    <t>Biopiles; Cold regions engineering; Geomembranes; GCL; Hydration; Remediation</t>
  </si>
  <si>
    <t>FREEZE-THAW; HYDRAULIC CONDUCTIVITY; JET FUEL; HDPE; REMEDIATION; PROTECTION; GEOMEMBRANE; PERMEATION; DIESEL; DESIGN</t>
  </si>
  <si>
    <t>An overview of the design and performance of geosynthetics in composite barrier systems for biopiles used to remediate hydrocarbon-contaminated soil at Casey Station, Antarctica, is presented. Seven instrumented biopiles were constructed over three field seasons. To minimize the risk of hydrocarbon migration to groundwater, composite barrier systems were used (each using different combinations of geosynthetic clay liners (GCLs), high density polyethylene (HDPE) geomembranes (GMB), and geotextiles (GTXs)). One biopile used a co-extruded geomembrane (HDPE with an ethylene vinyl alcohol (EVOH) core). The liner system was subject to a combination of coupled phenomena that could interact and affect the GMB-GCL composite barrier performance. The exposure conditions involved potential freeze-thaw cycling, hydration-desiccation cycles, cation exchange, direct and diffusive exposure to hydrocarbons. The effect of these phenomena was investigated by monitoring GCL and GMB sacrificial coupons. GCL coupons were placed between the main GCL component and the main geomembrane component of the composite liner and GMB coupons placed between the main GMB sheet and the GTX protection layer. Coupons were exhumed from the biopiles each year. The exhumed GCL field moisture content values ranged from 162% to 22%. After three (3) years in the field, GCL coupons that had undergone at least one hydration/desiccation cycle showed no significant change in swell index values or fluid loss values. The measured hydraulic conductivity of exhumed GCL coupons from Biopiles 1 and 2 (3 x 10(-11) m s(-1)) was within the expected range and not significantly different from the values for virgin GCL. GMB coupons exhumed after three years from Biopiles 1 and 2 showed no significant change in oxidative induction time (OIT), melt flow index or tensile properties. Diffusion tests were performed as an index test for establishing the performance of the GMBs as a diffusive barrier to hydrocarbons, with permeation parameters for BTEX contaminants ranging from P-g = 0.9-9.2 x 10(-13) m(2) s(-1) for the exhumed GMB (with values depending on the contaminant and GMB). These values were similar to the parameters obtained for virgin GMBs and there was no significant change with field exposure, with GMBs appearing to be performing well. Crown Copyright (C) 2016 Published by Elsevier Ltd. All rights reserved.</t>
  </si>
  <si>
    <t>[McWatters, R. S.; Wilkins, D.; Spedding, T.; Wise, L.; Mets, J.; Terry, D.; Hince, G.; Snape, I.] Australian Antarctic Div, Antarctic Conservat &amp; Management, Kingston, Tas, Australia; [Rowe, R. K.; Jones, D.; Di Battista, V.; Shoaib, M.] Queens Univ, GeoEngn Ctr Queens RMC, Kingston, ON, Canada; [Gates, W. P.; Bouazza, A.] Monash Univ, Dept Civil Engn, Melbourne, Vic, Australia; [Gates, W. P.] Deakin Univ, Inst Frontier Mat, Burwood, Vic, Australia</t>
  </si>
  <si>
    <t>Australian Antarctic Division; Royal Military College - Canada; Queens University - Canada; Monash University; Deakin University</t>
  </si>
  <si>
    <t>McWatters, RS (corresponding author), Australian Antarctic Div, Antarctic Conservat &amp; Management, Kingston, Tas, Australia.</t>
  </si>
  <si>
    <t>Wilkins, Daniel/AAF-3959-2020</t>
  </si>
  <si>
    <t>Wilkins, Daniel/0000-0003-2081-483X; Rowe, R. Kerry/0000-0002-1009-0447; Spedding, Tim/0000-0002-4023-2469</t>
  </si>
  <si>
    <t>0266-1144</t>
  </si>
  <si>
    <t>1879-3584</t>
  </si>
  <si>
    <t>GEOTEXT GEOMEMBRANES</t>
  </si>
  <si>
    <t>Geotext. Geomembr.</t>
  </si>
  <si>
    <t>10.1016/j.geotexmem.2016.06.001</t>
  </si>
  <si>
    <t>Engineering, Geological; Geosciences, Multidisciplinary</t>
  </si>
  <si>
    <t>Engineering; Geology</t>
  </si>
  <si>
    <t>DR7KU</t>
  </si>
  <si>
    <t>WOS:000380079300003</t>
  </si>
  <si>
    <t>Phipps, SJ; Fogwill, CJ; Turney, CSM</t>
  </si>
  <si>
    <t>Phipps, Steven J.; Fogwill, Christopher J.; Turney, Christian S. M.</t>
  </si>
  <si>
    <t>Impacts of marine instability across the East Antarctic Ice Sheet on Southern Ocean dynamics</t>
  </si>
  <si>
    <t>SENSITIVITY; DRIVEN</t>
  </si>
  <si>
    <t>Recent observations and modelling studies have demonstrated the potential for rapid and substantial retreat of large sectors of the East Antarctic Ice Sheet (EAIS). This has major implications for ocean circulation and global sea level. Here we examine the effects of increasing meltwater from the Wilkes Basin, one of the major marine-based sectors of the EAIS, on Southern Ocean dynamics. Climate model simulations reveal that the meltwater flux rapidly stratifies surface waters, leading to a dramatic decrease in the rate of Antarctic Bottom Water (AABW) formation. The surface ocean cools but, critically, the Southern Ocean warms by more than 1 degrees C at depth. This warming is accompanied by a Southern Ocean-wide domino effect, whereby the warming signal propagates westward with depth. Our results suggest that melting of one sector of the EAIS could result in accelerated warming across other sectors, including the Weddell Sea sector of the West Antarctic Ice Sheet. Thus, localised melting of the EAIS could potentially destabilise the wider Antarctic Ice Sheet.</t>
  </si>
  <si>
    <t>[Phipps, Steven J.; Fogwill, Christopher J.; Turney, Christian S. M.] UNSW Australia, Sch Biol Earth &amp; Environm Sci, Climate Change Res Ctr, Sydney, NSW 2052, Australia; [Phipps, Steven J.] Univ Tasmania, Inst Marine &amp; Antarctic Studies, Hobart, Tas 7001, Australia; [Fogwill, Christopher J.] UNSW Australia, PANGEA Res Ctr, Sydney, NSW 2052, Australia</t>
  </si>
  <si>
    <t>University of New South Wales Sydney; University of Tasmania; University of New South Wales Sydney</t>
  </si>
  <si>
    <t>Phipps, SJ (corresponding author), UNSW Australia, Sch Biol Earth &amp; Environm Sci, Climate Change Res Ctr, Sydney, NSW 2052, Australia.;Phipps, SJ (corresponding author), Univ Tasmania, Inst Marine &amp; Antarctic Studies, Hobart, Tas 7001, Australia.</t>
  </si>
  <si>
    <t>Steven.Phipps@utas.edu.au</t>
  </si>
  <si>
    <t>Fogwill, Christopher/HPF-1150-2023; Fogwill, Chris/AAW-3502-2021; Turney, Chris/P-8701-2018; Phipps, Steven/B-3135-2008</t>
  </si>
  <si>
    <t>Fogwill, Chris/0000-0002-6471-1106; Turney, Chris/0000-0001-6733-0993; Phipps, Steven/0000-0001-5657-8782</t>
  </si>
  <si>
    <t>Australian Research Council [FL10010019, FT120100004]; Special Research Initiative for the Antarctic Gateway Partnership [SR140300001]; Australian Government; Australian Research Council [FT120100004] Funding Source: Australian Research Council</t>
  </si>
  <si>
    <t>Australian Research Council(Australian Research Council); Special Research Initiative for the Antarctic Gateway Partnership; Australian Government(Australian Government); Australian Research Council(Australian Research Council)</t>
  </si>
  <si>
    <t>This research was supported under the Australian Research Council's Laureate Fellowships funding scheme (project ID FL10010019), Future Fellowships funding scheme (project ID FT120100004) and Special Research Initiative for the Antarctic Gateway Partnership (project ID SR140300001). It was undertaken with the assistance of resources provided at the Australian National University through the National Computational Merit Allocation Scheme supported by the Australian Government. It also includes computations using the Linux computational cluster Katana supported by the Faculty of Science, UNSW Australia. The authors wish to acknowledge use of the Ferret program for analysis and graphics; Ferret is a product of NOAA's Pacific Marine Environmental Laboratory (http://ferret.pmel.noaa.gov/Ferret/). This research forms a contribution to the Australasian Antarctic Expedition 2013-2014 (www.spiritofmawson.com).</t>
  </si>
  <si>
    <t>SEP 30</t>
  </si>
  <si>
    <t>10.5194/tc-10-2317-2016</t>
  </si>
  <si>
    <t>DY8WW</t>
  </si>
  <si>
    <t>WOS:000385413800002</t>
  </si>
  <si>
    <t>Miranda, TP; Cunha, AF; Marques, AC</t>
  </si>
  <si>
    <t>Miranda, Thais P.; Cunha, Amanda F.; Marques, Antonio C.</t>
  </si>
  <si>
    <t>Status of the names of some hydroid species (Cnidaria, Hydrozoa), described from the Atlantic coast of Patagonia</t>
  </si>
  <si>
    <t>ZOOTAXA</t>
  </si>
  <si>
    <t>nomenclature; ICZN; Hydrozoa; El Beshbeeshy; Argentina</t>
  </si>
  <si>
    <t>RECENT ANTARCTIC EXPEDITIONS; OSWALDELLA STECHOW; POLARSTERN; ALLMAN</t>
  </si>
  <si>
    <t>Thirty new species of benthic leptothecate hydroids were described and named from Patagonia in a 1991 PhD dissertation by Mohamed El Beshbeeshy. Although constituting nomina nuda under provisions of the International Code of Zoological Nomenclature (ICZN), the names of some species were used in several scientific publications between 1991 and 2011. In 2011, the dissertation of El Beshbeeshy was published in accordance with Article 8 of the ICZN. Several species-group names appearing in that work nevertheless fail to fully comply with certain articles of the code. The goal of this contribution is to review the nomenclatural availability of the names of those 30 new taxa, and to clearly establish the current status of El Beshbeeshy's material. Two of them were made available in 1999 as part of studies other than those of El Beshbeeshy, and correct authorship and date is here noted. Twenty-one of the nomina nuda were made available in a work published by El Beshbeeshy in 2011, although some constitute junior synonyms. Six of the new species-group names appearing in both the 1991 and 2011 works, established following a literature review of Patagonian species, were proposed without re-description, or designation of name-bearing types, or locations of such types. Most of them do not meet criteria of availability and remain nomina nuda. The status of each is discussed to avoid additional nomenclatural errors and continued taxonomic confusion.</t>
  </si>
  <si>
    <t>[Miranda, Thais P.; Cunha, Amanda F.; Marques, Antonio C.] Univ Sao Paulo, Dept Zool, Tr 14,101, BR-05508090 Sao Paulo, SP, Brazil; [Marques, Antonio C.] Univ Sao Paulo, Ctr Biol Marinha, Sao Sebastiao, Brazil</t>
  </si>
  <si>
    <t>Universidade de Sao Paulo; Universidade de Sao Paulo</t>
  </si>
  <si>
    <t>Miranda, TP (corresponding author), Univ Sao Paulo, Dept Zool, Tr 14,101, BR-05508090 Sao Paulo, SP, Brazil.</t>
  </si>
  <si>
    <t>thaispmir@ib.usp.br; amanfcunha@gmail.com; marques@ib.usp.br</t>
  </si>
  <si>
    <t>Marques, Antonio/E-8049-2011; Cunha, Amanda F/R-3863-2017; Fapesp, Biota/F-8655-2017; Miranda, Thais Pires/G-8617-2016</t>
  </si>
  <si>
    <t>Marques, Antonio/0000-0002-2884-0541; Cunha, Amanda F/0000-0003-3276-2651; Fapesp, Biota/0000-0002-9887-8449; Miranda, Thais Pires/0000-0001-7786-8738</t>
  </si>
  <si>
    <t>Sao Paulo Research Foundation (FAPESP) [2010/06927-0, 2014/24407-5, 2011/22260-9, 2004/09961-4, 2011/50242-5, 2013/50484-4]; National Council for Technological and Scientific Development (CNPq) [557333/2005-9, 490348/2006-8, 562143/2010-6, 477156/20118, 305805/2013-4, 445444/2014-2]</t>
  </si>
  <si>
    <t>Sao Paulo Research Foundation (FAPESP)(Fundacao de Amparo a Pesquisa do Estado de Sao Paulo (FAPESP)); National Council for Technological and Scientific Development (CNPq)(Conselho Nacional de Desenvolvimento Cientifico e Tecnologico (CNPQ))</t>
  </si>
  <si>
    <t>We are indebted to Daphne Fautin who gently helped us to better understand provisions of the ICZN and reviewed a previous version of this manuscript. We also thank Peter Schuchert and an anonymous reviewer for their clarifying comments and suggestions, and editor Bastian Bentlage for his assistance. Finally, we are very grateful to Dale Calder for his valuable comments and suggestions on earlier versions of this manuscript. This study was supported by Sao Paulo Research Foundation (FAPESP) (TPM grant 2010/06927-0; 2014/24407-5; AFC grant 2011/22260-9; ACM grant 2004/09961-4; 2011/50242-5; 2013/50484-4), and National Council for Technological and Scientific Development (CNPq) (ACM grant 557333/2005-9; 490348/2006-8; 562143/2010-6; 477156/20118; 305805/2013-4; 445444/2014-2). This paper is a contribution of NP-BioMar, USP.</t>
  </si>
  <si>
    <t>1175-5326</t>
  </si>
  <si>
    <t>1175-5334</t>
  </si>
  <si>
    <t>Zootaxa</t>
  </si>
  <si>
    <t>SEP 29</t>
  </si>
  <si>
    <t>10.11646/zootaxa.4171.3.13</t>
  </si>
  <si>
    <t>DX1GE</t>
  </si>
  <si>
    <t>WOS:000384113300013</t>
  </si>
  <si>
    <t>Stone, EJ; Capron, E; Lunt, DJ; Payne, AJ; Singarayer, JS; Valdes, PJ; Wolff, EW</t>
  </si>
  <si>
    <t>Stone, Emma J.; Capron, Emilie; Lunt, Daniel J.; Payne, Antony J.; Singarayer, Joy S.; Valdes, Paul J.; Wolff, Eric W.</t>
  </si>
  <si>
    <t>Impact of meltwater on high-latitude early Last Interglacial climate</t>
  </si>
  <si>
    <t>ANTARCTIC ICE-SHEET; SEA-LEVEL; CARBON-DIOXIDE; CHRONOLOGY AICC2012; GREENLAND; MODEL; TEMPERATURE; EVOLUTION; COLLAPSE; SIMULATION</t>
  </si>
  <si>
    <t>Recent data compilations of the early Last Interglacial period have indicated a bipolar temperature response at 130 ka, with colder-than-present temperatures in the North Atlantic and warmer-than-present temperatures in the Southern Ocean and over Antarctica. However, climate model simulations of this period have been unable to reproduce this response, when only orbital and greenhouse gas forcings are considered in a climate model framework. Using a full-complexity general circulation model we perform climate model simulations representative of 130 ka conditions which include a magnitude of freshwater forcing derived from data at this time. We show that this meltwater from the remnant Northern Hemisphere ice sheets during the glacial-interglacial transition produces a modelled climate response similar to the observed colder-than-present temperatures in the North Atlantic at 130 ka and also results in warmer-than-present temperatures in the Southern Ocean via the bipolar seesaw mechanism. Further simulations in which the West Antarctic Ice Sheet is also removed lead to warming in East Antarctica and the Southern Ocean but do not appreciably improve the model-data comparison. This integrated model-data approach provides evidence that Northern Hemisphere freshwater forcing is an important player in the evolution of early Last Interglacial climate.</t>
  </si>
  <si>
    <t>[Stone, Emma J.; Lunt, Daniel J.; Payne, Antony J.; Valdes, Paul J.] Univ Bristol, Sch Geog Sci, BRIDGE, Bristol, Avon, England; [Capron, Emilie] British Antarctic Survey, Cambridge, England; [Capron, Emilie] Univ Copenhagen, Niels Bohr Inst, Ctr Ice &amp; Climate, Copenhagen, Denmark; [Singarayer, Joy S.] Univ Reading, Dept Meteorol, Reading, Berks, England; [Wolff, Eric W.] Univ Cambridge, Dept Earth Sci, Cambridge, England</t>
  </si>
  <si>
    <t>University of Bristol; UK Research &amp; Innovation (UKRI); Natural Environment Research Council (NERC); NERC British Antarctic Survey; University of Copenhagen; Niels Bohr Institute; University of Reading; University of Cambridge</t>
  </si>
  <si>
    <t>Stone, EJ (corresponding author), Univ Bristol, Sch Geog Sci, BRIDGE, Bristol, Avon, England.</t>
  </si>
  <si>
    <t>emma.j.stone@bristol.ac.uk</t>
  </si>
  <si>
    <t>Stone, Emma J/H-9549-2012; Wolff, Eric W/D-7925-2014; Capron, Emilie/ITU-2672-2023; Valdes, Paul/T-2004-2019; Valdes, Paul J/C-4129-2013; Lunt, Daniel/G-9451-2011; payne, antony/A-8916-2008</t>
  </si>
  <si>
    <t>Stone, Emma J/0000-0002-8633-8074; Wolff, Eric W/0000-0002-5914-8531; Valdes, Paul/0000-0002-1902-3283; Lunt, Daniel/0000-0003-3585-6928; payne, antony/0000-0001-8825-8425</t>
  </si>
  <si>
    <t>UK-NERC consortium iGlass [NE/I009906/1]; European Union [243908]; NERC [NE/I009906/1, NE/I009639/1, NE/I010874/1, bas0100034] Funding Source: UKRI; Natural Environment Research Council [NE/I009639/1, bas0100034, NE/I009906/1, NE/I010874/1] Funding Source: researchfish</t>
  </si>
  <si>
    <t>UK-NERC consortium iGlass; European Union(European Union (EU)); NERC(UK Research &amp; Innovation (UKRI)Natural Environment Research Council (NERC)); Natural Environment Research Council(UK Research &amp; Innovation (UKRI)Natural Environment Research Council (NERC))</t>
  </si>
  <si>
    <t>This work was carried out with funding from the UK-NERC consortium iGlass (NE/I009906/1) and is also a contribution to the European Union's Seventh Framework programme (FP7/2007-2013) under grant agreement 243908, Past4Future. Climate change - Learning from the past climate. This is Past4Future contribution no. 85. The climate model simulations were carried out using the computational facilities of the Advanced Computing Research Centre, University of Bristol - http://www.bris.ac.uk/acrc/. We thank the reviewers, whose constructive comments improved the paper.</t>
  </si>
  <si>
    <t>10.5194/cp-12-1919-2016</t>
  </si>
  <si>
    <t>DY9HG</t>
  </si>
  <si>
    <t>gold, Green Submitted, Green Accepted</t>
  </si>
  <si>
    <t>WOS:000385443900001</t>
  </si>
  <si>
    <t>Landais, A; Masson-Delmotte, V; Capron, E; Langebroek, PM; Bakker, P; Stone, EJ; Merz, N; Raible, CC; Fischer, H; Orsi, A; Prié, F; Vinther, B; Dahl-Jensen, D</t>
  </si>
  <si>
    <t>Landais, Amaelle; Masson-Delmotte, Valerie; Capron, Emilie; Langebroek, Petra M.; Bakker, Pepijn; Stone, Emma J.; Merz, Niklaus; Raible, Christoph C.; Fischer, Hubertus; Orsi, Anais; Prie, Frederic; Vinther, Bo; Dahl-Jensen, Dorthe</t>
  </si>
  <si>
    <t>How warm was Greenland during the last interglacial period?</t>
  </si>
  <si>
    <t>VOSTOK ICE CORE; ISOTOPIC COMPOSITION; CHRONOLOGY AICC2012; ANTARCTIC ICE; GAS-TRANSPORT; CLIMATE; TEMPERATURE; FIRN; NEEM; RECONSTRUCTION</t>
  </si>
  <si>
    <t>The last interglacial period (LIG, similar to 129-116 thousand years ago) provides the most recent case study of multimillennial polar warming above the preindustrial level and a response of the Greenland and Antarctic ice sheets to this warming, as well as a test bed for climate and ice sheet models. Past changes in Greenland ice sheet thickness and surface temperature during this period were recently derived from the North Greenland Eemian Ice Drilling (NEEM) ice core records, northwest Greenland. The NEEM paradox has emerged from an estimated large local warming above the preindustrial level (7.5 +/- 1.8 degrees C at the deposition site 126 kyr ago without correction for any overall ice sheet altitude changes between the LIG and the preindustrial period) based on water isotopes, together with limited local ice thinning, suggesting more resilience of the real Greenland ice sheet than shown in some ice sheet models. Here, we provide an independent assessment of the average LIG Greenland surface warming using ice core air isotopic composition (delta N-15) and relationships between accumulation rate and temperature. The LIG surface temperature at the upstream NEEM deposition site without ice sheet altitude correction is estimated to be warmer by +8.5 +/- 2.5 degrees C compared to the preindustrial period. This temperature estimate is consistent with the 7.5 +/- 1.8 degrees C warming initially determined from NEEM water isotopes but at the upper end of the preindustrial period to LIG temperature difference of +5.2 +/- 2.3 degrees C obtained at the NGRIP (North Greenland Ice Core Project) site by the same method. Climate simulations performed with present-day ice sheet topography lead in general to a warming smaller than reconstructed, but sensitivity tests show that larger amplitudes (up to 5 degrees C) are produced in response to prescribed changes in sea ice extent and ice sheet topography.</t>
  </si>
  <si>
    <t>[Landais, Amaelle; Masson-Delmotte, Valerie; Orsi, Anais; Prie, Frederic] CEA CNRS UVSQ Univ Paris Saclay, UMR 8212, Lab Sci Climat &amp; Environm IPSL, Gif Sur Yvette, France; [Capron, Emilie; Vinther, Bo; Dahl-Jensen, Dorthe] Univ Copenhagen, Niels Bohr Inst, Ctr Ice &amp; Climate, Juliane Maries Vej 30, DK-2100 Copenhagen O, Denmark; [Capron, Emilie] British Antarctic Survey, High Cross Madingley Rd, Cambridge CB3 0ET, England; [Langebroek, Petra M.] Bjerknes Ctr Climate Res, Uni Res Climate, Nygardsgaten 112-114, N-5008 Bergen, Norway; [Bakker, Pepijn] Oregon State Univ, Coll Earth Ocean &amp; Atmospher Sci, Corvallis, OR 97331 USA; [Stone, Emma J.] Univ Bristol, Sch Geog Sci, BRIDGE, Bristol, Avon, England; [Merz, Niklaus; Raible, Christoph C.; Fischer, Hubertus] Univ Bern, Inst Phys, Climate &amp; Environm Phys, Sidlerstr 5, CH-3012 Bern, Switzerland; [Merz, Niklaus; Raible, Christoph C.; Fischer, Hubertus] Univ Bern, Oeschger Ctr Climate Change Res, Sidlerstr 5, CH-3012 Bern, Switzerland</t>
  </si>
  <si>
    <t>CEA; Centre National de la Recherche Scientifique (CNRS); Universite Paris Saclay; CNRS - National Institute for Earth Sciences &amp; Astronomy (INSU); University of Copenhagen; Niels Bohr Institute; UK Research &amp; Innovation (UKRI); Natural Environment Research Council (NERC); NERC British Antarctic Survey; Bjerknes Centre for Climate Research; Oregon State University; University of Bristol; University of Bern; University of Bern</t>
  </si>
  <si>
    <t>Landais, A (corresponding author), CEA CNRS UVSQ Univ Paris Saclay, UMR 8212, Lab Sci Climat &amp; Environm IPSL, Gif Sur Yvette, France.</t>
  </si>
  <si>
    <t>amaelle.landais@lsce.ipsl.fr</t>
  </si>
  <si>
    <t>Capron, Emilie/ITU-2672-2023; Masson-Delmotte, Valerie L/G-1995-2011; Dahl-Jensen, Dorthe/AAO-6951-2020; Stone, Emma J/H-9549-2012; Raible, Christoph/M-8309-2016; Fischer, Hubertus/A-1211-2014; Langebroek, Petra/K-2076-2014</t>
  </si>
  <si>
    <t>Masson-Delmotte, Valerie L/0000-0001-8296-381X; Dahl-Jensen, Dorthe/0000-0002-1474-1948; Stone, Emma J/0000-0002-8633-8074; Raible, Christoph/0000-0003-0176-0602; LANDAIS, Amaelle/0000-0002-5620-5465; Vinther, Bo/0000-0002-6078-771X; Orsi, Anais/0000-0001-5511-3940; Fischer, Hubertus/0000-0002-2787-4221; Langebroek, Petra/0000-0002-1246-8781</t>
  </si>
  <si>
    <t>Belgium (FNRS-CFB); Belgium (FWO); Canada (NRCan/GSC); China (CAS); Denmark (FIST); France (IPEV); France (CNRS/INSU); France (CEA); France (ANR); Germany (AWI); Iceland (RannIs); Japan (NIPR); South Korea (KOPRI); Netherlands (NWO/ALW); Sweden (VR); United Kingdom (NERC); USA (USNSF, Office of Polar Programs); EU Seventh Framework programs; Past4Future Climate change - Learning from the past climate, a collaborative project under the 7th Framework Programme of the European Commission [243908]; Research Council of Norway [221598]; European Research Council [246815 WATERundertheICE]; European Research Council under the European Union [306045]; Agence Nationale de la Recherche [ANR-07-VULN-0009, ANR-10-CEPL-0008]; Natural Environment Research Council [NE/I009639/1, bas0100034] Funding Source: researchfish; NERC [bas0100034, NE/I009639/1] Funding Source: UKRI; Agence Nationale de la Recherche (ANR) [ANR-07-VULN-0009, ANR-10-CEPL-0008] Funding Source: Agence Nationale de la Recherche (ANR)</t>
  </si>
  <si>
    <t>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South Korea (KOPRI)(Korea Polar Research Institute of Marine Research Placement (KOPRI)); Netherlands (NWO/ALW)(Netherlands Organization for Scientific Research (NWO)Netherlands Government); Sweden (VR)(Swedish Research Council); United Kingdom (NERC)(UK Research &amp; Innovation (UKRI)Natural Environment Research Council (NERC)); USA (USNSF, Office of Polar Programs); EU Seventh Framework programs; Past4Future Climate change - Learning from the past climate, a collaborative project under the 7th Framework Programme of the European Commission; Research Council of Norway(Research Council of Norway); European Research Council(European Research Council (ERC)); European Research Council under the European Union(European Research Council (ERC)); Agence Nationale de la Recherche(Agence Nationale de la Recherche (ANR)); Natural Environment Research Council(UK Research &amp; Innovation (UKRI)Natural Environment Research Council (NERC)); NERC(UK Research &amp; Innovation (UKRI)Natural Environment Research Council (NERC)); Agence Nationale de la Recherche (ANR)(Agence Nationale de la Recherche (ANR))</t>
  </si>
  <si>
    <t>NEEM is directed and organized by the Centre of Ice and Climate at the Niels Bohr Institute and US NSF, Office of Polar Programs. It is supported by funding agencies and institutions in Belgium (FNRS-CFB and FWO), Canada (NRCan/GSC), China (CAS), Denmark (FIST), France (IPEV, CNRS/INSU, CEA and ANR), Germany (AWI), Iceland (RannIs), Japan (NIPR), South Korea (KOPRI), the Netherlands (NWO/ALW), Sweden (VR), Switzerland, the United Kingdom (NERC) and the USA (USNSF, Office of Polar Programs) and the EU Seventh Framework programs. The Division for Climate and Environmental Physics, Physics Institute, University of Bern, acknowledges continuing support by the Swiss National Science Foundation as well as access to the infrastructure at the Swiss National Supercomputing Centre. The HadCM3 climate model simulations were carried out using the computational facilities of the Advanced Computing Research Centre, University of Bristol - http://www.bris.ac.uk/acrc/. This project benefitted from support from Past4Future Climate change - Learning from the past climate, a collaborative project under the 7th Framework Programme of the European Commission (grant agreement no. 243908). Petra M. Langebroek is funded by the Research Council of Norway through the IceBed project (221598). This work was supported by European Research Council Advanced Grant no. 246815 WATERundertheICE. The research leading to these results has received funding from the European Research Council under the European Union's Seventh Framework Programme (FP7/2007-2013)/ERC grant agreement no. 306045 (COMBINISO) and from Agence Nationale de la Recherche (ANR-07-VULN-0009 and ANR-10-CEPL-0008). We thank the two reviewers for their helpful comments that permitted us to significantly improve the first version of this manuscript.</t>
  </si>
  <si>
    <t>10.5194/cp-12-1933-2016</t>
  </si>
  <si>
    <t>Green Submitted, Green Accepted, gold, Green Published</t>
  </si>
  <si>
    <t>WOS:000385443900002</t>
  </si>
  <si>
    <t>González, HE; Graeve, M; Kattner, G; Silva, N; Castro, L; Iriarte, JL; Osmán, L; Daneri, G; Vargas, CA</t>
  </si>
  <si>
    <t>Gonzalez, H. E.; Graeve, M.; Kattner, G.; Silva, N.; Castro, L.; Iriarte, J. L.; Osman, L.; Daneri, G.; Vargas, C. A.</t>
  </si>
  <si>
    <t>Carbon flow through the pelagic food web in southern Chilean Patagonia: relevance of Euphausia vallentini as a key species</t>
  </si>
  <si>
    <t>MARINE ECOLOGY PROGRESS SERIES</t>
  </si>
  <si>
    <t>Chilean Patagonia; Euphausia vallentini; Pelagic carbon flux; Euphausiid diet</t>
  </si>
  <si>
    <t>PARTICULATE ORGANIC-MATTER; FATTY-ACID-COMPOSITION; ANTARCTIC KRILL; FRACTIONATED PHYTOPLANKTON; PLANKTON DYNAMICS; SURFACE SEDIMENTS; SPATIAL-PATTERNS; STABLE-ISOTOPE; AYSEN FJORD; RIVER</t>
  </si>
  <si>
    <t>The southernmost Patagonian region constitutes a major glaciered area with a high freshwater input loaded with particulate and dissolved matter. We assessed the relevance of the terrestrial (allochthonous) and marine (autochthonous) matter that permeates into the fjord and channel system and their possible impact on the euphausiid-based food web. A research cruise (CIMAR 16) was conducted from 18 October to 13 November 2010 (austral spring) in the area between Magellan Strait and Drake Passage to study the physical-chemical and biological characteristics of the pelagic food web, as well as the main biological processes linked with the food web. The dominance of phytoplankton within the autochthonous fractions of particulate organic carbon (POC) and the high abundance and bacterivory rate shown by the heterotrophic nano-flagellates suggest an interplay between microbial and classical food webs. Euphausia vallentini showed a moderate grazing impact (3% of the gross primary production) and a daily ration of 18.6%, and the fecal pellet production rate corresponded to 24.5% of the ingestion rate. This species removed heterotrophic prey (67.5%) preferentially over diatoms (32.5%), and the ingested diet was mainly dinoflagellates, tintinnids, crustacean nauplii and centric diatoms. Overall, euphausiids fed preferentially on marine matter, which showed a tight link with the pelagic food web. Congeneric species of the genus Euphausia shared the condition of 'key species' as they constitute a major carbon and energy flow from lower to higher trophic levels and an important part of the POC flux through their active vertical migration and passive fecal-carbon export.</t>
  </si>
  <si>
    <t>[Gonzalez, H. E.] Univ Austral Chile, Inst Ciencias Marinas &amp; Limnol, Valdivia, Chile; [Gonzalez, H. E.; Iriarte, J. L.] Univ Austral Chile, Ctr FONDAP Invest Ecosistemas Marinos Altas Latit, Valdivia, Chile; [Iriarte, J. L.; Daneri, G.] CIEP, Coyhaique, Chile; [Graeve, M.; Kattner, G.] Helmholtz Ctr Polar &amp; Marine Res, Alfred Wegener Inst, Bremerhaven, Germany; [Silva, N.] P Univ Catolica Valparaiso, Escuela Ciencias Mar, Valparaiso, Chile; [Castro, L.] Univ Concepcion, Dept Oceanog, Concepcion, Chile; [Castro, L.; Iriarte, J. L.; Daneri, G.] Univ Concepcion, Ctr COPAS Sur Austral, Concepcion, Chile; [Iriarte, J. L.] Univ Austral Chile, Inst Acuicultura, Puerto Montt, Chile; [Osman, L.] Nature Conservancy, Los Helechos 635, Valdivia, Chile; [Vargas, C. A.] Univ Concepcion, Millennium Inst Oceanog IMO, Fac Ciencias Ambientales, Dept Sistemas Acuat, Concepcion, Chile; [Vargas, C. A.] Univ Concepcion, Ctr Study Multiple Drivers Marine Socioecol Syst, Concepcion, Chile</t>
  </si>
  <si>
    <t>Universidad Austral de Chile; Universidad Austral de Chile; Helmholtz Association; Alfred Wegener Institute, Helmholtz Centre for Polar &amp; Marine Research; Pontificia Universidad Catolica de Valparaiso; Universidad de Concepcion; Universidad de Concepcion; Universidad Austral de Chile; Universidad de Concepcion; Universidad de Concepcion</t>
  </si>
  <si>
    <t>González, HE (corresponding author), Univ Austral Chile, Inst Ciencias Marinas &amp; Limnol, Valdivia, Chile.;González, HE (corresponding author), Univ Austral Chile, Ctr FONDAP Invest Ecosistemas Marinos Altas Latit, Valdivia, Chile.</t>
  </si>
  <si>
    <t>hgonzale@uach.cl</t>
  </si>
  <si>
    <t>González, Humberto E./A-4039-2008; Graeve, Martin/B-5751-2017</t>
  </si>
  <si>
    <t>Vargas, Cristian A./0000-0002-1486-3611; Graeve, Martin/0000-0002-2294-1915</t>
  </si>
  <si>
    <t>FONDAP-IDEAL [15150003]; MINECON [NC120086, IC120019]; Red Doctoral REDOC.CTA, MINEDUC; project CIMAR16-Fiordos [CONA-C16F 09-10, CONA-C16F 10-11]</t>
  </si>
  <si>
    <t>FONDAP-IDEAL; MINECON; Red Doctoral REDOC.CTA, MINEDUC; project CIMAR16-Fiordos</t>
  </si>
  <si>
    <t>We thank the entire crew and all scientists of the CIMAR 16-2010 oceanographic cruise. We thank Samuel Soto, Cesar Barrales, Paola Reinoso, Eduardo Menschel and Maria Ines Munoz for collaboration during sampling and data analysis. We also thank Eduardo Menschel and Ricardo Giesecke for stimulating discussions on plankton dynamics in Patagonian systems. This study was funded by the project CIMAR16-Fiordos (CONA-C16F 09-10 and CONA-C16F 10-11). Additional support is also acknowledged from FONDAP-IDEAL no. 15150003. MINECON NC120086, IC120019 and the Red Doctoral REDOC.CTA, MINEDUC, also provided supported to C.A.V. during the final preparation of the manuscript.</t>
  </si>
  <si>
    <t>INTER-RESEARCH</t>
  </si>
  <si>
    <t>OLDENDORF LUHE</t>
  </si>
  <si>
    <t>NORDBUNTE 23, D-21385 OLDENDORF LUHE, GERMANY</t>
  </si>
  <si>
    <t>0171-8630</t>
  </si>
  <si>
    <t>1616-1599</t>
  </si>
  <si>
    <t>MAR ECOL PROG SER</t>
  </si>
  <si>
    <t>Mar. Ecol.-Prog. Ser.</t>
  </si>
  <si>
    <t>SEP 28</t>
  </si>
  <si>
    <t>10.3354/meps11826</t>
  </si>
  <si>
    <t>Ecology; Marine &amp; Freshwater Biology; Oceanography</t>
  </si>
  <si>
    <t>Environmental Sciences &amp; Ecology; Marine &amp; Freshwater Biology; Oceanography</t>
  </si>
  <si>
    <t>EB1LR</t>
  </si>
  <si>
    <t>WOS:000387114000007</t>
  </si>
  <si>
    <t>Tonboe, RT; Eastwood, S; Lavergne, T; Sorensen, AM; Rathmann, N; Dybkjær, G; Pedersen, LT; Hoyer, JL; Kern, S</t>
  </si>
  <si>
    <t>Tonboe, Rasmus T.; Eastwood, Steinar; Lavergne, Thomas; Sorensen, Atle M.; Rathmann, Nicholas; Dybkjaer, Gorm; Pedersen, Leif Toudal; Hoyer, Jacob L.; Kern, Stefan</t>
  </si>
  <si>
    <t>The EUMETSAT sea ice concentration climate data record</t>
  </si>
  <si>
    <t>PASSIVE MICROWAVE OBSERVATIONS; SSM/I; MODEL; OCEAN; ALGORITHMS; RADIOMETER; RETRIEVAL; TRENDS; GREENLAND; IMAGER</t>
  </si>
  <si>
    <t>An Arctic and Antarctic sea ice area and extent dataset has been generated by EUMETSAT's Ocean and Sea Ice Satellite Application Facility (OSISAF) using the record of microwave radiometer data from NASA's Nimbus 7 Scanning Multichannel Microwave radiometer (SMMR) and the Defense Meteorological Satellite Program (DMSP) Special Sensor Microwave/Imager (SSM/I) and Special Sensor Microwave Imager and Sounder (SSMIS) satellite sensors. The dataset covers the period from October 1978 to April 2015 and updates and further developments are planned for the next phase of the project. The methodology for computing the sea ice concentration uses (1) numerical weather prediction (NWP) data input to a radiative transfer model for reduction of the impact of weather conditions on the measured brightness temperatures; (2) dynamical algorithm tie points to mitigate trends in residual atmospheric, sea ice, and water emission characteristics and inter-sensor differences/biases; and (3) a hybrid sea ice concentration algorithm using the Bristol algorithm over ice and the Bootstrap algorithm in frequency mode over open water. A new sea ice concentration uncertainty algorithm has been developed to estimate the spatial and temporal variability in sea ice concentration retrieval accuracy. A comparison to US National Ice Center sea ice charts from the Arctic and the Antarctic shows that ice concentrations are higher in the ice charts than estimated from the radiometer data at intermediate sea ice concentrations between open water and 100% ice. The sea ice concentration climate data record is available for download at www.osi-saf.org, including documentation.</t>
  </si>
  <si>
    <t>[Tonboe, Rasmus T.; Dybkjaer, Gorm; Pedersen, Leif Toudal; Hoyer, Jacob L.] Danish Meteorol Inst, Lyngbyvej 100, DK-2100 Copenhagen, Denmark; [Eastwood, Steinar; Lavergne, Thomas; Sorensen, Atle M.] Norwegian Meteorol Inst, POB 43, N-0313 Oslo, Norway; [Rathmann, Nicholas] Univ Copenhagen, Juliane Maries Vej 30, DK-2100 Copenhagen, Denmark; [Kern, Stefan] Univ Hamburg, Integrated Climate Data Ctr ICDC, Grindelberg 5, D-20144 Hamburg, Germany</t>
  </si>
  <si>
    <t>Danish Meteorological Institute DMI; Norwegian Meteorological Institute; University of Copenhagen; University of Hamburg</t>
  </si>
  <si>
    <t>Tonboe, RT (corresponding author), Danish Meteorol Inst, Lyngbyvej 100, DK-2100 Copenhagen, Denmark.</t>
  </si>
  <si>
    <t>rtt@dmi.dk</t>
  </si>
  <si>
    <t>Pedersen, Leif Toudal/ABA-9687-2020; Rathmann, Nicholas/P-5442-2015</t>
  </si>
  <si>
    <t>Pedersen, Leif Toudal/0000-0001-7913-6282; Hoyer, Jacob Lorentsen/0000-0002-4141-0490; Lavergne, Thomas/0000-0002-9498-4551; Kern, Stefan/0000-0001-7281-3746; Sorensen, Atle/0000-0002-7401-3416; Tonboe, Rasmus Tage/0000-0003-1463-4832; Rathmann, Nicholas/0000-0001-7140-0931</t>
  </si>
  <si>
    <t>EUMETSAT's Ocean and Sea Ice Satellite Application Facility; Center of Excellence for Climate System Analysis and Prediction (CliSAP)</t>
  </si>
  <si>
    <t>We would like to thank Irene Rubinstein, Walter Meier, and Georg Heygster for their constructive and helpful comments on the manuscript. The work was completed with support from EUMETSAT's Ocean and Sea Ice Satellite Application Facility. Stefan Kern acknowledges support given by the Center of Excellence for Climate System Analysis and Prediction (CliSAP). The SMMR data were provided by the NSIDC, the SSM/I data by Remote Sensing Systems, the numerical weather prediction model data by the ECMWF, and the SSMIS data were processed at NOAA. The ice chart data are from the US National Ice Center and NSIDC and the sea ice extent data used for comparison were provided by the NSIDC.</t>
  </si>
  <si>
    <t>10.5194/tc-10-2275-2016</t>
  </si>
  <si>
    <t>DY8WU</t>
  </si>
  <si>
    <t>WOS:000385413600001</t>
  </si>
  <si>
    <t>Oman, LD; Douglass, AR; Salawitch, RJ; Canty, TP; Ziemke, JR; Manyin, M</t>
  </si>
  <si>
    <t>Oman, Luke D.; Douglass, Anne R.; Salawitch, Ross J.; Canty, Timothy P.; Ziemke, Jerald R.; Manyin, Michael</t>
  </si>
  <si>
    <t>The effect of representing bromine from VSLS on the simulation and evolution of Antarctic ozone</t>
  </si>
  <si>
    <t>STRATOSPHERIC OZONE; TROPOSPHERIC BRO; SUBSTANCES; RETRIEVAL; EMISSIONS; RECOVERY; LIMB</t>
  </si>
  <si>
    <t>We use the Goddard Earth Observing System Chemistry-Climate Model, a contributor to both the 2010 and 2014 World Meteorological Organization Ozone Assessment Reports, to show that inclusion of 5 parts per trillion (ppt) of stratospheric bromine (Br-y) from very short lived substances (VSLS) is responsible for about a decade delay in ozone hole recovery. These results partially explain the significantly later recovery of Antarctic ozone noted in the 2014 report, as bromine from VSLS was not included in the 2010 Assessment. We show multiple lines of evidence that simulations that account for VSLS Bry are in better agreement with both total column BrO and the seasonal evolution of Antarctic ozone reported by the Ozone Monitoring Instrument on NASA's Aura satellite. In addition, the near-zero ozone levels observed in the deep Antarctic lower stratospheric polar vortex are only reproduced in a simulation that includes this Bry source from VSLS.</t>
  </si>
  <si>
    <t>[Oman, Luke D.; Douglass, Anne R.; Ziemke, Jerald R.; Manyin, Michael] NASA, Goddard Space Flight Ctr, Greenbelt, MD 20771 USA; [Salawitch, Ross J.; Canty, Timothy P.] Univ Maryland, Dept Chem &amp; Biochem, College Pk, MD 20742 USA; [Ziemke, Jerald R.] Morgan State Univ, Goddard Earth Sci Technol &amp; Res, Baltimore, MD 21239 USA; [Manyin, Michael] Sci Syst &amp; Applicat Inc, Lanham, MD USA</t>
  </si>
  <si>
    <t>National Aeronautics &amp; Space Administration (NASA); NASA Goddard Space Flight Center; University System of Maryland; University of Maryland College Park; Morgan State University; Science Systems and Applications Inc</t>
  </si>
  <si>
    <t>Oman, LD (corresponding author), NASA, Goddard Space Flight Ctr, Greenbelt, MD 20771 USA.</t>
  </si>
  <si>
    <t>luke.d.oman@nasa.gov</t>
  </si>
  <si>
    <t>Canty, Tim/F-2631-2010; Douglass, Anne R/D-4655-2012; Salawitch, Ross/B-4605-2009; Oman, Luke/C-2778-2009</t>
  </si>
  <si>
    <t>Canty, Tim/0000-0003-0618-056X; Salawitch, Ross/0000-0001-8597-5832; Oman, Luke/0000-0002-5487-2598</t>
  </si>
  <si>
    <t>NASA ACMAP, Aura; MAP program</t>
  </si>
  <si>
    <t>We thank the NASA ACMAP, Aura, and MAP program for supporting this research. We would like to thank two anonymous reviewers for their helpful comments and suggestions to improve this manuscript. We also thank those involved in model development at GSFC and high-performance computing resources provided by NASA's Advanced Supercomputing (NAS) Division and the NASA Center for Climate Simulation (NCCS). All data and model output used in these figures will be available with the link to this publication at the GEOSCCM website (http://acd-ext.gsfc.nasa.gov/Projects/GEOSCCM/); additional information is available by contacting the corresponding author (luke.d.oman@nasa.gov).</t>
  </si>
  <si>
    <t>10.1002/2016GL070471</t>
  </si>
  <si>
    <t>DY8PS</t>
  </si>
  <si>
    <t>WOS:000385392900062</t>
  </si>
  <si>
    <t>Jiang, S; Cox, TS; Cole-Dai, J; Peterson, KM; Shi, GT</t>
  </si>
  <si>
    <t>Jiang, Su; Cox, Thomas S.; Cole-Dai, Jihong; Peterson, Kari M.; Shi, Guitao</t>
  </si>
  <si>
    <t>Trends of perchlorate in Antarctic snow: Implications for atmospheric production and preservation in snow</t>
  </si>
  <si>
    <t>ICE CORES; NITRATE; CHLORINE; OZONE; INCREASE; LOSSES; DOME</t>
  </si>
  <si>
    <t>Perchlorate concentration ranges from a few to a few hundred ng kg(-1) in surface and shallow-depth snow at three Antarctic locations (South Pole, Dome A, and central West Antarctica), with significant spatial variations dependent on snow accumulation rate and/or atmospheric production rate. An obvious trend of increasing perchlorate since the 1970s is seen in South Pole snow. The trend is possibly the result of stratospheric chlorine levels elevated by anthropogenic chlorine emissions; this is supported by the timing of a similar trend at Dome A. Alternatively, the trend may stem from postdepositional loss of snowpack perchlorate or a combination of both. The possible impact of stratospheric chlorine is consistent with evidence of perchlorate production in the stratosphere. Additionally, perchlorate concentration appears to be directly affected by the springtime Antarctic ozone hole. Therefore, perchlorate variations in Antarctic snow are likely linked to stratospheric chemistry and ozone over the Antarctic.</t>
  </si>
  <si>
    <t>[Jiang, Su; Shi, Guitao] Polar Res Inst China, State Ocean Adm, Key Lab Polar Sci, Shanghai, Peoples R China; [Cox, Thomas S.; Cole-Dai, Jihong; Peterson, Kari M.] South Dakota State Univ, Dept Chem &amp; Biochem, Brookings, SD 57007 USA</t>
  </si>
  <si>
    <t>Polar Research Institute of China; South Dakota State University</t>
  </si>
  <si>
    <t>Cox, TS (corresponding author), South Dakota State Univ, Dept Chem &amp; Biochem, Brookings, SD 57007 USA.</t>
  </si>
  <si>
    <t>thomas.cox@sdstate.edu</t>
  </si>
  <si>
    <t>Cole-Dai, Jihong/B-2510-2009</t>
  </si>
  <si>
    <t>Cole-Dai, Jihong/0000-0003-0921-5916; Jiang, Su/0000-0001-6712-7979</t>
  </si>
  <si>
    <t>U.S. National Science Foundation [1203533, 0922816]; External Cooperation Project of Chinese Arctic and Antarctic Administration [IC201503]; Direct For Mathematical &amp; Physical Scien; Division Of Chemistry [0922816] Funding Source: National Science Foundation; Directorate For Geosciences; Office of Polar Programs (OPP) [1203533] Funding Source: National Science Foundation; Directorate For Geosciences; Office of Polar Programs (OPP) [1443663] Funding Source: National Science Foundation</t>
  </si>
  <si>
    <t>U.S. National Science Foundation(National Science Foundation (NSF)); External Cooperation Project of Chinese Arctic and Antarctic Administration; Direct For Mathematical &amp; Physical Scien; Division Of Chemistry(National Science Foundation (NSF)NSF - Directorate for Mathematical &amp; Physical Sciences (MPS)); Directorate For Geosciences; Office of Polar Programs (OPP)(National Science Foundation (NSF)NSF - Directorate for Geosciences (GEO)); Directorate For Geosciences; Office of Polar Programs (OPP)(National Science Foundation (NSF)NSF - Directorate for Geosciences (GEO))</t>
  </si>
  <si>
    <t>Funding for this work was provided by U.S. National Science Foundation (award 1203533; Major Research Instrumentation award 0922816 for the acquisition of AB SCIEX QTRAP 5500 tandem mass spectrometer). Sampling and chemical measurement of Dome A snowpit samples were supported by National Natural Science Foundation of China (41476169 and 40906098), Natural Science Foundation of Shanghai (14ZR1444000), and External Cooperation Project of Chinese Arctic and Antarctic Administration (IC201503). The data used are listed in the references, figures, and tables and can be found at http://openprairie.sdstate.edu/.</t>
  </si>
  <si>
    <t>10.1002/2016GL070203</t>
  </si>
  <si>
    <t>WOS:000385392900067</t>
  </si>
  <si>
    <t>Eggleston, EM; Hewson, I</t>
  </si>
  <si>
    <t>Eggleston, Erin M.; Hewson, Ian</t>
  </si>
  <si>
    <t>Abundance of Two Pelagibacter ubique Bacteriophage Genotypes along a Latitudinal Transect in the North and South Atlantic Oceans</t>
  </si>
  <si>
    <t>pelagiphage; phage; Pelagibacter ubique; Atlantic ocean; latitude</t>
  </si>
  <si>
    <t>SYBR GREEN-I; MARINE VIRUSES; COMMUNITY STRUCTURE; COASTAL WATERS; SAR11 VIRUSES; DYNAMICS; VIRIOPLANKTON; SEA; PHYTOPLANKTON; BIOGEOGRAPHY</t>
  </si>
  <si>
    <t>This study characterizes viral and bacterial dynamics along a latitudinal transect in the Atlantic Ocean from approximately 10 N-40 S. Overall viral abundance decreased with depth, on average there were 1.64 +/- 0.71 x 10(7) virus like particles (VLPs) in surface waters, decreasing to an average of 6.50 +/- 2.26 x 10(5) VLPs in Antarctic Bottom Water. This decrease was highly correlated to bacterial abundance. There are six major water masses in the Southern Tropical Atlantic Ocean, and inclusion of water mass, temperature and salinity variables explained a majority of the variation in total viral abundance. Recent discovery of phages infecting bacteria of the SAR11 Glade of Alphaproteobacteria (i.e., pelagiphages) leads to intriguing questions about the roles they play in shaping epipelagic communities. Viral-size fraction DNA from epipelagic water was used to quantify the abundance of two pelagiphages, using pelagiphage-specific quantitative PCR primers and probes along the transect. We found that HTVC010P, a member of a podoviridae sub-family, was most abundant in surface waters. Copy numbers ranged from an average of 1.03 +/- 2.38 x 10(5) copies ml(-1) in surface waters, to 5.79 +/- 2.86 x 10(3) in the deep chlorophyll maximum. HTVC008M, a T4-like myovirus, was present in the deep chlorophyll maximum (5.42 +/- 2.8 x 10(3) copies ml(-1) on average), although it was not as highly abundant as HTVC010P in surface waters (6.05 +/- 3.01 x 10(3) copies ml(-1) on average). Interestingly, HTVC008M was only present at a few of the most southern stations, suggesting latitudinal biogeography of SAR11 phages.</t>
  </si>
  <si>
    <t>[Eggleston, Erin M.; Hewson, Ian] Cornell Univ, Dept Microbiol, Ithaca, NY 14850 USA; [Eggleston, Erin M.] St Lawrence Univ, Biol Dept, Canton, NY 13617 USA</t>
  </si>
  <si>
    <t>Cornell University; Saint Lawrence University</t>
  </si>
  <si>
    <t>Eggleston, EM (corresponding author), Cornell Univ, Dept Microbiol, Ithaca, NY 14850 USA.;Eggleston, EM (corresponding author), St Lawrence Univ, Biol Dept, Canton, NY 13617 USA.</t>
  </si>
  <si>
    <t>eegaleston@stlawu.edu</t>
  </si>
  <si>
    <t>Eggleston, Erin/0000-0002-9598-3067</t>
  </si>
  <si>
    <t>NSF [OCE-0961894, OCE-1154320, OCE-1356964, OCE-1537111]</t>
  </si>
  <si>
    <t>The authors would like to thank the crew and lab groups onboard the R/V Knorr KN210-04 cruise. Brent Gudenkauf provided invaluable assistance with viral and bacterial abundance counts. Thanks also to Samuel Byrne and Sheila Saia for statistical assistance, and Evan Howard for oxygen calibration. Support for this research was provided by NSF OCE-0961894. Funding for the cruise was provided by NSF OCE-1154320 to E. Kujawinski and K. Longnecker (WHOI), NSF OCE-1356964 and NSF OCE-1537111 as support for publication costs.</t>
  </si>
  <si>
    <t>AVENUE DU TRIBUNAL FEDERAL 34, LAUSANNE, CH-1015, SWITZERLAND</t>
  </si>
  <si>
    <t>10.3389/fmicb.2016.01534</t>
  </si>
  <si>
    <t>DX2LT</t>
  </si>
  <si>
    <t>WOS:000384202100001</t>
  </si>
  <si>
    <t>Bednarz, EM; Maycock, AC; Abraham, NL; Braesicke, P; Dessens, O; Pyle, JA</t>
  </si>
  <si>
    <t>Bednarz, Ewa M.; Maycock, Amanda C.; Abraham, N. Luke; Braesicke, Peter; Dessens, Olivier; Pyle, John A.</t>
  </si>
  <si>
    <t>Future Arctic ozone recovery: the importance of chemistry and dynamics</t>
  </si>
  <si>
    <t>BREWER-DOBSON CIRCULATION; VERTICALLY EXTENDED VERSION; OFFICE UNIFIED MODEL; CHLORINE ACTIVATION; LOWER STRATOSPHERE; POLAR STRATOSPHERE; ANTARCTIC OZONE; CLIMATE-CHANGE; MIDDLE ATMOSPHERE; WINTER 1999/2000</t>
  </si>
  <si>
    <t>Future trends in Arctic springtime total column ozone, and its chemical and dynamical drivers, are assessed using a seven-member ensemble from the Met Office Unified Model with United Kingdom Chemistry and Aerosols (UM-UKCA) simulating the period 1960-2100. The Arctic mean March total column ozone increases throughout the 21st century at a rate of similar to 11.5 DU decade(-1), and is projected to return to the 1980 level in the late 2030s. However, the integrations show that even past 2060 springtime Arctic ozone can episodically drop by similar to 50-100 DU below the corresponding long-term ensemble mean for that period, reaching values characteristic of the near-present-day average level. Consistent with the global decline in inorganic chlorine (Cl-y) over the century, the estimated mean halogen-induced chemical ozone loss in the Arctic lower atmosphere in spring decreases by around a factor of 2 between the periods 2001-2020 and 2061-2080. However, in the presence of a cold and strong polar vortex, elevated halogen-induced ozone losses well above the corresponding long-term mean continue to occur in the simulations into the second part of the century. The ensemble shows a significant cooling trend in the Arctic winter mid-and upper stratosphere, but there is less confidence in the projected temperature trends in the lower stratosphere (100-50 hPa). This is partly due to an increase in downwelling over the Arctic polar cap in winter, which increases transport of ozone into the polar region as well as drives adiabatic warming that partly offsets the radiatively driven stratospheric cooling. However, individual win-ters characterised by significantly suppressed downwelling, reduced transport and anomalously low temperatures continue to occur in the future. We conclude that, despite the projected long-term recovery of Arctic ozone, the large interannual dynamical variability is expected to continue in the future, thereby facilitating episodic reductions in springtime ozone columns. Whilst our results suggest that the relative role of dynamical processes for determining Arctic springtime ozone will increase in the future, halogen chemistry will remain a smaller but non-negligible contributor for many decades to come.</t>
  </si>
  <si>
    <t>[Bednarz, Ewa M.; Maycock, Amanda C.; Abraham, N. Luke; Braesicke, Peter; Pyle, John A.] Univ Cambridge, Dept Chem, Cambridge, England; [Maycock, Amanda C.; Abraham, N. Luke; Braesicke, Peter; Pyle, John A.] Univ Cambridge, Natl Ctr Atmospher Sci Climate, Cambridge, England; [Dessens, Olivier] UCL, London, England; [Maycock, Amanda C.] Univ Leeds, Sch Earth &amp; Environm, Leeds, W Yorkshire, England; [Braesicke, Peter] Karlsruhe Inst Technol, Inst Meteorol &amp; Climate Res, Karlsruhe, Germany</t>
  </si>
  <si>
    <t>University of Cambridge; University of Cambridge; University of London; University College London; University of Leeds; Helmholtz Association; Karlsruhe Institute of Technology</t>
  </si>
  <si>
    <t>Bednarz, EM (corresponding author), Univ Cambridge, Dept Chem, Cambridge, England.</t>
  </si>
  <si>
    <t>emb66@cam.ac.uk</t>
  </si>
  <si>
    <t>Braesicke, Peter/D-8330-2016; Maycock, Amanda C/T-5380-2018</t>
  </si>
  <si>
    <t>Braesicke, Peter/0000-0003-1423-0619; Pyle, John/0000-0003-3629-9916; Abraham, Nathan Luke/0000-0003-3750-3544; Dessens, Olivier/0000-0002-7366-3791; Bednarz, Ewa Monika/0000-0002-7441-0497; Maycock, Amanda/0000-0002-6614-1127</t>
  </si>
  <si>
    <t>National Centre for Atmospheric Science, a NERC; ERC for the ACCI project [267760]; AXA postdoctoral fellowship; NERC [NE/M018199/1]; NERC [NE/M018199/1] Funding Source: UKRI; Natural Environment Research Council [NE/M018199/1, ncas10009] Funding Source: researchfish</t>
  </si>
  <si>
    <t>National Centre for Atmospheric Science, a NERC; ERC for the ACCI project(European Research Council (ERC)); AXA postdoctoral fellowship(AXA Research Fund); NERC(UK Research &amp; Innovation (UKRI)Natural Environment Research Council (NERC)); NERC(UK Research &amp; Innovation (UKRI)Natural Environment Research Council (NERC)); Natural Environment Research Council(UK Research &amp; Innovation (UKRI)Natural Environment Research Council (NERC))</t>
  </si>
  <si>
    <t>Amanda C. Maycock, John A. Pyle and N. Luke Abraham were supported by the National Centre for Atmospheric Science, a NERC-funded research centre. We acknowledge funding from the ERC for the ACCI project (grant number 267760), including a PhD studentship for Ewa M. Bednarz. Amanda C. Maycock acknowledges support from an AXA postdoctoral fellowship and NERC grant NE/M018199/1.</t>
  </si>
  <si>
    <t>10.5194/acp-16-12159-2016</t>
  </si>
  <si>
    <t>DY8JT</t>
  </si>
  <si>
    <t>WOS:000385376800004</t>
  </si>
  <si>
    <t>McClelland, HLO; Barbarin, N; Beaufort, L; Hermoso, M; Ferretti, P; Greaves, M; Rickaby, REM</t>
  </si>
  <si>
    <t>McClelland, H. L. O.; Barbarin, N.; Beaufort, L.; Hermoso, M.; Ferretti, P.; Greaves, M.; Rickaby, R. E. M.</t>
  </si>
  <si>
    <t>Calcification response of a key phytoplankton family to millennial-scale environmental change</t>
  </si>
  <si>
    <t>CARBONATE CHEMISTRY; OCEAN ACIDIFICATION; EMILIANIA-HUXLEYI; ORGANIC-CARBON; COCCOLITHOPHORE; VARIABILITY; SENSITIVITY; EVOLUTION; SEAWATER; CO2</t>
  </si>
  <si>
    <t>Coccolithophores are single-celled photosynthesizing marine algae, responsible for half of the calcification in the surface ocean, and exert a strong influence on the distribution of carbon among global reservoirs, and thus Earth's climate. Calcification in the surface ocean decreases the buffering capacity of seawater for CO2, whilst photosynthetic carbon fixation has the opposite effect. Experiments in culture have suggested that coccolithophore calcification decreases under high CO2 concentrations ([CO2(aq)]) constituting a negative feedback. However, the extent to which these results are representative of natural populations, and of the response over more than a few hundred generations is unclear. Here we describe and apply a novel rationale for size-normalizing the mass of the calcite plates produced by the most abundant family of coccolithophores, the Noelaerhabdaceae. On average, ancient populations subjected to coupled gradual increases in [CO2(aq)] and temperature over a few million generations in a natural environment become relatively more highly calcified, implying a positive climatic feedback. We hypothesize that this is the result of selection manifest in natural populations over millennial timescales, so has necessarily eluded laboratory experiments.</t>
  </si>
  <si>
    <t>[McClelland, H. L. O.; Hermoso, M.; Rickaby, R. E. M.] Univ Oxford, Dept Earth Sci, South Parks Rd, Oxford OX1 3AN, England; [Barbarin, N.; Beaufort, L.] CEREGE CNRS IRD Aix Marseille Univ, Ave Louis Philibert,BP80, F-13545 Aix En Provence 04, France; [Ferretti, P.] Univ Ca Foscari Venezia, Consiglio Nazl Ric, Ist Dinam Proc Ambientali CNR IDPA, Via Torino 155, I-30172 Mestre Venice, Italy; [Ferretti, P.; Greaves, M.] Univ Cambridge, Dept Earth Sci, Godwin Lab Palaeoclimate Res, Downing St, Cambridge CB2 3EQ, England</t>
  </si>
  <si>
    <t>University of Oxford; Aix-Marseille Universite; Universita Ca Foscari Venezia; Consiglio Nazionale delle Ricerche (CNR); Istituto per la Dinamica dei Processi Ambientali (IDPA-CNR); University of Cambridge</t>
  </si>
  <si>
    <t>McClelland, HLO (corresponding author), Univ Oxford, Dept Earth Sci, South Parks Rd, Oxford OX1 3AN, England.;McClelland, HLO (corresponding author), Washington Univ, Dept Earth &amp; Planetary Sci, 1 Brookings Dr, St Louis, MO 63130 USA.</t>
  </si>
  <si>
    <t>harrym@wustl.edu</t>
  </si>
  <si>
    <t>Beaufort, Luc/AAH-5305-2021; Beaufort, Luc/ABG-2289-2021; Hermoso, Michael/A-1029-2009</t>
  </si>
  <si>
    <t>Beaufort, Luc/0000-0001-6055-9373; Hermoso, Michael/0000-0003-1427-1891; Rickaby, Rosalind/0000-0002-6095-8419; McClelland, Harry-luke/0000-0001-5281-6915; FERRETTI, Patrizia/0000-0002-4814-3655; BARBARIN, Nicolas, Andre/0000-0001-8641-0649; Greaves, Mervyn/0000-0001-8014-8627</t>
  </si>
  <si>
    <t>UKOARP [NE/I019522/1]; NERC [NE/H017119/1]; ERC [SP2-GA-2008-200915]; EU Seventh Framework program Past4Future; Agence Nationale de la Recherche [ANR-12-B06-0007]; Marie-Curie Reintegration grant [PERG-GA-2010-272134]; EU PNRA [2013/AZ2.06]; Italian National Antarctic Research Programme; NERC [NE/H017119/1] Funding Source: UKRI; Natural Environment Research Council [1095104, NE/H017119/1] Funding Source: researchfish</t>
  </si>
  <si>
    <t>UKOARP; NERC(UK Research &amp; Innovation (UKRI)Natural Environment Research Council (NERC)); ERC(European Research Council (ERC)); EU Seventh Framework program Past4Future; Agence Nationale de la Recherche(Agence Nationale de la Recherche (ANR)); Marie-Curie Reintegration grant(European Union (EU)); EU PNRA; Italian National Antarctic Research Programme; NERC(UK Research &amp; Innovation (UKRI)Natural Environment Research Council (NERC)); Natural Environment Research Council(UK Research &amp; Innovation (UKRI)Natural Environment Research Council (NERC))</t>
  </si>
  <si>
    <t>This study was conducted at the University of Oxford (UK) with laboratory work at CEREGE (France). HLOM was funded by PhD studentship NE/I019522/1 in association with UKOARP. REMR acknowledges NERC grant NE/H017119/1 and ERC grant SP2-GA-2008-200915. LB is grateful for financial support from EU Seventh Framework program Past4Future and from the Agence Nationale de la Recherche under project ANR-12-B06-0007 (CALHIS). PF was funded by Marie-Curie Reintegration grant (PERG-GA-2010-272134 - MILLEVARIABILI), funded by the EU PNRA 2013/AZ2.06 and GEOSMART, funded by the Italian National Antarctic Research Programme. We thank Marius Muller for advice on experimental design, Yves Gally for running the SYRACO software, William Hutchison for help with GMT, Jean-Charles Mazur for laboratory assistance, and to Ian Probert for providing strains. Useful comments on the manuscript were provided by El Mahdi Bendif and Jeremy S. Hoffman.</t>
  </si>
  <si>
    <t>10.1038/srep34263</t>
  </si>
  <si>
    <t>DX1IE</t>
  </si>
  <si>
    <t>WOS:000384119300001</t>
  </si>
  <si>
    <t>Lowther, AD; Goldsworthy, SD</t>
  </si>
  <si>
    <t>Lowther, Andrew D.; Goldsworthy, Simon D.</t>
  </si>
  <si>
    <t>When were the weaners weaned? Identifying the onset of Australian sea lion nutritional independence</t>
  </si>
  <si>
    <t>JOURNAL OF MAMMALOGY</t>
  </si>
  <si>
    <t>Australian sea lion; maternal investment; Neophoca cinerea; ontogeny; otariid; seals; stable isotopes; weaning</t>
  </si>
  <si>
    <t>ANTARCTIC FUR SEALS; SITE FIDELITY; ISOTOPE; GROWTH; SELECTION; ONTOGENY; BEHAVIOR; KIN</t>
  </si>
  <si>
    <t>Weaning in mammals is typically thought of as the transition from reliance on maternal milk to feeding independently. Current theory suggests a complex process involving mothers imparting enough resources to offspring as to ensure survival without compromising both prior and future reproductive efforts, and the demands of offspring whose primary concern is survival. Otariid seals are a suitable group to study this given the morphological and behavioral similarities across species of the primary care giver, adult females. At higher latitudes, the duration of maternal care is short and tightly linked to seasonal productivity of the marine environment, punctuated by a predictable migration of mothers away from breeding sites. In contrast, nonmigratory temperate latitude otariid species have a much wider range of lactation periods, with mothers prolonging maternal support in relation to seasonal unpredictability of food resource. Prolonging care into the subsequent reproductive effort will likely have profound effects on the survival of the younger offspring. The Australian sea lion Neophoca cinerea has broken the phylogenetic constraint of a 12-month breeding cycle, which may reflect an alternate strategy to reduce the fitness costs of prolonged support by providing up to 18 months nutritional support to offspring. We use stable isotope analysis of temporally matched whisker sections combined with telemetry data on nutritionally dependent Australian sea lion pups to determine the weaning process and characterize the transition to nutritional independence. Using changes in isotopic nitrogen (delta N-15) over time, pups undergo a gradual transition to independent foraging during a 3- to 6-month period before the onset of the next reproductive effort. Telemetry data supported this conclusion, indicating benthic foraging of weaned pups in areas consistent with adult female foraging.</t>
  </si>
  <si>
    <t>[Lowther, Andrew D.] Norwegian Polar Res Inst, Hjamlar Johansensgata 14, N-9296 Tromso, Norway; [Goldsworthy, Simon D.] South Australian Res &amp; Dev Inst, 2 Hamra Ave, West Beach, SA 5024, Australia</t>
  </si>
  <si>
    <t>Norwegian Polar Institute; South Australian Research &amp; Development Institute (SARDI)</t>
  </si>
  <si>
    <t>Lowther, AD (corresponding author), Norwegian Polar Res Inst, Hjamlar Johansensgata 14, N-9296 Tromso, Norway.</t>
  </si>
  <si>
    <t>andrew.lowther@npolar.no</t>
  </si>
  <si>
    <t>Lowther, Andrew/T-2511-2019</t>
  </si>
  <si>
    <t>Lowther, Andrew/0000-0003-4294-3157; Goldsworthy, Simon/0000-0003-4988-9085</t>
  </si>
  <si>
    <t>South Australian Department of Environment and Heritage Rangers</t>
  </si>
  <si>
    <t>We thank Blue Water Charters and M. Guidera for transportation to and from Olive Island. We would also acknowledge the support of the South Australian Department</t>
  </si>
  <si>
    <t>0022-2372</t>
  </si>
  <si>
    <t>1545-1542</t>
  </si>
  <si>
    <t>J MAMMAL</t>
  </si>
  <si>
    <t>J. Mammal.</t>
  </si>
  <si>
    <t>SEP 27</t>
  </si>
  <si>
    <t>10.1093/jmammal/gyw106</t>
  </si>
  <si>
    <t>DZ1VC</t>
  </si>
  <si>
    <t>WOS:000385628300006</t>
  </si>
  <si>
    <t>White, IP; Lu, H; Mitchell, NJ</t>
  </si>
  <si>
    <t>White, Ian P.; Lu, Hua; Mitchell, Nicholas J.</t>
  </si>
  <si>
    <t>Seasonal evolution of the QBO-induced wave forcing and circulation anomalies in the northern winter stratosphere</t>
  </si>
  <si>
    <t>quasi-biennial oscillation; polar vortex; stratosphere; Rossby-wave propagation; Holton-Tan effect</t>
  </si>
  <si>
    <t>QUASI-BIENNIAL OSCILLATION; 11-YEAR SOLAR-CYCLE; ROSSBY-WAVE; POTENTIAL VORTICITY; PLANETARY-WAVES; EDDY FLUXES; GENERAL-CIRCULATION; SUBTROPICAL JET; SUDDEN WARMINGS; CRITICAL LAYER</t>
  </si>
  <si>
    <t>Diagnostics of wave-mean-flow and wave-wave interactions in isentropic coordinates are analyzed regarding the mechanisms that govern the Holton-Tan effect (HTE), whereby the tropical quasi-biennial oscillation (QBO) modulates the northern winter stratospheric polar vortex. We find a clear seasonal evolution of a QBO modulation of Rossby waves and linear and nonlinear wave interactions, along with multiple mechanisms at work. In early winter, when the lower stratospheric QBO is easterly, there is enhanced upward stationary planetary-wave activity in the subtropical to midlatitude lower stratosphere. These upward-propagating waves are first refracted toward the zero-wind line. Approximately 1month later, poleward-propagating wave anomalies appear at midlatitudes as a result of nonlinear wave interactions. The enhanced upward wave propagation appears to be due to a combination of the QBO influence on the latitudinal location of the zero-wind line and the increased midlatitude baroclinicity associated with the QBO-induced meridional circulation. This is further aided by a gradual poleward shift over the winter of the middle-stratospheric waveguide, refracting waves poleward. The associated wave breaking weakens the polar vortex and drives a stronger meridional circulation throughout the lower to middle stratosphere, contributing to the high-latitude warming. It is additionally found that in late winter, the modified high-latitude waveguide associated with the weaker polar vortex, consequently reduces upward-propagating transient planetary waves at high latitudes while simultaneously enhancing upward-propagating synoptic waves at midlatitudes. This highlights the need to view the HTE and its mechanisms as an evolving phenomenon throughout the winter.</t>
  </si>
  <si>
    <t>[White, Ian P.; Lu, Hua] British Antarctic Survey, Cambridge, England; [White, Ian P.; Mitchell, Nicholas J.] Univ Bath, Dept Elect &amp; Elect Engn, Bath, Avon, England</t>
  </si>
  <si>
    <t>UK Research &amp; Innovation (UKRI); Natural Environment Research Council (NERC); NERC British Antarctic Survey; University of Bath</t>
  </si>
  <si>
    <t>White, IP (corresponding author), British Antarctic Survey, Cambridge, England.;White, IP (corresponding author), Univ Bath, Dept Elect &amp; Elect Engn, Bath, Avon, England.</t>
  </si>
  <si>
    <t>iwhit@bas.ac.uk</t>
  </si>
  <si>
    <t>Lu, Hua/GXA-0276-2022</t>
  </si>
  <si>
    <t>Lu, Hua/0000-0001-9485-5082; White, Ian Philip/0000-0003-1634-1646</t>
  </si>
  <si>
    <t>Natural Environment Research Council (NERC); NERC [NE/K50094X/1]; NERC [NE/K015117/1, bas0100032] Funding Source: UKRI; Natural Environment Research Council [bas0100032, NE/K015117/1, 1246695] Funding Source: researchfish</t>
  </si>
  <si>
    <t>Natural Environment Research Council (NERC)(UK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</si>
  <si>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funded by the Natural Environment Research Council (NERC). I.W. is funded by NERC PhD studentship NE/K50094X/1. We acknowledge use of ECMWF ERA-Interim data sets (http://apps.ecmwf.int/datasets/data/interim-full-daily). We thank the constructive suggestions from Gang Chen regarding the cospectrum analysis. We also wish to thank the constructive comments from the reviewers which have greatly improved the clarity of the manuscript.</t>
  </si>
  <si>
    <t>10.1002/2015JD024507</t>
  </si>
  <si>
    <t>DZ4NS</t>
  </si>
  <si>
    <t>WOS:000385836000014</t>
  </si>
  <si>
    <t>Jeanniard-du-Dot, T; Trites, AW; Arnould, JPY; Speakman, JR; Guinet, C</t>
  </si>
  <si>
    <t>Jeanniard-du-Dot, Tiphaine; Trites, Andrew W.; Arnould, John P. Y.; Speakman, John R.; Guinet, Christophe</t>
  </si>
  <si>
    <t>Flipper strokes can predict energy expenditure and locomotion costs in free-ranging northern and Antarctic fur seals</t>
  </si>
  <si>
    <t>DOUBLY LABELED WATER; FIELD METABOLIC-RATES; HEART-RATE; ELEPHANT SEALS; OXYGEN-CONSUMPTION; DIVING BEHAVIOR; BODY CONDITION; GREEN TURTLE; ACCELERATION; LIONS</t>
  </si>
  <si>
    <t>Flipper strokes have been proposed as proxies to estimate the energy expended by marine vertebrates while foraging at sea, but this has never been validated on free-ranging otariids (fur seals and sea lions). Our goal was to investigate how well flipper strokes correlate with energy expenditure in 33 foraging northern and Antarctic fur seals equipped with accelerometers, GPS, and time-depth recorders. We concomitantly measured field metabolic rates with the doubly-labelled water method and derived activity-specific energy expenditures using fine-scale time-activity budgets for each seal. Flipper strokes were detected while diving or surface transiting using dynamic acceleration. Despite some inter-species differences in flipper stroke dynamics or frequencies, both species of fur seals spent 3.79 +/- 0.39 J/kg per stroke and had a cost of transport of similar to 1.6-1.9 J/kg/m while diving. Also, flipper stroke counts were good predictors of energy spent while diving (R-2 = 0.76) and to a lesser extent while transiting (R-2 = 0.63). However, flipper stroke count was a poor predictor overall of total energy spent during a full foraging trip (R-2 = 0.50). Amplitude of flipper strokes (i.e., acceleration amplitude x number of strokes) predicted total energy expenditure (R-2 = 0.63) better than flipper stroke counts, but was not as accurate as other acceleration-based proxies, i.e. Overall Dynamic Body Acceleration.</t>
  </si>
  <si>
    <t>[Jeanniard-du-Dot, Tiphaine; Trites, Andrew W.] Univ British Columbia, AERL, Inst Oceans &amp; Fisheries, Dept Zool, 2202 Main Mall, Vancouver, BC V6T 1Z4, Canada; [Jeanniard-du-Dot, Tiphaine; Trites, Andrew W.] Univ British Columbia, AERL, Inst Oceans &amp; Fisheries, Marine Mammal Res Unit, 2202 Main Mall, Vancouver, BC V6T 1Z4, Canada; [Jeanniard-du-Dot, Tiphaine; Guinet, Christophe] CNRS, Ctr Etud Biol Chize, F-79360 Villiers En Bois, France; [Arnould, John P. Y.] Deakin Univ, Sch Life &amp; Environm Sci, Burwood Campus, Geelong, Vic, Australia; [Speakman, John R.] Inst Biol &amp; Environm Sci, Zoology Bldg,Tillydrone Ave, Aberdeen AB24 2TZ, Scotland</t>
  </si>
  <si>
    <t>University of British Columbia; University of British Columbia; Centre National de la Recherche Scientifique (CNRS); Deakin University; University of Aberdeen</t>
  </si>
  <si>
    <t>Jeanniard-du-Dot, T (corresponding author), Univ British Columbia, AERL, Inst Oceans &amp; Fisheries, Dept Zool, 2202 Main Mall, Vancouver, BC V6T 1Z4, Canada.;Jeanniard-du-Dot, T (corresponding author), Univ British Columbia, AERL, Inst Oceans &amp; Fisheries, Marine Mammal Res Unit, 2202 Main Mall, Vancouver, BC V6T 1Z4, Canada.;Jeanniard-du-Dot, T (corresponding author), CNRS, Ctr Etud Biol Chize, F-79360 Villiers En Bois, France.</t>
  </si>
  <si>
    <t>tiphainejdd@gmail.com</t>
  </si>
  <si>
    <t>Guinet, Christophe/AAR-8457-2020; Trites, Andrew/K-5648-2012; Jeanniard, Tiphaine/ABF-8836-2020; John, Speakman R/A-9494-2008</t>
  </si>
  <si>
    <t>Jeanniard, Tiphaine/0000-0003-1985-8325; Trites, Andrew/0000-0003-0342-5322</t>
  </si>
  <si>
    <t>Institut Paul-Emile Victor; NPRB; NSERC</t>
  </si>
  <si>
    <t>Institut Paul-Emile Victor; NPRB; NSERC(Natural Sciences and Engineering Research Council of Canada (NSERC))</t>
  </si>
  <si>
    <t>We thank Alistair Baylis, Rachel Orben, Michelle Barbieri, Nory El Ksabi, Malcolm O'Toole and Jade Vacquie-Garcia for their help in collecting the data. We are also thankful to the Institut Paul-Emile Victor for their logistic and financial support to the Kerguelen field season, and to NPRB and NSERC for their contribution in funding this project.</t>
  </si>
  <si>
    <t>SEP 23</t>
  </si>
  <si>
    <t>10.1038/srep33912</t>
  </si>
  <si>
    <t>DX0OX</t>
  </si>
  <si>
    <t>WOS:000384064000001</t>
  </si>
  <si>
    <t>Achbergert, AM; Christner, BC; Michaud, AB; Priscu, JC; Skidmore, ML; Vick-Majors, TJ</t>
  </si>
  <si>
    <t>Achbergert, Amanda M.; Christner, Brent C.; Michaud, Alexander B.; Priscu, John C.; Skidmore, Mark L.; Vick-Majors, Trista J.</t>
  </si>
  <si>
    <t>Microbial Community Structure of Subglacial Lake Whillans, West Antarctica</t>
  </si>
  <si>
    <t>Antarctica; subglacial lake; subsurface microbiology; biogeochemical cycling; chemosynthetic ecosystem</t>
  </si>
  <si>
    <t>FACULTATIVELY ANAEROBIC BACTERIUM; WATER DRILL SYSTEM; ICE STREAM; SP-NOV.; GENOME SEQUENCE; RIBOSOMAL-RNA; BENEATH; DIVERSITY; WISSARD; VOSTOK</t>
  </si>
  <si>
    <t>Subglacial Lake Whillans (SLW) is located beneath 800 m of ice on the Whillans Ice Stream in West Antarctica and was sampled in January of 2013, providing the first opportunity to directly examine water and sediments from an Antarctic subglacial lake. To minimize the introduction of surface contaminants to SLW during its exploration, an access borehole was created using a microbiologically clean hot water drill designed to reduce the number and viability of microorganisms in the drilling water. Analysis of 16S rRNA genes (rDNA) amplified from samples of the drilling and borehole water allowed an evaluation of the efficacy of this approach and enabled a confident assessment of the SLW ecosystem inhabitants. Based on an analysis of 16S rDNA and rRNA (i.e., reverse-transcribed rRNA molecules) data, the SLW community was found to be bacterially dominated and compositionally distinct from the assemblages identified in the drill system. The abundance of bacteria (e.g., Candidatus Nitrotoga, Sideroxydans, Thiobacillus, and Albidiferax) and archaea (Candidatus Nitrosoarchaeum) related to chemolithoautotrophs was consistent with the oxidation of reduced iron, sulfur, and nitrogen compounds having important roles as pathways for primary production in this permanently dark ecosystem. Further, the prevalence of Methylobacter in surficial lake sediments combined with the detection of methanogenic taxa in the deepest sediment horizons analyzed (34-36 cm) supported the hypothesis that methane cycling occurs beneath the West Antarctic Ice Sheet. Large ratios of rRNA to rDNA were observed for several operational taxonomic units abundant in the water column and sediments (e.g., Albidiferax, Methylobacter, Candidatus Nitrotoga, Sideroxydans, and Smithella), suggesting a potentially active role for these taxa in the SLW ecosystem. Our findings are consistent with chemosynthetic microorganisms serving as the ecological foundation in this dark subsurface environment, providing new organic matter that sustains a microbial ecosystem beneath the West Antarctic Ice Sheet.</t>
  </si>
  <si>
    <t>[Achbergert, Amanda M.; Christner, Brent C.] Louisiana State Univ, Dept Biol Sci, Baton Rouge, LA 70803 USA; [Christner, Brent C.] Univ Florida, Dept Microbiol &amp; Cell Sci, Gainesville, FL 32611 USA; [Christner, Brent C.] Univ Florida, Biodivers Inst, Gainesville, FL 32611 USA; [Michaud, Alexander B.; Priscu, John C.; Vick-Majors, Trista J.] Montana State Univ, Dept Land Resources &amp; Environm Sci, Bozeman, MT 59717 USA; [Skidmore, Mark L.] Montana State Univ, Dept Earth Sci, Bozeman, MT 59717 USA; [Michaud, Alexander B.] Aarhus Univ, Ctr Geomicrobiol, Dept Biosci, Aarhus, Denmark</t>
  </si>
  <si>
    <t>Louisiana State University System; Louisiana State University; State University System of Florida; University of Florida; State University System of Florida; University of Florida; Montana State University System; Montana State University Bozeman; Montana State University System; Montana State University Bozeman; Aarhus University</t>
  </si>
  <si>
    <t>Christner, BC (corresponding author), Louisiana State Univ, Dept Biol Sci, Baton Rouge, LA 70803 USA.;Christner, BC (corresponding author), Univ Florida, Dept Microbiol &amp; Cell Sci, Gainesville, FL 32611 USA.;Christner, BC (corresponding author), Univ Florida, Biodivers Inst, Gainesville, FL 32611 USA.</t>
  </si>
  <si>
    <t>xner@ufl.edu</t>
  </si>
  <si>
    <t>Michaud, Alex/AAC-4890-2020; Skidmore, Mark L/I-4317-2018; Vick-Majors, Trista/AAQ-6258-2020</t>
  </si>
  <si>
    <t>Michaud, Alex/0000-0001-5714-8741; Vick-Majors, Trista/0000-0002-6868-4010</t>
  </si>
  <si>
    <t>National Science Foundation [0838933, 0838896, 0838941, 0839142, 0839059, 0838885, 0838855, 0838763, 0839107, 0838947, 0838854, 0838764, 1142123]; NSF [1023233, 1247192, 1115245]; American Association of University Women Dissertation Fellowship; NSF's IGERT Program [0654336]; NSF's Center for Dark Energy Biosphere Investigations; Directorate For Geosciences; Office of Polar Programs (OPP) [1439774, 1115245] Funding Source: National Science Foundation; Division Of Polar Programs; Directorate For Geosciences [0838854, 0838941] Funding Source: National Science Foundation; Division Of Polar Programs; Directorate For Geosciences [1023233] Funding Source: National Science Foundation</t>
  </si>
  <si>
    <t>National Science Foundation(National Science Foundation (NSF)); NSF(National Science Foundation (NSF)); American Association of University Women Dissertation Fellowship; NSF's IGERT Program; NSF's Center for Dark Energy Biosphere Investigations; Directorate For Geosciences; Office of Polar Programs (OPP)(National Science Foundation (NSF)NSF - Directorate for Geosciences (GEO)); Division Of Polar Programs; Directorate For Geosciences(National Science Foundation (NSF)NSF - Directorate for Geosciences (GEO)); Division Of Polar Programs; Directorate For Geosciences(National Science Foundation (NSF)NSF - Directorate for Geosciences (GEO))</t>
  </si>
  <si>
    <t>The Whillans Ice Stream Subglacial Access Research Drilling (WISSARD) project was funded by National Science Foundation grants (0838933, 0838896, 0838941, 0839142, 0839059, 0838885, 0838855, 0838763, 0839107, 0838947, 0838854, 0838764, and 1142123) from the Division of Polar Programs. Partial support was also provided by funds from NSF award 1023233 (BC), the NSF's Graduate Research Fellowship Program (1247192; AA), NSF award 1115245 (JP), the American Association of University Women Dissertation Fellowship (TV-M), NSF's IGERT Program (0654336; AM), and NSF's Center for Dark Energy Biosphere Investigations (AM). Logistics were provided by the 139th Expeditionary Air lift Squadron of the New York Air National Guard, Kenn Borek Air, and by many dedicated individuals working as part of the Antarctic Support Contractor, managed by Lockheed-Martin. The drilling was directed by F. Rack and D. Duling (chief driller). D. Blythe, J. Burnett, C. Carpenter, D. Gibson, J. Lemery, A. Melby, and G. Roberts provided drill support at SLW. Computational analysis was conducted using the Louisiana State University high performance computing clusters.</t>
  </si>
  <si>
    <t>SEP 22</t>
  </si>
  <si>
    <t>10.3389/fmicb.2016.01457</t>
  </si>
  <si>
    <t>DW4ZB</t>
  </si>
  <si>
    <t>WOS:000383650400001</t>
  </si>
  <si>
    <t>Park, AK; Kim, IS; Do, H; Jeon, BW; Lee, CW; Roh, SJ; Shin, SC; Park, H; Kim, YS; Kim, YH; Yoon, HS; Lee, JH; Kim, HW</t>
  </si>
  <si>
    <t>Park, Ae Kyung; Kim, Il-Sup; Do, Hackwon; Jeon, Byung Wook; Lee, Chang Woo; Roh, Soo Jung; Shin, Seung Chul; Park, Hyun; Kim, Young-Saeng; Kim, Yul-Ho; Yoon, Ho-Sung; Lee, Jun Hyuck; Kim, Han-Woo</t>
  </si>
  <si>
    <t>Structure and catalytic mechanism of monodehydroascorbate reductase, MDHAR, from Oryza sativa L. japonica</t>
  </si>
  <si>
    <t>NADH-DEPENDENT FERREDOXIN; CRYSTAL-STRUCTURE; PUTIDAREDOXIN REDUCTASE; ENHANCED TOLERANCE; OXIDATIVE STRESS; PURIFICATION; ACID; CHLOROPLASTS; ASCORBATE; COMPONENT</t>
  </si>
  <si>
    <t>Ascorbic acid (AsA) maintains redox homeostasis by scavenging reactive oxygen species from prokaryotes to eukaryotes, especially plants. The enzyme monodehydroascorbate reductase (MDHAR) regenerates AsA by catalysing the reduction of monodehydroascorbate, using NADH or NADPH as an electron donor. The detailed recycling mechanism of MDHAR remains unclear due to lack of structural information. Here, we present the crystal structures of MDHAR in the presence of cofactors, nicotinamide adenine dinucleotide (NAD+) and nicotinamide adenine dinucleotide phosphate (NADP+), and complexed with AsA as well as its analogue, isoascorbic acid (ISD). The overall structure of MDHAR is similar to other iron-sulphur protein reductases, except for a unique long loop of 63-80 residues, which seems to be essential in forming the active site pocket. From the structural analysis and structure-guided point mutations, we found that the Arg320 residue plays a major substrate binding role, and the Tyr349 residue mediates electron transfer from NAD(P) H to bound substrate via FAD. The enzymatic activity of MDHAR favours NADH as an electron donor over NADPH. Our results show, for the first time, structural insights into this preference. The MDHAR-ISD complex structure revealed an alternative binding conformation of ISD, compared with the MDHAR-AsA complex. This implies a broad substrate (antioxidant) specificity and resulting greater protective ability of MDHAR.</t>
  </si>
  <si>
    <t>[Park, Ae Kyung; Do, Hackwon; Jeon, Byung Wook; Lee, Chang Woo; Roh, Soo Jung; Shin, Seung Chul; Park, Hyun; Lee, Jun Hyuck; Kim, Han-Woo] Korea Polar Res Inst, Div Polar Life Sci, Inchon 21990, South Korea; [Kim, Il-Sup; Yoon, Ho-Sung] Kyungpook Natl Univ, Sch Life Sci, Plus KNU Creat BioRes Grp BK21, Daegu 41566, South Korea; [Lee, Chang Woo; Park, Hyun; Lee, Jun Hyuck; Kim, Han-Woo] Univ Sci &amp; Technol, Dept Polar Sci, Inchon 21990, South Korea; [Kim, Young-Saeng] Kyungpook Natl Univ, Res Inst Ulleung Do &amp; Dok Do, Daegu 41566, South Korea; [Kim, Yul-Ho] Rural Dev Adm, Natl Inst Crop Sci, Highland Agr Res Inst, Pyeongchang 25342, South Korea</t>
  </si>
  <si>
    <t>Korea Polar Research Institute (KOPRI); Kyungpook National University; Kyungpook National University; Rural Development Administration (RDA), Republic of Korea; National Institute of Crop Science</t>
  </si>
  <si>
    <t>Lee, JH; Kim, HW (corresponding author), Korea Polar Res Inst, Div Polar Life Sci, Inchon 21990, South Korea.;Yoon, HS (corresponding author), Kyungpook Natl Univ, Sch Life Sci, Plus KNU Creat BioRes Grp BK21, Daegu 41566, South Korea.;Lee, JH; Kim, HW (corresponding author), Univ Sci &amp; Technol, Dept Polar Sci, Inchon 21990, South Korea.</t>
  </si>
  <si>
    <t>hsy@knu.ac.kr; junhyucklee@kopri.re.kr; hwkim@kopri.re.kr</t>
  </si>
  <si>
    <t>, Hackwon/0000-0001-7663-2010; Park, Hyun/0000-0002-8055-2010</t>
  </si>
  <si>
    <t>Antarctic organisms: Cold-Adaptation Mechanisms and application grant - Korea Polar Research Institute [PE16070]; Next-Generation BioGreen 21 Program, Rural Development Administration, Korea [PJ011142012016]</t>
  </si>
  <si>
    <t>Antarctic organisms: Cold-Adaptation Mechanisms and application grant - Korea Polar Research Institute(Korea Polar Research Institute of Marine Research Placement (KOPRI)); Next-Generation BioGreen 21 Program, Rural Development Administration, Korea(Rural Development Administration (RDA), Republic of Korea)</t>
  </si>
  <si>
    <t>We would like to thank the staff at the BL-5C and BL-7A of the Pohang Accelerator Laboratory (Pohang, Korea) and the BL44XU at the SPring-8 (Hyogo, Japan) for their help with data collection. This work was supported by the Antarctic organisms: Cold-Adaptation Mechanisms and its application grant (PE16070) funded by the Korea Polar Research Institute and a grant from the Next-Generation BioGreen 21 Program (No. PJ011142012016), Rural Development Administration, Korea.</t>
  </si>
  <si>
    <t>10.1038/srep33903</t>
  </si>
  <si>
    <t>DW5OI</t>
  </si>
  <si>
    <t>WOS:000383695100001</t>
  </si>
  <si>
    <t>Sipilä, M; Sarnela, N; Jokinen, T; Henschel, H; Junninen, H; Kontkanen, J; Richters, S; Kangasluoma, J; Franchin, A; Peräkylä, O; Rissanen, MP; Ehn, M; Vehkamäki, H; Kurten, T; Berndt, T; Petäjä, T; Worsnop, D; Ceburnis, D; Kerminen, VM; Kulmala, M; O'Dowd, C</t>
  </si>
  <si>
    <t>Sipila, Mikko; Sarnela, Nina; Jokinen, Tuija; Henschel, Henning; Junninen, Heikki; Kontkanen, Jenni; Richters, Stefanie; Kangasluoma, Juha; Franchin, Alessandro; Perakyla, Otso; Rissanen, Matti P.; Ehn, Mikael; Vehkamaki, Hanna; Kurten, Theo; Berndt, Torsten; Petaja, Tuukka; Worsnop, Douglas; Ceburnis, Darius; Kerminen, Veli-Matti; Kulmala, Markku; O'Dowd, Colin</t>
  </si>
  <si>
    <t>Molecular-scale evidence of aerosol particle formation via sequential addition of HIO3</t>
  </si>
  <si>
    <t>NATURE</t>
  </si>
  <si>
    <t>MARINE BOUNDARY-LAYER; IODINE OXIDE; COASTAL ANTARCTICA; FORMATION EVENTS; SULFURIC-ACID; NUCLEATION; EMISSIONS; CHEMISTRY; MACROALGAE; PRECURSOR</t>
  </si>
  <si>
    <t>Homogeneous nucleation and subsequent cluster growth leads to the formation of new aerosol particles in the atmosphere(1). The nucleation of sulfuric acid and organic vapours is thought to be responsible for the formation of new particles over continents(1,2), whereas iodine oxide vapours have been implicated in particle formation over coastal regions(3-7). The molecular clustering pathways that are involved in atmospheric particle formation have been elucidated in controlled laboratory studies of chemically simple systems(2,8-10), but direct molecular-level observations of nucleation in atmospheric field conditions that involve sulfuric acid, organic or iodine oxide vapours have yet to be reported(11). Here we present field data from Mace Head, Ireland, and supporting data from northern Greenland and Queen Maud Land, Antarctica, that enable us to identify the molecular steps involved in new particle formation in an iodine-rich, coastal atmospheric environment. We find that the formation and initial growth process is almost exclusively driven by iodine oxoacids and iodine oxide vapours, with average oxygen-to-iodine ratios of 2.4 found in the clusters. On the basis of this high ratio, together with the high concentrations of iodic acid (HIO3) observed, we suggest that cluster formation primarily proceeds by sequential addition of HIO3, followed by intracluster restructuring to I2O5 and recycling of water either in the atmosphere or on dehydration. Our study provides ambient atmospheric molecular-level observations of nucleation, supporting the previously suggested role of iodine-containing species in the formation of new aerosol particles(3-7,12-18), and identifies the key nucleating compound.</t>
  </si>
  <si>
    <t>[Sipila, Mikko; Sarnela, Nina; Jokinen, Tuija; Henschel, Henning; Junninen, Heikki; Kontkanen, Jenni; Kangasluoma, Juha; Franchin, Alessandro; Perakyla, Otso; Rissanen, Matti P.; Ehn, Mikael; Vehkamaki, Hanna; Petaja, Tuukka; Worsnop, Douglas; Kerminen, Veli-Matti; Kulmala, Markku] Univ Helsinki, Dept Phys, Helsinki, Finland; [Richters, Stefanie; Berndt, Torsten] Leibniz Inst Tropospher Res TROPOS, Leipzig, Germany; [Kurten, Theo] Univ Helsinki, Dept Chem, Helsinki, Finland; [Worsnop, Douglas] Univ Eastern Finland, Dept Appl Phys, Kuopio, Finland; [Worsnop, Douglas] Aerodyne Res Inc, Billerica, MA 01821 USA; [Worsnop, Douglas] Finnish Meteorol Inst, Helsinki, Finland; [Ceburnis, Darius; O'Dowd, Colin] Natl Univ Ireland Galway, Sch Phys, Univ Rd, Galway, Ireland; [Ceburnis, Darius; O'Dowd, Colin] Natl Univ Ireland Galway, Ryan Inst, Ctr Climate &amp; Air Pollut Studies, Univ Rd, Galway, Ireland</t>
  </si>
  <si>
    <t>University of Helsinki; Leibniz Institut fur Tropospharenforschung (TROPOS); University of Helsinki; University of Eastern Finland; Aerodyne Research; Finnish Meteorological Institute; Ollscoil na Gaillimhe-University of Galway; Ollscoil na Gaillimhe-University of Galway</t>
  </si>
  <si>
    <t>Sipilä, M (corresponding author), Univ Helsinki, Dept Phys, Helsinki, Finland.</t>
  </si>
  <si>
    <t>mikko.sipila@helsinki.fi</t>
  </si>
  <si>
    <t>Sarnela, Nina/AAE-1372-2020; Ehn, Mikael/N-2571-2016; Kangasluoma, Juha/AAY-7941-2021; kangasluoma, juha/W-7450-2019; Franchin, Alessandro/GVR-8219-2022; Kontkanen, Jenni/AAL-1368-2020; Jokinen, Tuija/B-3365-2014; Franchin, Alessandro/AAH-3069-2019; O'Dowd, Colin D/K-8904-2012; Franchin, Alessandro/K-1765-2013; Worsnop, Douglas R/D-2817-2009; Kerminen, Veli-Matti/M-9026-2014; Henschel, Henning/A-5060-2012; Petäjä, Tuukka/A-8009-2008; Sipila, Mikko/G-3024-2010; Vehkamaki, Hanna/A-8262-2008; Kurten, Theo/G-2120-2012; Kulmala, Markku/I-7671-2016; Ceburnis, Darius/C-1293-2012; Junninen, Heikki/C-2157-2014</t>
  </si>
  <si>
    <t>Kontkanen, Jenni/0000-0002-5373-3537; Jokinen, Tuija/0000-0002-1280-1396; O'Dowd, Colin D/0000-0002-3068-2212; Henschel, Henning/0000-0001-7196-661X; Petäjä, Tuukka/0000-0002-1881-9044; Sarnela, Nina/0000-0003-1874-3235; Perakyla, Otso/0000-0002-2089-0106; Sipila, Mikko/0000-0002-8594-7003; Vehkamaki, Hanna/0000-0002-5018-1255; Rissanen, Matti/0000-0003-0463-8098; Kurten, Theo/0000-0002-6416-4931; Kangasluoma, Juha/0000-0002-1639-1187; Kulmala, Markku/0000-0003-3464-7825; Ceburnis, Darius/0000-0003-0231-5324; Junninen, Heikki/0000-0001-7178-9430</t>
  </si>
  <si>
    <t>Academy of Finland (Centre of Excellence) [1118615, 251427, 266388]; PEGASOS project - European Commission [FP7-ENV-2010-265148]; ACTRIS; EPA-Ireland; Nordic Centre of Excellence (CRAICC); Finnish Antarctic Research Program; European Research Council [227463, 257360, 638703]; Villum Fonden [00007236] Funding Source: researchfish; European Research Council (ERC) [257360] Funding Source: European Research Council (ERC)</t>
  </si>
  <si>
    <t>Academy of Finland (Centre of Excellence)(Research Council of Finland); PEGASOS project - European Commission; ACTRIS; EPA-Ireland(Environmental Protection Agency Ireland (EPA)); Nordic Centre of Excellence (CRAICC); Finnish Antarctic Research Program; European Research Council(European Research Council (ERC)); Villum Fonden(Villum Fonden); European Research Council (ERC)(European Research Council (ERC)Spanish Government)</t>
  </si>
  <si>
    <t>This work was partly funded by the Academy of Finland (Centre of Excellence Project 1118615 and Projects 251427 and 266388), the PEGASOS project (funded by the European Commission under the Framework Program 7 (FP7-ENV-2010-265148)), ACTRIS, the EPA-Ireland, the Nordic Centre of Excellence (CRAICC), the Finnish Antarctic Research Program and the European Research Council (ATMNUCLE grant 227463, MOCAPAF grant 257360 and COALA grant 638703).</t>
  </si>
  <si>
    <t>0028-0836</t>
  </si>
  <si>
    <t>1476-4687</t>
  </si>
  <si>
    <t>Nature</t>
  </si>
  <si>
    <t>10.1038/nature19314</t>
  </si>
  <si>
    <t>DW3MO</t>
  </si>
  <si>
    <t>WOS:000383545900052</t>
  </si>
  <si>
    <t>Trudinger, CM; Fraser, PJ; Etheridge, DM; Sturges, WT; Vollmer, MK; Rigby, M; Martinerie, P; Mühle, J; Worton, DR; Krummel, PB; Steele, LP; Miller, BR; Laube, J; Mani, FS; Rayner, PJ; Harth, CM; Witrant, E; Blunier, T; Schwander, J; O'Doherty, S; Battle, M</t>
  </si>
  <si>
    <t>Trudinger, Cathy M.; Fraser, Paul J.; Etheridge, David M.; Sturges, William T.; Vollmer, Martin K.; Rigby, Matt; Martinerie, Patricia; Muhle, Jens; Worton, David R.; Krummel, Paul B.; Steele, L. Paul; Miller, Benjamin R.; Laube, Johannes; Mani, Francis S.; Rayner, Peter J.; Harth, Christina M.; Witrant, Emmanuel; Blunier, Thomas; Schwander, Jakob; O'Doherty, Simon; Battle, Mark</t>
  </si>
  <si>
    <t>Atmospheric abundance and global emissions of perfluorocarbons CF4, C2F6 and C3F8 since 1800 inferred from ice core, firn, air archive and in situ measurements</t>
  </si>
  <si>
    <t>ANTARCTIC ICE; POLAR FIRN; ALUMINUM; TRENDS; HISTORIES; TETRAFLUOROMETHANE; HALOCARBONS; LIFETIMES; TRANSPORT; MODEL</t>
  </si>
  <si>
    <t>Perfluorocarbons (PFCs) are very potent and long-lived greenhouse gases in the atmosphere, released predominantly during aluminium production and semiconductor manufacture. They have been targeted for emission controls under the United Nations Framework Convention on Climate Change. Here we present the first continuous records of the atmospheric abundance of CF4 (PFC-14), C2F6 (PFC-116) and C3F8 (PFC-218) from 1800 to 2014. The records are derived from high-precision measurements of PFCs in air extracted from polar firn or ice at six sites (DE08, DE08-2, DSSW20K, EDML, NEEM and South Pole) and air archive tanks and atmospheric air sampled from both hemispheres. We take account of the age characteristics of the firn and ice core air samples and demonstrate excellent consistency between the ice core, firn and atmospheric measurements. We present an inversion for global emissions from 1900 to 2014. We also formulate the inversion to directly infer emission factors for PFC emissions due to aluminium production prior to the 1980s. We show that 19th century atmospheric levels, before significant anthropogenic influence, were stable at 34.1 +/- 0.3 ppt for CF4 and below detection limits of 0.002 and 0.01 ppt for C2F6 and C3F8, respectively. We find a significant peak in CF4 and C2F6 emissions around 1940, most likely due to the high demand for aluminium during World War II, for example for construction of aircraft, but these emissions were nevertheless much lower than in recent years. The PFC emission factors for aluminium production in the early 20th century were significantly higher than today but have decreased since then due to improvements and better control of the smelting process. Mitigation efforts have led to decreases in emissions from peaks in 1980 (CF4) or early-to-mid-2000s (C2F6 and C3F8) despite the continued increase in global aluminium production; however, these decreases in emissions appear to have recently halted. We see a temporary reduction of around 15% in CF4 emissions in 2009, presumably associated with the impact of the global financial crisis on aluminium and semiconductor production.</t>
  </si>
  <si>
    <t>[Trudinger, Cathy M.; Fraser, Paul J.; Etheridge, David M.; Krummel, Paul B.; Steele, L. Paul] CSIRO Oceans &amp; Atmosphere, Aspendale, Vic, Australia; [Sturges, William T.; Laube, Johannes] Univ East Anglia, Sch Environm Sci, Ctr Ocean &amp; Atmospher Sci, Norwich NR4 7TJ, Norfolk, England; [Vollmer, Martin K.] Empa, Swiss Fed Labs Mat Sci &amp; Technol, Lab Air Pollut &amp; Environm Technol, Dubendorf, Switzerland; [Rigby, Matt; O'Doherty, Simon] Univ Bristol, Sch Chem, Bristol, Avon, England; [Martinerie, Patricia] UJF Grenoble, CNRS 1, Lab Glaciol &amp; Geophys Environm, F-38041 Grenoble, France; [Muhle, Jens; Harth, Christina M.] Univ Calif San Diego, Scripps Inst Oceanog, La Jolla, CA 92093 USA; [Worton, David R.] Natl Phys Lab, Hampton Rd, Teddington TW11 0LW, Middx, England; [Miller, Benjamin R.] Univ Colorado, Cooperat Inst Res Environm Sci, Boulder, CO USA; [Mani, Francis S.] Univ South Pacific, Sch Biol &amp; Chem Sci, Suva, Fiji; [Rayner, Peter J.] Univ Melbourne, Sch Earth Sci, Melbourne, Vic 3010, Australia; [Witrant, Emmanuel] UJF Grenoble, CNRS 1, Grenoble Image Parole Signal Automat, Grenoble, France; [Blunier, Thomas] Univ Copenhagen, Niels Bohr Inst, Ctr Ice &amp; Climate, Copenhagen, Denmark; [Schwander, Jakob] Univ Bern, Inst Phys, Climate &amp; Environm Phys, Bern, Switzerland; [Schwander, Jakob] Univ Bern, Oeschger Ctr Climate Change Res, Bern, Switzerland; [Battle, Mark] Bowdoin Coll, Dept Phys &amp; Astron, Brunswick, ME 04011 USA</t>
  </si>
  <si>
    <t>Commonwealth Scientific &amp; Industrial Research Organisation (CSIRO); University of East Anglia; Swiss Federal Institutes of Technology Domain; Swiss Federal Laboratories for Materials Science &amp; Technology (EMPA); University of Bristol; Centre National de la Recherche Scientifique (CNRS); Communaute Universite Grenoble Alpes; Universite Grenoble Alpes (UGA); University of California System; University of California San Diego; Scripps Institution of Oceanography; National Physical Laboratory - UK; University of Colorado System; University of Colorado Boulder; University of the South Pacific; University of Melbourne; Melbourne Bioinformatics; Communaute Universite Grenoble Alpes; Universite Grenoble Alpes (UGA); Centre National de la Recherche Scientifique (CNRS); University of Copenhagen; Niels Bohr Institute; University of Bern; University of Bern; Bowdoin College</t>
  </si>
  <si>
    <t>Trudinger, CM (corresponding author), CSIRO Oceans &amp; Atmosphere, Aspendale, Vic, Australia.</t>
  </si>
  <si>
    <t>cathy.trudinger@csiro.au</t>
  </si>
  <si>
    <t>Laube, Johannes C/P-6772-2017; Muhle, Jens/GPX-3244-2022; Fraser, Paul J. B./D-1755-2012; Mani, Francis/AAP-5545-2020; Etheridge, David M/B-7334-2013; Krummel, Paul B/A-4293-2013; Steele, Paul/B-3185-2009; Martinerie, Patricia/N-5731-2017; Trudinger, Cathy/A-2532-2008; Blunier, Thomas/M-4609-2014; Rigby, Matthew/A-5555-2012; Worton, David/A-8374-2012</t>
  </si>
  <si>
    <t>Muhle, Jens/0000-0001-9776-3642; Krummel, Paul B/0000-0002-4884-3678; Martinerie, Patricia/0000-0002-6820-2296; Blunier, Thomas/0000-0002-6065-7747; Etheridge, David/0000-0001-7970-2002; Rigby, Matthew/0000-0002-2020-9253; Rayner, Peter/0000-0001-7707-6298; Trudinger, Cathy/0000-0002-4844-2153; Worton, David/0000-0002-6558-5586</t>
  </si>
  <si>
    <t>Department of the Environment; Bureau of Meteorology; CSIRO; Australian Antarctic Science Program; European Union (EPICA-MIS); CEC programme (CRYOSTAT) [EUK2-CT2001-00116]; Belgium (FNRS-CFB); Belgium (FWO); Canada (NRCan/GSC); China (CAS); Denmark (FIST); France (IPEV); France (CNRS/INSU); France (CEA); France (ANR); Germany (AWI); Iceland (RannIs); Japan (NIPR); Korea (KOPRI); Netherlands (NWO/ALW); Sweden (VR); Switzerland (SNF); United Kingdom (NERC); USA (US NSF); USA (Office of Polar Programs); CSIRO GASLAB; National Aeronautic and Space Administration (NASA) [NAG5-12669, NNX07AE89G, NNX07AF09G, NNX07AE87G]; Department of Energy and Climate Change (DECC, UK) [GA01081]; UK Natural Environment Research Council (NERC) [NE/I021365/1]; Marie Curie Fellowships in Antarctic Air-Sea-Ice Science award; NERC [NE/I021918/1]; NERC [NE/F021194/1, NE/L013088/1, NE/I021918/1, NE/I021365/1] Funding Source: UKRI; Natural Environment Research Council [NE/F021194/1, NE/I021365/1, 1092450, NE/I021918/1, NE/L013088/1] Funding Source: researchfish</t>
  </si>
  <si>
    <t>Department of the Environment; Bureau of Meteorology(Bureau of Meteorology - Australia); CSIRO(Commonwealth Scientific &amp; Industrial Research Organisation (CSIRO)); Australian Antarctic Science Program; European Union (EPICA-MIS)(European Union (EU)Marie Curie Actions); CEC programme (CRYOSTAT);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Netherlands (NWO/ALW)(Netherlands Organization for Scientific Research (NWO)Netherlands Government); Sweden (VR)(Swedish Research Council); Switzerland (SNF); United Kingdom (NERC)(UK Research &amp; Innovation (UKRI)Natural Environment Research Council (NERC)); USA (US NSF)(National Science Foundation (NSF)); USA (Office of Polar Programs); CSIRO GASLAB; National Aeronautic and Space Administration (NASA)(National Aeronautics &amp; Space Administration (NASA)); Department of Energy and Climate Change (DECC, UK); UK Natural Environment Research Council (NERC)(UK Research &amp; Innovation (UKRI)Natural Environment Research Council (NERC)); Marie Curie Fellowships in Antarctic Air-Sea-Ice Science award(Marie Curie ActionsEuropean Union (EU));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</si>
  <si>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has been undertaken as part of the Australian Climate Change Science Program, funded jointly by the Department of the Environment, the Bureau of Meteorology and CSIRO. We acknowledge support from the Australian Antarctic Science Program. This work is a contribution to the European Project for Ice Coring in Antarctica (EPICA), a joint European Science Foundation/European Commission scientific programme, funded by the European Union (EPICA-MIS) and by national contributions from Belgium, Denmark, France, Germany, Italy, the Netherlands, Norway, Sweden, Switzerland and the United Kingdom. This work was also funded by the CEC programme (EUK2-CT2001-00116, CRYOSTAT). NEEM is directed and organised by the Center of Ice and Climate at the Niels Bohr Institute and US NSF, Office of Polar Programs, and is supported by funding agencies and institutions in Belgium (FNRS-CFB and FWO), Canada (NRCan/GSC), China (CAS), Denmark (FIST), France (IPEV, CNRS/INSU, CEA and ANR), Germany (AWI), Iceland (RannIs), Japan (NIPR), Korea (KOPRI), the Netherlands (NWO/ALW), Sweden (VR), Switzerland (SNF), United Kingdom (NERC) and the USA (US NSF, Office of Polar Programs). We acknowledge the support of the CSIRO GASLAB team. The operation of the AGAGE instruments at Mace Head and Cape Grim is supported by the National Aeronautic and Space Administration (NASA) (grants NAG5-12669 and NNX07AE89G to MIT; grants NNX07AF09G and NNX07AE87G to SIO), the Department of Energy and Climate Change (DECC, UK) contract GA01081 to the University of Bristol, CSIRO and Bureau of Meteorology (Australia). William Sturges recognises the CSIRO Frohlich Fellowship for supporting a visit to CSIRO Aspendale. Martin Vollmer acknowledges a CSIRO Office of the Chief Executive Distinguished Visiting Scientist grant to CSIRO Aspendale for firn air measurements. Matthew Rigby is supported by an advanced research fellowship (NE/I021365/1) from the UK Natural Environment Research Council (NERC). Francis Mani was supported by a Marie Curie Fellowships in Antarctic Air-Sea-Ice Science award, David Worton by a NERC Studentship, and Johannes Laube by a NERC Fellowship (NE/I021918/1). We thank Cecelia MacFarling-Meure for ice extraction, Jean-Marc Barnola, Andrew Smith, Tasvan Ommen, Dominic Ferretti and Mark Curran for helping to collect the Law Dome firn and ice samples and Pep Canadell and Roger Francey for helpful comments on the manuscript.</t>
  </si>
  <si>
    <t>SEP 21</t>
  </si>
  <si>
    <t>10.5194/acp-16-11733-2016</t>
  </si>
  <si>
    <t>EL7EP</t>
  </si>
  <si>
    <t>WOS:000394784200001</t>
  </si>
  <si>
    <t>Parsons, NJ; Gous, TA; Schaefer, AM; Vanstreels, RET</t>
  </si>
  <si>
    <t>Parsons, Nola J.; Gous, Tertius A.; Schaefer, Adam M.; Vanstreels, Ralph E. T.</t>
  </si>
  <si>
    <t>Health evaluation of African penguins (Spheniscus demersus) in southern Africa</t>
  </si>
  <si>
    <t>ONDERSTEPOORT JOURNAL OF VETERINARY RESEARCH</t>
  </si>
  <si>
    <t>PELICANS PELECANUS-ONOCROTALUS; INFECTIOUS BURSAL DISEASE; SUB-ANTARCTIC PENGUINS; INFLUENZA-A VIRUSES; JACKASS PENGUIN; WESTERN CAPE; CARDIOCEPHALOIDES-PHYSALIS; MAGELLANIC PENGUINS; WILD BIRDS; SP-NOV</t>
  </si>
  <si>
    <t>[Parsons, Nola J.] Southern African Fdn Conservat Coastal Birds, Bloubergrant, South Africa; [Parsons, Nola J.] Bayworld Ctr Res &amp; Educ, Port Elizabeth, South Africa; [Schaefer, Adam M.] Florida Atlantic Univ, Oceanog Inst, Harbor Branch, Boca Raton, FL 33431 USA; [Vanstreels, Ralph E. T.] Univ Sao Paulo, Lab Wildlife Comparat Pathol, BR-05508 Sao Paulo, Brazil</t>
  </si>
  <si>
    <t>State University System of Florida; Florida Atlantic University; Harbor Branch Oceanographic Institute Foundation; Universidade de Sao Paulo</t>
  </si>
  <si>
    <t>Parsons, NJ (corresponding author), Southern African Fdn Conservat Coastal Birds, Bloubergrant, South Africa.;Parsons, NJ (corresponding author), Bayworld Ctr Res &amp; Educ, Port Elizabeth, South Africa.</t>
  </si>
  <si>
    <t>nolaparsons@yahoo.co.uk</t>
  </si>
  <si>
    <t>, Ralph ET Vanstreels/H-8029-2015</t>
  </si>
  <si>
    <t>Schaefer, Adam M/0000-0001-9604-3432</t>
  </si>
  <si>
    <t>International Fund for Animal Welfare; Hans Hoheisen Charitable Trust; National Lottery Distribution Trust Fund; Sea Research Foundation (Mystic Aquarium); Georgia Aquarium; Leiden Conservation Foundation; National Research Foundation; Coordenacao de Aperfeicoamento de Pessoal de Nivel Superior</t>
  </si>
  <si>
    <t>International Fund for Animal Welfare; Hans Hoheisen Charitable Trust; National Lottery Distribution Trust Fund; Sea Research Foundation (Mystic Aquarium); Georgia Aquarium; Leiden Conservation Foundation; National Research Foundation; Coordenacao de Aperfeicoamento de Pessoal de Nivel Superior(Coordenacao de Aperfeicoamento de Pessoal de Nivel Superior (CAPES))</t>
  </si>
  <si>
    <t>SANParks and CapeNature assisted tremendously in the transport to and from the island colonies as well as allowing access to their colonies. Sampling was assisted by SANParks and CapeNature staff as well as SANCCOB staff, volunteers and interns and Mystic Aquarium staff. South African Marine Rehabilitation and Education Centre generously allowed use of their premises for laboratory work in the Eastern Cape. SANCCOB is supported by a wide range of donors, including the International Fund for Animal Welfare, Hans Hoheisen Charitable Trust and the National Lottery Distribution Trust Fund. This research is supported by the Sea Research Foundation (Mystic Aquarium), the Georgia Aquarium and the Leiden Conservation Foundation. Additionally, N.J.P. is supported by a Professional Development Programme bursary granted by the National Research Foundation and R.E.T.V. is supported by Coordenacao de Aperfeicoamento de Pessoal de Nivel Superior.</t>
  </si>
  <si>
    <t>AOSIS</t>
  </si>
  <si>
    <t>CAPE TOWN</t>
  </si>
  <si>
    <t>POSTNET SUITE 55, PRIVATE BAG X22, TYGERVALLEY, CAPE TOWN, 00000, SOUTH AFRICA</t>
  </si>
  <si>
    <t>0030-2465</t>
  </si>
  <si>
    <t>2219-0635</t>
  </si>
  <si>
    <t>ONDERSTEPOORT J VET</t>
  </si>
  <si>
    <t>Onderstepoort J. Vet. Res.</t>
  </si>
  <si>
    <t>SEP 20</t>
  </si>
  <si>
    <t>a1147</t>
  </si>
  <si>
    <t>10.4102/ojvr.v83i1.1147</t>
  </si>
  <si>
    <t>DW5NO</t>
  </si>
  <si>
    <t>WOS:000383692800001</t>
  </si>
  <si>
    <t>Petrou, K; Kranz, SA; Trimborn, S; Hassler, CS; Ameijeiras, SB; Sackett, O; Ralph, PJ; Davidson, AT</t>
  </si>
  <si>
    <t>Petrou, Katherina; Kranz, Sven A.; Trimborn, Scarlett; Hassler, Christel S.; Ameijeiras, Sonia Blanco; Sackett, Olivia; Ralph, Peter J.; Davidson, Andrew T.</t>
  </si>
  <si>
    <t>Southern Ocean phytoplankton physiology in a changing climate</t>
  </si>
  <si>
    <t>JOURNAL OF PLANT PHYSIOLOGY</t>
  </si>
  <si>
    <t>Southern Ocean; Phytoplankton; Marine primary productivity; Climate change</t>
  </si>
  <si>
    <t>ANTARCTIC SEA-ICE; INORGANIC CARBON UPTAKE; FRAGILARIOPSIS-CYLINDRUS BACILLARIOPHYCEAE; WATER-COLUMN ASSEMBLAGES; PHAEOCYSTIS-ANTARCTICA; COMMUNITY STRUCTURE; IRON-LIMITATION; ROSS SEA; MARINE-PHYTOPLANKTON; GROWTH-RATES</t>
  </si>
  <si>
    <t>The Southern Ocean (SO) is a major sink for anthropogenic atmospheric carbon dioxide (CO2), potentially harbouring even greater potential for additional sequestration of CO2 through enhanced phytoplankton productivity. In the SO, primary productivity is primarily driven by bottom up processes (physical and chemical conditions) which are spatially and temporally heterogeneous. Due to a paucity of trace metals (such as iron) and high variability in light, much of the SO is characterised by an ecological paradox of high macronutrient concentrations yet uncharacteristically low chlorophyll concentrations. It is expected that with increased anthropogenic CO2 emissions and the coincident warming, the major physical and chemical process that govern the SO will alter, influencing the biological capacity and functioning of the ecosystem. This review focuses on the SO primary producers and the bottom up processes that underpin their health and productivity. It looks at the major physico-chemical drivers of change in the SO, and based on current physiological knowledge, explores how these changes will likely manifest in phytoplankton, specifically, what are the physiological changes and floristic shifts that are likely to ensue and how this may translate into changes in the carbon sink capacity, net primary productivity and functionality of the SO. (C) 2016 Elsevier GmbH. All rights reserved.</t>
  </si>
  <si>
    <t>[Petrou, Katherina] Univ Technol Sydney, Sch Life Sci, 15 Broadway, Ultimo, NSW 2007, Australia; [Kranz, Sven A.] Florida State Univ, Dept Earth Ocean &amp; Atmospher Sci, Tallahassee, FL 32306 USA; [Trimborn, Scarlett] Helmholtz Ctr Polar &amp; Marine Res, Alfred Wegener Inst, Handelshafen 12, D-27570 Bremerhaven, Germany; [Trimborn, Scarlett] Univ Bremen, Leobener Str NW2, D-28359 Bremen, Germany; [Hassler, Christel S.; Ameijeiras, Sonia Blanco] Univ Geneva, Inst FA Forel, Earth &amp; Environm Sci, Uni Vogt, 66 Bvd Carl Vogt, CH-1211 Geneva 4, Switzerland; [Sackett, Olivia] Monash Univ, Sch Biol Sci, Melbourne, Vic, Australia; [Ralph, Peter J.] Univ Technol Sydney, Plant Funct Biol &amp; Climate Change Cluster, 15 Broadway, Ultimo, NSW 2007, Australia; [Davidson, Andrew T.] Australian Antarctic Div, Dept Environm, 203 Channel Highway, Kingston, Tas 7050, Australia; [Davidson, Andrew T.] Univ Tasmania, ACECRC, Private Bag 80, Hobart, Tas 7001, Australia</t>
  </si>
  <si>
    <t>University of Technology Sydney; State University System of Florida; Florida State University; Helmholtz Association; Alfred Wegener Institute, Helmholtz Centre for Polar &amp; Marine Research; University of Bremen; University of Geneva; Monash University; Melbourne Genomics Health Alliance; University of Technology Sydney; Australian Antarctic Division; University of Tasmania</t>
  </si>
  <si>
    <t>Petrou, K (corresponding author), Univ Technol Sydney, Sch Life Sci, 15 Broadway, Ultimo, NSW 2007, Australia.</t>
  </si>
  <si>
    <t>Katherina.Petrou@uts.edu.au</t>
  </si>
  <si>
    <t>Trimborn, Scarlett/AAM-1061-2021; Kranz, Sven/ABG-9009-2020; Ralph, Peter/L-1527-2019</t>
  </si>
  <si>
    <t>Trimborn, Scarlett/0000-0003-1434-9927; Ralph, Peter/0000-0002-3103-7346; Hassler, Christel/0000-0002-8976-5469; Petrou, Katherina/0000-0002-2703-0694; Blanco-Ameijeiras, Sonia/0000-0003-2698-1735</t>
  </si>
  <si>
    <t>0176-1617</t>
  </si>
  <si>
    <t>1618-1328</t>
  </si>
  <si>
    <t>J PLANT PHYSIOL</t>
  </si>
  <si>
    <t>J. Plant Physiol.</t>
  </si>
  <si>
    <t>10.1016/j.jplph.2016.05.004</t>
  </si>
  <si>
    <t>DY3ZN</t>
  </si>
  <si>
    <t>Green Submitted, Green Published</t>
  </si>
  <si>
    <t>WOS:000385038100013</t>
  </si>
  <si>
    <t>Tang, S; Chen, B; McKay, CP; Navarro-Gonzálezv, R; Wang, AX</t>
  </si>
  <si>
    <t>Tang, Suning; Chen, Bin; McKay, Christopher P.; Navarro-Gonzalezv, Rafael; Wang, Alan X.</t>
  </si>
  <si>
    <t>Detection of trace organics in Martian soil analogs using fluorescence-free surface enhanced 1064-nm Raman Spectroscopy</t>
  </si>
  <si>
    <t>OPTICS EXPRESS</t>
  </si>
  <si>
    <t>MARS; MOLECULES; PHOENIX; SEARCH; TOOL</t>
  </si>
  <si>
    <t>A significant technology challenge in planetary missions is the in situ detection of organics at the sub-part-per-million (ppm) level in soils. This article reports the organic compound detection in Mars-like soils at the sub-ppm level using an ultra-sensitive spectral sensing technique based on fluorescence-free surface-enhanced Raman scattering (SERS), which has a significantly improved sensitivity and reduced fluorescence noise. Raman spectral detection of ppm level organics in Antarctic Dry Valley and Mojave Desert soils have been obtained for the first time, which otherwise are not detected by other Raman spectral techniques. (C) 2016 Optical Society of America</t>
  </si>
  <si>
    <t>[Tang, Suning] Crystal Res Inc, 2711 Hillcrest Ave,Suite 208, Antioch, CA 94531 USA; [Chen, Bin; McKay, Christopher P.] NASA, Ames Res Ctr, Moffett Field, CA 94035 USA; [Navarro-Gonzalezv, Rafael] Univ Nacl Autonoma Mexico, Inst Ciencias Nucl, Ciudad Univ, Mexico City 04510, DF, Mexico; [Wang, Alan X.] Oregon State Univ, Sch Elect Engn &amp; Comp Sci, Corvallis, OR 97331 USA</t>
  </si>
  <si>
    <t>National Aeronautics &amp; Space Administration (NASA); NASA Ames Research Center; Universidad Nacional Autonoma de Mexico; Oregon State University</t>
  </si>
  <si>
    <t>Tang, S (corresponding author), Crystal Res Inc, 2711 Hillcrest Ave,Suite 208, Antioch, CA 94531 USA.</t>
  </si>
  <si>
    <t>suningtang@eocrystal.com</t>
  </si>
  <si>
    <t>Navarro-González, Rafael/D-1748-2009</t>
  </si>
  <si>
    <t>Navarro-González, Rafael/0000-0002-6078-7621; McKay, Christopher/0000-0002-6243-1362</t>
  </si>
  <si>
    <t>NASA Ames Research Center [NNX14CA26P, NNX15CA12C]; Universidad Nacional Autonoma de Mexico [DGAPA-IN109416]; National Council of Science and Technology of Mexico [220626]</t>
  </si>
  <si>
    <t>NASA Ames Research Center(National Aeronautics &amp; Space Administration (NASA)); Universidad Nacional Autonoma de Mexico(Universidad Nacional Autonoma de Mexico); National Council of Science and Technology of Mexico(Consejo Nacional de Ciencia y Tecnologia (CONACyT))</t>
  </si>
  <si>
    <t>NASA Ames Research Center (NNX14CA26P, NNX15CA12C); Universidad Nacional Autonoma de Mexico (DGAPA-IN109416); National Council of Science and Technology of Mexico (220626).</t>
  </si>
  <si>
    <t>OPTICAL SOC AMER</t>
  </si>
  <si>
    <t>2010 MASSACHUSETTS AVE NW, WASHINGTON, DC 20036 USA</t>
  </si>
  <si>
    <t>1094-4087</t>
  </si>
  <si>
    <t>OPT EXPRESS</t>
  </si>
  <si>
    <t>Opt. Express</t>
  </si>
  <si>
    <t>SEP 19</t>
  </si>
  <si>
    <t>10.1364/OE.24.022104</t>
  </si>
  <si>
    <t>Optics</t>
  </si>
  <si>
    <t>EB7AO</t>
  </si>
  <si>
    <t>WOS:000387537600080</t>
  </si>
  <si>
    <t>Burton, MG; Zheng, J; Mould, J; Cooke, J; Ireland, M; Uddin, SA; Zhang, H; Yuan, XY; Lawrence, J; Ashley, MCB; Wu, XF; Curtin, C; Wang, LF</t>
  </si>
  <si>
    <t>Burton, Michael G.; Zheng, Jessica; Mould, Jeremy; Cooke, Jeff; Ireland, Michael; Uddin, Syed Ashraf; Zhang, Hui; Yuan, Xiangyan; Lawrence, Jon; Ashley, Michael C. B.; Wu, Xuefeng; Curtin, Chris; Wang, Lifan</t>
  </si>
  <si>
    <t>Scientific Goals of the Kunlun Infrared Sky Survey (KISS)</t>
  </si>
  <si>
    <t>PUBLICATIONS OF THE ASTRONOMICAL SOCIETY OF AUSTRALIA</t>
  </si>
  <si>
    <t>telescopes, surveys, infrared: general; stars: variable: general; stars: imaging; supernovae: general</t>
  </si>
  <si>
    <t>LARGE-MAGELLANIC-CLOUD; LOW-MASS STARS; SECONDARY ECLIPSE; DOME-C; PULSATION MODES; EARLY EVOLUTION; TRANSIT SEARCH; IA SUPERNOVAE; HOST GALAXY; AGB STARS</t>
  </si>
  <si>
    <t>The high Antarctic plateau provides exceptional conditions for infrared observations on account of the cold, dry and stable atmosphere above the ice surface. This paper describes the scientific goals behind the first program to examine the time-varying universe in the infrared from Antarctica - the Kunlun Infrared Sky Survey (KISS). This will employ a 50cm telescope to monitor the southern skies in the 2.4 mu mK(dark) window from China's Kunlun station at Dome A, on the summit of the Antarctic plateau, through the uninterrupted 4-month period of winter darkness. An earlier paper discussed optimisation of the K-dark filter for sensitivity (Li et al. 2016). This paper examines the scientific program for KISS. We calculate the sensitivity of the camera for the extrema of observing conditions that will be encountered. We present the parameters for sample surveys that could then be carried out for a range of cadences and sensitivities. We then discuss several science programs that could be conducted with these capabilities, involving star formation, brown dwarfs and hot Jupiters, exoplanets around M dwarfs, the terminal phases of stellar evolution, fast transients, embedded supernova searches, reverberation mapping of AGN, gamma ray bursts and the detection of the cosmic infrared background.</t>
  </si>
  <si>
    <t>[Burton, Michael G.; Ashley, Michael C. B.] Univ New South Wales, Sch Phys, Sydney, NSW 2052, Australia; [Burton, Michael G.] Armagh Observ &amp; Planetarium, Coll Hill, Armagh BT61 9DG, North Ireland; [Zheng, Jessica; Lawrence, Jon] Australian Astron Observ, 105 Delhi Rd, N Ryde, NSW 2113, Australia; [Mould, Jeremy; Cooke, Jeff; Curtin, Chris] Swinburne Univ Technol, Ctr Astrophys &amp; Supercomp, POB 218,Mail H29, Hawthorn, Vic 3122, Australia; [Mould, Jeremy; Cooke, Jeff] ARC Ctr Excellence All Sky Astrophys CAASTRO, Sydney, NSW 2006, Australia; [Ireland, Michael] Australian Natl Univ, Canberra, ACT 2611, Australia; [Uddin, Syed Ashraf; Wu, Xuefeng; Wang, Lifan] Chinese Acad Sci, Purple Mt Observ, 2 West Beijing Rd, Nanjing 210008, Jiangsu, Peoples R China; [Zhang, Hui] Nanjing Univ, Sch Astron &amp; Space Sci, Nanjing 210008, Jiangsu, Peoples R China; [Yuan, Xiangyan] Chinese Acad Sci, Nanjing Inst Astron Opt &amp; Technol, 188 Bancang St, Nanjing 210042, Jiangsu, Peoples R China; [Wang, Lifan] Texas A&amp;M Univ, College Stn, TX 77843 USA</t>
  </si>
  <si>
    <t>University of New South Wales Sydney; Swinburne University of Technology; Australian National University; Chinese Academy of Sciences; Nanjing Institute of Astronomical Optics &amp; Technology, NAOC, CAS; Purple Mountain Observatory, CAS; Nanjing University; Chinese Academy of Sciences; Nanjing Institute of Astronomical Optics &amp; Technology, NAOC, CAS; Texas A&amp;M University System; Texas A&amp;M University College Station</t>
  </si>
  <si>
    <t>Burton, MG (corresponding author), Univ New South Wales, Sch Phys, Sydney, NSW 2052, Australia.;Burton, MG (corresponding author), Armagh Observ &amp; Planetarium, Coll Hill, Armagh BT61 9DG, North Ireland.</t>
  </si>
  <si>
    <t>M.Burton@unsw.edu.au</t>
  </si>
  <si>
    <t>Zhang, Huiming/HZH-4348-2023; Zhang, Hui/HHN-8494-2022; Wu, Xuefeng/G-5316-2015; Zhang, Cheng/JAD-2236-2023; Uddin, Syed/C-1539-2018</t>
  </si>
  <si>
    <t>Mould, Jeremy/0000-0003-3820-1740; Uddin, Syed/0000-0002-9413-4186</t>
  </si>
  <si>
    <t>Australian Research Council [FT130101219, LE150100024]; Australian Research Council Centre of Excellence for All-sky Astrophysics (CAASTRO) [CE110001020]; Australian Research Council [LE150100024, FT130101219] Funding Source: Australian Research Council</t>
  </si>
  <si>
    <t>Australian Research Council(Australian Research Council); Australian Research Council Centre of Excellence for All-sky Astrophysics (CAASTRO)(Australian Research Council); Australian Research Council(Australian Research Council)</t>
  </si>
  <si>
    <t>We acknowledge the Australian Research Council for funding of the KISS camera under the Linkage Infrastructure Equipment Facility (LIEF) scheme, grant number LE150100024. Useful conversations were held with Maren Hempel and Phil Lucas which helped guide the survey planning. We are also grateful for the support of ACAMAR, the Australia-ChinA ConsortiuM for Astrophysical Research, which helped stimulate the work presented here by bringing the participants together.; JC acknowledges the Australian Research Council Future Fellowship FT130101219. Parts of this research were conducted by the Australian Research Council Centre of Excellence for All-sky Astrophysics (CAASTRO), through project number CE110001020.</t>
  </si>
  <si>
    <t>1323-3580</t>
  </si>
  <si>
    <t>1448-6083</t>
  </si>
  <si>
    <t>PUBL ASTRON SOC AUST</t>
  </si>
  <si>
    <t>Publ. Astron. Soc. Aust.</t>
  </si>
  <si>
    <t>e047</t>
  </si>
  <si>
    <t>10.1017/pasa.2016.38</t>
  </si>
  <si>
    <t>DX5QT</t>
  </si>
  <si>
    <t>WOS:000384437100001</t>
  </si>
  <si>
    <t>Meseguer, A; Motas, M; Jerez, S; Bernabé, A; Barbosa, A</t>
  </si>
  <si>
    <t>Meseguer, A.; Motas, M.; Jerez, S.; Bernabe, A.; Barbosa, A.</t>
  </si>
  <si>
    <t>Metals concentrations found in liver and kidney of Antarctic penguins, a potential toxic effect</t>
  </si>
  <si>
    <t>TOXICOLOGY LETTERS</t>
  </si>
  <si>
    <t>52nd Congress of the European-Societies-of-Toxicology (EUROTOX)</t>
  </si>
  <si>
    <t>SEP 04-07, 2016</t>
  </si>
  <si>
    <t>Seville, SPAIN</t>
  </si>
  <si>
    <t>[Meseguer, A.; Motas, M.; Jerez, S.] Univ Murcia, Toxicol, Murcia, Spain; [Barbosa, A.] Ctr Super Invest Cient, Museo Nacl Ciencias Nat, Madrid, Spain; [Bernabe, A.] Univ Murcia, Anat &amp; Anat Patol Comparada, Murcia, Spain</t>
  </si>
  <si>
    <t>University of Murcia; Consejo Superior de Investigaciones Cientificas (CSIC); CSIC - Museo Nacional de Ciencias Naturales (MNCN); University of Murcia</t>
  </si>
  <si>
    <t>Motas, Miguel/L-3061-2014; JEREZ, SILVIA/Q-8876-2016</t>
  </si>
  <si>
    <t>ELSEVIER IRELAND LTD</t>
  </si>
  <si>
    <t>CLARE</t>
  </si>
  <si>
    <t>ELSEVIER HOUSE, BROOKVALE PLAZA, EAST PARK SHANNON, CO, CLARE, 00000, IRELAND</t>
  </si>
  <si>
    <t>0378-4274</t>
  </si>
  <si>
    <t>1879-3169</t>
  </si>
  <si>
    <t>TOXICOL LETT</t>
  </si>
  <si>
    <t>Toxicol. Lett.</t>
  </si>
  <si>
    <t>SEP 16</t>
  </si>
  <si>
    <t>S</t>
  </si>
  <si>
    <t>P01-025</t>
  </si>
  <si>
    <t>S69</t>
  </si>
  <si>
    <t>S70</t>
  </si>
  <si>
    <t>10.1016/j.toxlet.2016.06.1335</t>
  </si>
  <si>
    <t>Toxicology</t>
  </si>
  <si>
    <t>EW3XN</t>
  </si>
  <si>
    <t>WOS:000402436700204</t>
  </si>
  <si>
    <t>Meseguer, A; Amores, J; Jerez, S; Barbosa, A; Motas, M</t>
  </si>
  <si>
    <t>Meseguer, A.; Amores, J.; Jerez, S.; Barbosa, A.; Motas, M.</t>
  </si>
  <si>
    <t>Metals found on Antarctic penguins, effect on homeostasis of hepatic cells determined by gene expression</t>
  </si>
  <si>
    <t>[Meseguer, A.; Jerez, S.; Motas, M.] Univ Murcia, Toxicol, Murcia, Spain; [Barbosa, A.] CSIC, Museo Nacl Ciencias Nat, Madrid, Spain; [Amores, J.] Univ Murcia, Sanidad Anim, Murcia, Spain</t>
  </si>
  <si>
    <t>JEREZ, SILVIA/Q-8876-2016; Barbosa, Andrés/C-3208-2008; Motas, Miguel/L-3061-2014</t>
  </si>
  <si>
    <t>Barbosa, Andrés/0000-0001-8434-3649;</t>
  </si>
  <si>
    <t>P16-023</t>
  </si>
  <si>
    <t>S242</t>
  </si>
  <si>
    <t>10.1016/j.toxlet.2016.06.1862</t>
  </si>
  <si>
    <t>WOS:000402436700726</t>
  </si>
  <si>
    <t>Wilhelm, K; Bockheim, J</t>
  </si>
  <si>
    <t>Wilhelm, Kelly; Bockheim, James</t>
  </si>
  <si>
    <t>Influence of soil properties on active layer thermal propagation along the western Antarctic Peninsula</t>
  </si>
  <si>
    <t>EARTH SURFACE PROCESSES AND LANDFORMS</t>
  </si>
  <si>
    <t>active layer; Antarctic Peninsula; thermal transmission; Antarctic soils; moss cover</t>
  </si>
  <si>
    <t>KUPARUK RIVER-BASIN; SURFACE TEMPERATURES; MARITIME ANTARCTICA; ALASKA; PERMAFROST; VEGETATION; THICKNESS; VARIABILITY; REGIME; ISLAND</t>
  </si>
  <si>
    <t>The rate of energy transfer through soils is an important factor governing the active layer (seasonal thaw layer) in polar regions. Energy is transferred through conductive and convective means, which are primarily influenced by the bulk density and water content of soils. With global temperatures changing, it becomes important to understand how soil properties influence heat transfer and active layer depths in climatically sensitive regions, such as the Antarctic Peninsula. In this study we analyzed conductive energy transfer through several soil types on Amsler Island and Cierva Point in the central region of the western Antarctic Peninsula. Active layer temperatures on Amsler Island were monitored every three hours using iButton thermistors installed at regular depth intervals down to 2 m. Soil textures were loamy to sandy with water contents between 5 and 27%. Freezing and thawing transmission rates for all soils ranged from 1.4 to 6.9 cm/day. Thermal transmission rates were fastest in sandy soils with low water contents, indicating that the large, interconnected pores of the sandy soils facilitated the quick movement of heat with water flow through the soil profile. Snow accumulation differences also played a significant role on winter thermal propagation by providing a thermal barrier between the ground surface and atmosphere. Although there was a wide range in thermal transmission among the soils, active layer depths had little variation (7.8-9.7 m). This consistency derives from the greater dependence of very thick active layers on long-term climatic conditions rather than on soil properties. The presence of thick moss significantly slowed thermal transmission and decreased active layer thicknesses. These effects primarily are due to the high heat capacity of water and air retained within the moss, slowing thermal transmission rates, acting as a thermal buffer between atmospheric conditions and the underlying soils. Copyright (C) 2016 John Wiley &amp; Sons, Ltd.</t>
  </si>
  <si>
    <t>[Wilhelm, Kelly; Bockheim, James] Univ Wisconsin, Dept Soil Sci, 1525 Observ Dr, Madison, WI 53706 USA</t>
  </si>
  <si>
    <t>University of Wisconsin System; University of Wisconsin Madison</t>
  </si>
  <si>
    <t>Wilhelm, K (corresponding author), Univ Wisconsin, Dept Soil Sci, 1525 Observ Dr, Madison, WI 53706 USA.</t>
  </si>
  <si>
    <t>krwilhelm@wisc.edu</t>
  </si>
  <si>
    <t>Wilhelm, Kelly/0000-0002-7117-4898</t>
  </si>
  <si>
    <t>National Science Foundation [OPP_0943799]; United States Antarctic Program; National Science Foundation</t>
  </si>
  <si>
    <t>National Science Foundation(National Science Foundation (NSF)); United States Antarctic Program; National Science Foundation(National Science Foundation (NSF))</t>
  </si>
  <si>
    <t>The authors wish to thank the National Science Foundation (OPP_0943799) and the United States Antarctic Program for their support throughout this project, in particular John Evans, Cara Ferrier and Alexandra Isern, without whom this study would not have been possible. Thanks also to Adam Beilke, Neal Scheibe, Glenn Grant, Nicholas Haus and Graham Tilhury for helping in the field and maintaining equipment during the winter months. The authors would like to thank Melanie Stock for her comments, which helped improve the manuscript. Finally, the authors would like to thank the crew of the Laurence M. Gould and the staff at Palmer Station for always being available to help with this project, without them this project would have been impossible. Funding for this project was provided by the National Science Foundation.</t>
  </si>
  <si>
    <t>0197-9337</t>
  </si>
  <si>
    <t>1096-9837</t>
  </si>
  <si>
    <t>EARTH SURF PROC LAND</t>
  </si>
  <si>
    <t>Earth Surf. Process. Landf.</t>
  </si>
  <si>
    <t>SEP 15</t>
  </si>
  <si>
    <t>10.1002/esp.3926</t>
  </si>
  <si>
    <t>DW4LZ</t>
  </si>
  <si>
    <t>WOS:000383615900007</t>
  </si>
  <si>
    <t>Buizert, C; Severinghaus, JP</t>
  </si>
  <si>
    <t>Buizert, Christo; Severinghaus, Jeffrey P.</t>
  </si>
  <si>
    <t>Dispersion in deep polar firn driven by synoptic-scale surface pressure variability</t>
  </si>
  <si>
    <t>ABRUPT CLIMATE-CHANGE; ICE CORE; POROUS-MEDIA; ANTARCTIC ICE; ISOTOPIC FRACTIONATION; ATMOSPHERIC HISTORIES; GAS CONCENTRATIONS; AGE-DIFFERENCES; AIR CONVECTION; GREENLAND</t>
  </si>
  <si>
    <t>Commonly, three mechanisms of firn air transport are distinguished: molecular diffusion, advection, and near-surface convective mixing. Here we identify and describe a fourth mechanism, namely dispersion driven by synoptic-scale surface pressure variability (or barometric pumping). We use published gas chromatography experiments on firn samples to derive the along-flow dispersivity of firn, and combine this dispersivity with a dynamical air pressure propagation model forced by surface air pressure time series to estimate the magnitude of dispersive mixing in the firn. We show that dispersion dominates mixing within the firn lock-in zone. Trace gas concentrations measured in firn air samples from various polar sites confirm that dispersive mixing occurs. Including dispersive mixing in a firn air transport model suggests that our theoretical estimates have the correct order of magnitude, yet may overestimate the true dispersion. We further show that strong barometric pumping, such as at the Law Dome site, may reduce the gravitational enrichment of delta N-15-N-2 and other tracers below gravitational equilibrium, questioning the traditional definition of the lock-in depth as the depth where delta N-15 enrichment ceases. Last, we propose that Kr-86 excess may act as a proxy for past synoptic activity (or paleo-storminess) at the site.</t>
  </si>
  <si>
    <t>[Buizert, Christo] Oregon State Univ, Coll Earth Ocean &amp; Atmospher Sci, Corvallis, OR 97331 USA; [Severinghaus, Jeffrey P.] Univ Calif San Diego, Scripps Inst Oceanog, La Jolla, CA 92093 USA</t>
  </si>
  <si>
    <t>Oregon State University; University of California System; University of California San Diego; Scripps Institution of Oceanography</t>
  </si>
  <si>
    <t>Buizert, C (corresponding author), Oregon State Univ, Coll Earth Ocean &amp; Atmospher Sci, Corvallis, OR 97331 USA.</t>
  </si>
  <si>
    <t>buizertc@science.oregonstate.edu</t>
  </si>
  <si>
    <t>Severinghaus, Jeffrey/0000-0001-8883-3119</t>
  </si>
  <si>
    <t>US National Science Foundation under NSF grant [ANT-0944343, ANT-1543267, ANT-1543229]; University of Wisconsin-Madison Automatic Weather Station program, NSF [ANT-1245663]</t>
  </si>
  <si>
    <t>US National Science Foundation under NSF grant; University of Wisconsin-Madison Automatic Weather Station program, NSF</t>
  </si>
  <si>
    <t>The authors wants to thank Roy Haggerty for fruitful discussions, the European Centre for Medium-Range Weather Forecasts (ECMWF) for making ERA-Interim reanalysis datasets publicly available, and the US National Science Foundation for financial support under NSF grant numbers ANT-0944343, ANT-1543267, and ANT-1543229. The authors appreciate the support of the University of Wisconsin-Madison Automatic Weather Station program (in particular Matthew Lazzara and Linda Keller) for the dataset, data display, and information, NSF grant number ANT-1245663. The authors hereby propose as a golden rule of ice core science: any time you have a new idea, Jakob Schwander already had that same idea several decades earlier.</t>
  </si>
  <si>
    <t>10.5194/tc-10-2099-20160</t>
  </si>
  <si>
    <t>DX3JO</t>
  </si>
  <si>
    <t>WOS:000384269600001</t>
  </si>
  <si>
    <t>Simpkins, GR; Peings, Y; Magnusdottir, G</t>
  </si>
  <si>
    <t>Simpkins, Graham R.; Peings, Yannick; Magnusdottir, Gudrun</t>
  </si>
  <si>
    <t>Pacific Influences on Tropical Atlantic Teleconnections to the Southern Hemisphere High Latitudes</t>
  </si>
  <si>
    <t>AIR-SEA INTERACTION; CLIMATE VARIABILITY; EL-NINO; EXTRATROPICAL CIRCULATION; OSCILLATION; ANTARCTICA; ANOMALIES; LINKAGES; IMPACTS; TRENDS</t>
  </si>
  <si>
    <t>Several recent studies have connected Antarctic climate variability to tropical Atlantic sea surface temperatures (SST), proposing a Rossby wave response from the Atlantic as the primary dynamical mechanism. In this investigation, reanalysis data and atmospheric general circulation model experiments are used to further diagnose these dynamical links. Focus is placed on the possible mediating role of Pacific processes, motivated by the similar spatial characteristics of Southern Hemisphere (SH) teleconnections associated with tropical Atlantic and Pacific SST variability. During austral winter (JJA), both reanalyses and model simulations reveal that Atlantic teleconnections represent a two-mechanism process, whereby increased tropical Atlantic SST promotes two conditions: 1) an intensification of the local Atlantic Hadley circulation (HC), driven by enhanced interaction between SST anomalies and the ITCZ, that increases convergence at the descending branch, establishing anomalous vorticity forcing from which a Rossby wave emanates, expressed as a pattern of alternating positive and negative geopotential height anomalies across the SH extratropics (the so-called HC-driven components); and 2) perturbations to the zonal Walker circulation (WC), driven primarily by an SST-induced amplification, that creates a pattern of anomalous upper-level convergence across the central/western Pacific, from which an ENSO-like Rossby wave train can be triggered (the so-called WC driven components). While the former are found to dominate, the WC-driven components play a subsidiary yet important role. Indeed, it is the superposition of these two separate but interrelated mechanisms that gives the overall observed response. By demonstrating an additional Pacific-related component to Atlantic teleconnections, this study highlights the need to consider Atlantic Pacific interactions when diagnosing tropical related climate variability in the SH extratropics.</t>
  </si>
  <si>
    <t>[Simpkins, Graham R.; Peings, Yannick; Magnusdottir, Gudrun] Univ Calif Irvine, Dept Earth Syst Sci, 3200 Croul Hall, Irvine, CA 92697 USA</t>
  </si>
  <si>
    <t>University of California System; University of California Irvine</t>
  </si>
  <si>
    <t>Simpkins, GR (corresponding author), Univ Calif Irvine, Dept Earth Syst Sci, 3200 Croul Hall, Irvine, CA 92697 USA.</t>
  </si>
  <si>
    <t>g.simpkins@uci.edu</t>
  </si>
  <si>
    <t>NSF [AGS-1206120, AGS-1407360]; Directorate For Geosciences [1206120] Funding Source: National Science Foundation; Div Atmospheric &amp; Geospace Sciences [1206120] Funding Source: National Science Foundation</t>
  </si>
  <si>
    <t>NSF(National Science Foundation (NSF)); Directorate For Geosciences(National Science Foundation (NSF)NSF - Directorate for Geosciences (GEO)); Div Atmospheric &amp; Geospace Sciences(National Science Foundation (NSF)NSF - Directorate for Geosciences (GEO))</t>
  </si>
  <si>
    <t>The authors thank three anonymous reviews for their helpful comments, as well as Laura Ciasto and Ashley Payne for useful discussions of results. This work was supported by NSF Grants AGS-1206120 and AGS-1407360. High performance computing was performed at NCAR's CISL.</t>
  </si>
  <si>
    <t>10.1175/JCLI-D-15-0645.1</t>
  </si>
  <si>
    <t>DW7JZ</t>
  </si>
  <si>
    <t>WOS:000383828300002</t>
  </si>
  <si>
    <t>Tamsitt, V; Talley, LD; Mazloff, MR; Cerovecki, I</t>
  </si>
  <si>
    <t>Tamsitt, Veronica; Talley, Lynne D.; Mazloff, Matthew R.; Cerovecki, Ivana</t>
  </si>
  <si>
    <t>Zonal Variations in the Southern Ocean Heat Budget</t>
  </si>
  <si>
    <t>ANTARCTIC CIRCUMPOLAR CURRENT; ANNULAR MODE; SEA; CIRCULATION; VARIABILITY; WATER; FLUX; TRANSPORT; REGION; FLOW</t>
  </si>
  <si>
    <t>The spatial structure of the upper ocean heat budget in the Antarctic Circumpolar Current (ACC) is investigated using the lie, data-assimilating Southern Ocean State Estimate (SOSE) for 2005-10. The ACC circumpolar integrated budget shows that 0.27 PW of ocean heat gain from the atmosphere and 0.38 PW heat gain from divergence of geostrophic heat transport are balanced by -0.58 PW cooling by divergence of Ekman heat transport and -0.09 PW divergence of vertical heat transport. However, this circumpolar integrated balance obscures important zonal variations in the heat budget. The air sea heat flux shows a zonally asymmetric pattern of ocean heat gain in the Indian and Atlantic sectors and ocean heat loss in the Pacific sector of the ACC. In the Atlantic and Indian sectors of the ACC, the surface ocean heat gain is primarily balanced by divergence of equatorward Ekman heat transport that cools the upper ocean. In the Pacific sector, surface ocean heat loss and cooling due to divergence of Ekman heat transport are balanced by warming due to divergence of geostrophic heat advection, which is similar to the dominant heat balance in the subtropical Agulhas Return Current. The divergence of horizontal and vertical eddy advection of heat is important for warming the upper ocean close to major topographic features, while the divergence of mean vertical heat advection is a weak cooling term. The results herein show that topographic steering and zonal asymmetry in air sea exchange lead to substantial zonal asymmetries in the heat budget, which is important for understanding the upper cell of the overturning circulation.</t>
  </si>
  <si>
    <t>[Tamsitt, Veronica; Talley, Lynne D.; Mazloff, Matthew R.; Cerovecki, Ivana] Scripps Inst Oceanog, La Jolla, CA USA</t>
  </si>
  <si>
    <t>University of California System; University of California San Diego; Scripps Institution of Oceanography</t>
  </si>
  <si>
    <t>Tamsitt, V (corresponding author), Univ Calif San Diego, Climate Atmospher Sci &amp; Phys Oceanog, Scripps Inst Oceanog, 9500 Gilman Dr, La Jolla, CA 92093 USA.</t>
  </si>
  <si>
    <t>vtamsitt@ucsd.edu</t>
  </si>
  <si>
    <t>Tamsitt, Veronica/U-1838-2019; Mazloff, Matthew/AAG-6463-2019; Tamsitt, Veronica/M-4271-2019</t>
  </si>
  <si>
    <t>Mazloff, Matthew/0000-0002-1650-5850; Talley, Lynne/0000-0003-1574-729X; Tamsitt, Veronica/0000-0001-8816-2239</t>
  </si>
  <si>
    <t>NSF [OCE1357072, PLR1425989]; NSF XSEDE [OCE130007]; Office of Polar Programs (OPP); Directorate For Geosciences [1425989] Funding Source: National Science Foundation</t>
  </si>
  <si>
    <t>NSF(National Science Foundation (NSF)); NSF XSEDE(National Science Foundation (NSF)); Office of Polar Programs (OPP); Directorate For Geosciences(National Science Foundation (NSF)NSF - Directorate for Geosciences (GEO))</t>
  </si>
  <si>
    <t>V. Tamsitt, L. D. Talley, and I. Cerovecki were supported by NSF Grant OCE1357072. M. R. Mazloff acknowledges support from NSF Grant PLR1425989. Computational resources for the Southern Ocean State Estimate were provided by NSF XSEDE resource Grant OCE130007. The SOSE iteration 100 solution is freely available for download (http:/sose.ucsd.edu). We thank two anonymous reviewers for comments that improved the quality of this manuscript.</t>
  </si>
  <si>
    <t>10.1175/JCLI-D-15-0630.1</t>
  </si>
  <si>
    <t>WOS:000383828300009</t>
  </si>
  <si>
    <t>Bouvier, A; Boyet, M</t>
  </si>
  <si>
    <t>Bouvier, A.; Boyet, M.</t>
  </si>
  <si>
    <t>Primitive Solar System materials and Earth share a common initial 142Nd abundance</t>
  </si>
  <si>
    <t>SM-146 HALF-LIFE; ISOTOPIC HETEROGENEITY; CHONDRITIC COMPOSITION; TERRESTRIAL PLANETS; ALLENDE METEORITE; BULK COMPOSITION; NEODYMIUM; SAMARIUM; NEBULA; MOON</t>
  </si>
  <si>
    <t>The early evolution of planetesimals and planets can be constrained using variations in the abundance of neodymium-142 (Nd-142), which arise from the initial distribution of Nd-142 within the protoplanetary disk and the radioactive decay of the short-lived samarium-146 isotope (Sm-146)(1,2). The apparent offset in Nd-142 abundance found previously between chondritic meteorites and Earth(1,2) has been interpreted either as a possible consequence of nucleosynthetic variations within the protoplanetary disk(2-4) or as a function of the differentiation of Earth very early in its history(5). Here we report high-precision Sm and Nd stable and radiogenic isotopic compositions of four calcium-aluminium-rich refractory inclusions (CAIs) from three CV-type carbonaceous chondrites, and of three whole-rock samples of unequilibrated enstatite chondrites. The CAIs, which are the first solids formed by condensation from the nebular gas, provide the best constraints for the isotopic evolution of the early Solar System. Using the mineral isochron method for individual CAIs, we find that CAIs without isotopic anomalies in Nd compared to the terrestrial composition share a Sm-146/Sm-144-Nd-142/Nd-144 isotopic evolution with Earth. The average Nd-142/Nd-144 composition for pristine enstatite chondrites that we calculate coincides with that of the accessible silicate layers of Earth. This relationship between CAIs, enstatite chondrites and Earth can only be a result of Earth having inherited the same initial abundance of Nd-142 and chondritic proportions of Sm and Nd. Consequently, Nd-142 isotopic heterogeneities found in other CAIs and among chondrite groups may arise from extrasolar grains that were present in the disk and incorporated in different proportions into these planetary objects. Our finding supports a chondritic Sm/Nd ratio for the bulk silicate Earth and, as a consequence, chondritic abundances for other refractory elements. It also removes the need for a hidden reservoir or for collisional erosion scenarios(5,6) to explain the Nd-142/Nd-144 composition of Earth.</t>
  </si>
  <si>
    <t>[Bouvier, A.] Univ Western Ontario, Dept Earth Sci, Ctr Planetary Sci &amp; Explorat, London, ON N6A 3K7, Canada; [Boyet, M.] Univ Clermont Ferrand, Clermont Univ, Lab Magmas &amp; Volcans, UMR CNRS 6524, Campus Univ Cezeaux,6 Ave Blaise Pascal, F-63178 Aubiere, France</t>
  </si>
  <si>
    <t>Western University (University of Western Ontario)</t>
  </si>
  <si>
    <t>Bouvier, A (corresponding author), Univ Western Ontario, Dept Earth Sci, Ctr Planetary Sci &amp; Explorat, London, ON N6A 3K7, Canada.</t>
  </si>
  <si>
    <t>audrey.bouvier@uwo.ca</t>
  </si>
  <si>
    <t>Bouvier, Audrey/A-3035-2011</t>
  </si>
  <si>
    <t>Bouvier, Audrey/0000-0002-8303-3419</t>
  </si>
  <si>
    <t>NSF; NASA; National Science Foundation [NSF/EAR 1119135]; France-Canada Research Fund; NSERC Canada; French Government [ANR-10-LABX-0006]; Region Auvergne; European Regional Development Fund; INSU Programme National de Planetologie</t>
  </si>
  <si>
    <t>NSF(National Science Foundation (NSF)); NASA(National Aeronautics &amp; Space Administration (NASA)); National Science Foundation(National Science Foundation (NSF)); France-Canada Research Fund; NSERC Canada(Natural Sciences and Engineering Research Council of Canada (NSERC)); French Government; Region Auvergne(Region Auvergne-Rhone-Alpes); European Regional Development Fund(European Union (EU)); INSU Programme National de Planetologie</t>
  </si>
  <si>
    <t>Meteorite samples were provided by L. Garvie (Arizona State University), D. Ebel (American Museum of Natural History) and the US Antarctic Search for Meteorites (ANSMET) programme, which has been funded by NSF and NASA, and were characterized and curated by the Department of Mineral Sciences of the Smithsonian Institution and Astromaterials Curation Office at NASA Johnson Space Center. We thank P. J. Patchett for the Sm-Nd calibrated enriched spike used in this study, D. Auclair and A. Gannoun for mass spectrometer support, and T. Withers for comments on this Letter. This research was supported by the National Science Foundation NSF/EAR 1119135, France-Canada Research Fund, NSERC Canada Research Chair and Discovery Grant awards to A.B. and the French Government ANR-10-LABX-0006, the Region Auvergne, the European Regional Development Fund and the INSU Programme National de Planetologie to M.B. We thank the Laboratory of Excellence ClerVolc.</t>
  </si>
  <si>
    <t>+</t>
  </si>
  <si>
    <t>10.1038/nature19351</t>
  </si>
  <si>
    <t>DV7EC</t>
  </si>
  <si>
    <t>WOS:000383098000053</t>
  </si>
  <si>
    <t>Bromley, GRM; Schaefer, JM; Hall, BL; Rademaker, KM; Putnam, AE; Todd, CE; Hegland, M; Winckler, G; Jackson, MS; Strand, PD</t>
  </si>
  <si>
    <t>Bromley, Gordon R. M.; Schaefer, Joerg M.; Hall, Brenda L.; Rademaker, Kurt M.; Putnam, Aaron E.; Todd, Claire E.; Hegland, Matthew; Winckler, Gisela; Jackson, Margaret S.; Strand, Peter D.</t>
  </si>
  <si>
    <t>A cosmogenic 10Be chronology for the local last glacial maximum and termination in the Cordillera Oriental, southern Peruvian Andes: Implications for the tropical role in global climate</t>
  </si>
  <si>
    <t>Tropical climate; Glaciers; Last glacial maximum; Termination; Heinrich Stadial 1; West Pacific warm pool; Cosmogenic Be-10; Moraine chronology</t>
  </si>
  <si>
    <t>PRODUCTION-RATE CALIBRATION; LATE PLEISTOCENE GLACIATION; SURFACE EXPOSURE AGES; EUROPEAN ICE-SHEET; PACIFIC WARM POOL; RADIOCARBON CHRONOLOGY; TEMPERATURE-VARIATIONS; ANTARCTIC TEMPERATURE; PRODUCTION-RATES; YOUNGER DRYAS</t>
  </si>
  <si>
    <t>Resolving patterns of tropical climate variability during and since the last glacial maximum (LGM) is fundamental to assessing the role of the tropics in global change, both on ice-age and sub-millennial timescales. Here, we present a Be-10 moraine chronology from the Cordillera Carabaya (14.3 degrees S), a sub range of the Cordillera Oriental in southern Peru, covering the LGM and the first half of the last glacial termination. Additionally, we recalculate existing 10Be ages using a new tropical high-altitude production rate in order to put our record into broader spatial context. Our results indicate that glaciers deposited a series of moraines during marine isotope stage 2, broadly synchronous with global glacier maxima, but that maximum glacier extent may have occurred prior to stage 2. Thereafter, atmospheric warming drove widespread deglaciation of the Cordillera Carabaya. A subsequent glacier resurgence culminated at -16,100 yrs, followed by a second period of glacier recession. Together, the observed deglaciation corresponds to Heinrich Stadial 1 (HS1: similar to 18,000-14,600 yrs), during which pluvial lakes on the adjacent Peruvian-Bolivian altiplano rose to their highest levels of the late Pleistocene as a consequence of southward displacement of the inter-tropical convergence zone and intensification of the South American summer monsoon. Deglaciation in the Cordillera Carabaya also coincided with the retreat of higher latitude mountain glaciers in the Southern Hemisphere. Our findings suggest that HS1 was characterised by atmospheric warming and indicate that deglaciation of the southern Peruvian Andes was driven by rising temperatures, despite increased precipitation. Recalculated 10Be data from other tropical Andean sites support this model. Finally, we suggest that the broadly uniform response during the LGM and termination of the glaciers examined here involved equatorial Pacific sea-surface temperature anomalies and propose a framework for testing the viability of this conceptual model. (C) 2016 Elsevier Ltd. All rights reserved.</t>
  </si>
  <si>
    <t>[Bromley, Gordon R. M.; Hall, Brenda L.; Rademaker, Kurt M.; Putnam, Aaron E.; Strand, Peter D.] Univ Maine, Edward T Bryand Global Sci Ctr, Sch Earth &amp; Climate Sci, Orono, ME 04469 USA; [Bromley, Gordon R. M.; Hall, Brenda L.; Rademaker, Kurt M.; Putnam, Aaron E.; Strand, Peter D.] Univ Maine, Edward T Bryand Global Sci Ctr, Climate Change Inst, Orono, ME 04469 USA; [Schaefer, Joerg M.; Winckler, Gisela] Lamont Doherty Earth Observ, Geochem, 61 Route 9W, Palisades, NY USA; [Todd, Claire E.; Hegland, Matthew] Pacific Lutheran Univ, Dept Geol Sci, Tacoma, WA 98447 USA; [Jackson, Margaret S.] Dartmouth Coll, Dept Earth Sci, Hanover, NH 03755 USA</t>
  </si>
  <si>
    <t>University of Maine System; University of Maine Orono; University of Maine System; University of Maine Orono; Columbia University; Pacific Lutheran University; Dartmouth College</t>
  </si>
  <si>
    <t>Bromley, GRM (corresponding author), Univ Maine, Edward T Bryand Global Sci Ctr, Sch Earth &amp; Climate Sci, Orono, ME 04469 USA.;Bromley, GRM (corresponding author), Univ Maine, Edward T Bryand Global Sci Ctr, Climate Change Inst, Orono, ME 04469 USA.</t>
  </si>
  <si>
    <t>gordon.r.bromley1@maine.edu</t>
  </si>
  <si>
    <t>Rademaker, Kurt/AAH-1075-2021</t>
  </si>
  <si>
    <t>Rademaker, Kurt/0000-0001-5676-4884; Jackson, Margaret/0000-0001-7613-752X; Putnam, Aaron/0000-0002-5358-1473</t>
  </si>
  <si>
    <t>Gary C. Comer Science and Education Foundation (CSEF); NSF [EAR 10-03427]; Lamont Postdoctoral Fellowship</t>
  </si>
  <si>
    <t>Gary C. Comer Science and Education Foundation (CSEF); NSF(National Science Foundation (NSF)); Lamont Postdoctoral Fellowship</t>
  </si>
  <si>
    <t>We are indebted to Sr. Demetrio Leqque Cruz of Crucero, Peru, without whom this work would not have been possible. We also thank Srs. Aurelio Mamani Munoz (Minas Tira) and Isais Aquiro Soncco (Aricoma) for field access, Ben Gross and Matthew Schmitz for invaluable field assistance, and Alexis Saenz Nunez de la Torre, of Peru 4x4, Arequipa, for logistical support. Also, we thank two anonymous reviewers and Pierre-Henri Blard for providing careful and constructive reviews of an earlier version of the paper. Samples were prepared for beryllium measurement by Roseanne Schwartz and Jean Hanley, LDEO. This work was funded by the Gary C. Comer Science and Education Foundation (CSEF) and by NSF Grant EAR 10-03427. G. Bromley was also supported by a Lamont Postdoctoral Fellowship.</t>
  </si>
  <si>
    <t>10.1016/j.quascirev.2016.07.010</t>
  </si>
  <si>
    <t>DW0EG</t>
  </si>
  <si>
    <t>WOS:000383313100005</t>
  </si>
  <si>
    <t>Blagoveshchensky, DV; Maltseva, OA; Anishin, MM; Sergeeva, MA; Rogov, DD</t>
  </si>
  <si>
    <t>Blagoveshchensky, D. V.; Maltseva, O. A.; Anishin, M. M.; Sergeeva, M. A.; Rogov, D. D.</t>
  </si>
  <si>
    <t>Impact of the magnetic superstorm on March 17-19, 2015 on subpolar HF radio paths: Experiment and modeling</t>
  </si>
  <si>
    <t>ADVANCES IN SPACE RESEARCH</t>
  </si>
  <si>
    <t>Ionosphere; Intense magnetic storm; Oblique sounding; IRI; TEC; Absorption</t>
  </si>
  <si>
    <t>PROPAGATION; LATITUDES; STORM</t>
  </si>
  <si>
    <t>The ionospheric phenomena which significantly influenced radio propagation during March 17-19, 2015 are considered in the study. The data of oblique ionospheric sounding (OIS) were analyzed at six radio paths. These paths are located in the zone of North Siberia in Russia and have different lengths: from 1000 to 5000 km. The results are the following. The magnetic storm drastically changed the character of radio propagation at all the considered paths: in most cases the reflections from the ionospheric F2-layer were changed by the reflections only from the sporadic Es-layer. The parameters of movement of the disturbance front were estimated on the basis of OIS data of the paths. The average velocity of the front movements from east to west was about V= 440 m/s. Even the moderate growth of riometer absorption within the region of radio paths' locations, resulted in loss of multihop modes in the signal reflections from sporadic layers. It also resulted in a sharp decrease of signal strength at the paths. Real distance frequency characteristics (DFC) of the paths were compared to DFC calculated on the basis of International Reference Ionosphere (IRI) model. It was revealed that on a quiet day of March, 15th, the real and the calculated DFC are similar or coincide in the majority of cases. During the disturbed days of March, 17-19, most commonly observed are the significant differences between the calculated and the experimental data. The most pronounced difference is revealed while estimating the character of OIS signals' reflections from Es-layers. (C) 2016 COSPAR. Published by Elsevier Ltd. All rights reserved.</t>
  </si>
  <si>
    <t>[Blagoveshchensky, D. V.; Sergeeva, M. A.] St Petersburg State Univ Aerosp Instrumentat, 67 Bolshaya Morskaya St, St Petersburg 190000, Russia; [Maltseva, O. A.] Southern Fed Univ, Inst Phys, Stachki 194, Rostov Na Donu 344090, Russia; [Anishin, M. M.] Southern Fed Univ, Dept Phys, Sorge 5, Rostov Na Donu 344090, Russia; [Sergeeva, M. A.] Univ Nacl Autonoma Mexico, Unidad Michoacan, Inst Geofis, SCiESMEX, Morelia 58190, Michoacan, Mexico; [Rogov, D. D.] Arctic &amp; Antarctic Res Inst, 38 Bering St, St Petersburg 199397, Russia</t>
  </si>
  <si>
    <t>Saint Petersburg State University of Aerospace Instrumentation; Southern Federal University; Southern Federal University; Universidad Nacional Autonoma de Mexico; Arctic &amp; Antarctic Research Institute</t>
  </si>
  <si>
    <t>Sergeeva, MA (corresponding author), St Petersburg State Univ Aerosp Instrumentat, 67 Bolshaya Morskaya St, St Petersburg 190000, Russia.</t>
  </si>
  <si>
    <t>maria.a.sergeeva@gmail.com</t>
  </si>
  <si>
    <t>Rogov, Denis/AAH-2763-2020</t>
  </si>
  <si>
    <t>Russian Foundation for Basic Research [15-05-00856]; Southern Federal University [213.01-11/2014-22]; CONACYT-AEM Grant [2014-01-247722]</t>
  </si>
  <si>
    <t>Russian Foundation for Basic Research(Russian Foundation for Basic Research (RFBR)Spanish Government); Southern Federal University; CONACYT-AEM Grant</t>
  </si>
  <si>
    <t>This work was supported by grant No. 15-05-00856 from Russian Foundation for Basic Research (D.V. Blagoveshchensky and M.A. Sergeeva) and by grant No. 213.01-11/2014-22 from Southern Federal University (O.A. Maltseva).; M.A. Sergeeva acknowledges the postdoctoral fellowship by CONACYT-AEM Grant 2014-01-247722.</t>
  </si>
  <si>
    <t>0273-1177</t>
  </si>
  <si>
    <t>1879-1948</t>
  </si>
  <si>
    <t>ADV SPACE RES</t>
  </si>
  <si>
    <t>Adv. Space Res.</t>
  </si>
  <si>
    <t>10.1016/j.asr.2016.05.027</t>
  </si>
  <si>
    <t>Engineering, Aerospace; Astronomy &amp; Astrophysics; Geosciences, Multidisciplinary; Meteorology &amp; Atmospheric Sciences</t>
  </si>
  <si>
    <t>Engineering; Astronomy &amp; Astrophysics; Geology; Meteorology &amp; Atmospheric Sciences</t>
  </si>
  <si>
    <t>DT9QR</t>
  </si>
  <si>
    <t>WOS:000381837900002</t>
  </si>
  <si>
    <t>Expanding Antarctic sea ice linked to natural variability</t>
  </si>
  <si>
    <t>DU6QO</t>
  </si>
  <si>
    <t>WOS:000382339900006</t>
  </si>
  <si>
    <t>Finger, A; Lavers, JL; Orbell, JD; Dann, P; Nugegoda, D; Scarpaci, C</t>
  </si>
  <si>
    <t>Finger, Annett; Lavers, Jennifer L.; Orbell, John D.; Dann, Peter; Nugegoda, Dayanthi; Scarpaci, Carol</t>
  </si>
  <si>
    <t>Seasonal variation and annual trends of metals and metalloids in the blood of the Little Penguin (Eudyptula minor)</t>
  </si>
  <si>
    <t>Seabird; Bioindicator; Mercury; Port Phillip Bay; Bass Strait</t>
  </si>
  <si>
    <t>PORT-PHILLIP BAY; MERCURY CONTAMINATION; DOSE-RESPONSE; METHYLMERCURY; VICTORIA; FEATHERS; ACCUMULATION; EXCRETION; SEDIMENTS; EXPOSURE</t>
  </si>
  <si>
    <t>Little Penguins (Eudyptula minor) are high-trophic coastal feeders and are effective indicators of bioavailable pollutants in their foraging zones. Here, we present concentrations of metals and metalloids in blood of 157 Little Penguins, collected over three years and during three distinct seasons (breeding, moulting and non-breeding) at two locations: the urban St Kilda colony and the semi-rural colony at Phillip Island, Victoria, Australia. Penguin metal concentrations were foremostly influenced by location (St Kilda &gt; Phillip Island for non-essential elements) and differed among years and seasons at both locations, reflecting differences in seasonal metal bioaccumulation or seasonal exposure through prey. Mean blood mercury concentrations showed an increasing annual trend and a negative correlation with flipper length at St Kilda. Notably, this study is the first to report on blood metal concentrations during the different stages of moult, showing the mechanism of non-essential metal mobilisation and detoxification. (C) 2016 Elsevier Ltd. All rights reserved.</t>
  </si>
  <si>
    <t>[Finger, Annett; Orbell, John D.; Scarpaci, Carol] Victoria Univ, Coll Engn &amp; Sci, Inst Sustainabil &amp; Innovat, Werribee, Vic 3030, Australia; [Lavers, Jennifer L.] Inst Marine &amp; Antarctic Studies, 20 Castray Esplanade, Battery Point, Tas 7004, Australia; [Dann, Peter] Phillip Isl Nat Pk, Res Dept, POB 97, Cowes, Vic 3922, Australia; [Nugegoda, Dayanthi] RMIT Univ, Sch Appl Sci, GPO Box 2476, Melbourne, Vic, Australia</t>
  </si>
  <si>
    <t>Victoria University; University of Tasmania; Royal Melbourne Institute of Technology (RMIT); Melbourne Genomics Health Alliance</t>
  </si>
  <si>
    <t>Finger, A (corresponding author), Victoria Univ, Coll Engn &amp; Sci, Inst Sustainabil &amp; Innovat, Werribee, Vic 3030, Australia.</t>
  </si>
  <si>
    <t>Annett.Finger@live.vu.edu.au</t>
  </si>
  <si>
    <t>Nugegoda, Dayanthi/R-9770-2019; Lavers, Jennifer/O-4831-2017; Lavers, Jennifer/IWM-5417-2023</t>
  </si>
  <si>
    <t>Lavers, Jennifer/0000-0001-7596-6588; Finger, Annett/0000-0002-9467-4078; Orbell, John/0000-0003-3485-5309; Nugegoda, Dayanthi/0000-0002-6327-4581</t>
  </si>
  <si>
    <t>Victoria University; Holsworth Wildlife Research Endowment; Port Phillip EcoCentre; Phillip Island Nature Parks; Birds Australia</t>
  </si>
  <si>
    <t>Victoria University for a Return-To-Study-Scholarship to AF, Holsworth Wildlife Research Endowment, Port Phillip EcoCentre, Phillip Island Nature Parks and Birds Australia generously provided funding. Thanks are due to the National Measurement Institute (NMI) for assisting with the metal analyses and to S. Tzardis (NMI) for his expert advice. Research was conducted under scientific permits issued by the Victorian Department of Environment and Primary Industries (10005200) and Victoria University's Animal Experimentation Ethics Committee (permit 05/09). Parks Victoria kindly granted permission to work along the St Kilda breakwater. We gratefully received in-kind support from N. Blake, M. Booth, the late S. Caarels, M. Cowling, A. Fabijanska, N. Filby, P. Guay, T. Haase, Z. Hogg, N. Kowalczyk, T. Preston, L. Renwick, B. Robertson, C. Wallis, P. Wasiak and various volunteers. We thank the anonymous reviewer who improved a previous draft.</t>
  </si>
  <si>
    <t>10.1016/j.marpolbul.2016.06.055</t>
  </si>
  <si>
    <t>WOS:000382339900039</t>
  </si>
  <si>
    <t>Aponte, JC; McLain, HL; Dworkin, JP; Elsila, JE</t>
  </si>
  <si>
    <t>Aponte, Jose C.; McLain, Hannah L.; Dworkin, Jason P.; Elsila, Jamie E.</t>
  </si>
  <si>
    <t>Aliphatic amines in Antarctic CR2, CM2, and CM1/2 carbonaceous chondrites</t>
  </si>
  <si>
    <t>Meteoritic amines; Aliphatic amines; Carbonaceous chondrites; Antarctic meteorites; Astrochemistry; Astrobiology</t>
  </si>
  <si>
    <t>COMPOUND-SPECIFIC CARBON; MURCHISON METEORITE; ENANTIOMERIC EXCESSES; MONOCARBOXYLIC ACIDS; PARENT BODY; ISOTOPE FRACTIONATION; AQUEOUS ALTERATION; ISOVALINE; AMMONIA; ORGUEIL</t>
  </si>
  <si>
    <t>Meteoritic water-soluble organic compounds provide a unique record of the processes that occurred during the formation of the solar system and the chemistry preceding the origins of life on Earth. We have investigated the molecular distribution, compound-specific delta C-13 isotopic ratios and enantiomeric compositions of aliphatic monoamines present in the hot acid-water extracts of the carbonaceous chondrites LAP 02342 (CR2), GRA 95229 (CR2), LON 94101 (CM2), LEW 90500 (CM2), and ALH 83100 (CM1/2). Analyses of the concentration of monoamines in these meteorites revealed: (a) the CR2 chondrites studied here contain higher concentrations of monoamines relative to the analyzed CM2 chondrites; (b) the concentration of monoamines decreases with increasing carbon number; and (c) isopropylamine is the most abundant monoamine in these CR2 chondrites, while methylamine is the most abundant amine species in these CM2 and CM1/2 chondrites. The delta C-13 values of monoamines in CR2 chondrite do not correlate with the number of carbon atoms; however, in CM2 and CM1/2 chondrites, the C-13 enrichment decreases with increasing monoamine carbon number. The delta C-13 values of methylamine in CR2 chondrites ranged from -1 to +10 parts per thousand, while in CM2 and CM1/2 chondrites the delta C-13 values of methylamine ranged from +41 to +59 parts per thousand. We also observed racemic compositions of sec-butylamine, 3-methyl-2-butylamine, and sec-pentylamine in the studied carbonaceous chondrites. Additionally, we compared the abundance and delta C-13 isotopic composition of monoamines to those of their structurally related amino acids. We found that monoamines are less abundant than amino acids in CR2 chondrites, with the opposite being true in CM2 and CM1/2 chondrites. We used these collective data to evaluate different primordial synthetic pathways for monoamines in carbonaceous chondrites and to understand the potential common origins these molecules may share with meteoritic amino acids. (C) 2016 Elsevier Ltd. All rights reserved.</t>
  </si>
  <si>
    <t>[Aponte, Jose C.; McLain, Hannah L.; Dworkin, Jason P.; Elsila, Jamie E.] NASA, Goddard Space Flight Ctr, Solar Syst Explorat Div, Code 691, Greenbelt, MD 20771 USA; [Aponte, Jose C.; McLain, Hannah L.] Catholic Univ Amer, Dept Chem, Washington, DC 20064 USA</t>
  </si>
  <si>
    <t>National Aeronautics &amp; Space Administration (NASA); NASA Goddard Space Flight Center; Catholic University of America</t>
  </si>
  <si>
    <t>Aponte, JC (corresponding author), NASA, Goddard Space Flight Ctr, Solar Syst Explorat Div, Code 691, Greenbelt, MD 20771 USA.;Aponte, JC (corresponding author), Catholic Univ Amer, Dept Chem, Washington, DC 20064 USA.</t>
  </si>
  <si>
    <t>jose.c.aponte@nasa.gov</t>
  </si>
  <si>
    <t>Elsila, Jamie/AAM-2654-2020; Dworkin, Jason P./C-9417-2012; Aponte, Jose C./B-9091-2013</t>
  </si>
  <si>
    <t>Dworkin, Jason P./0000-0002-3961-8997; Elsila, Jamie/0000-0002-0008-2590; Aponte, Jose C./0000-0002-0131-1981</t>
  </si>
  <si>
    <t>10.1016/j.gca.2016.06.018</t>
  </si>
  <si>
    <t>DS4LR</t>
  </si>
  <si>
    <t>WOS:000380753100018</t>
  </si>
  <si>
    <t>Bonal, L; Quirico, E; Flandinet, L; Montagnac, G</t>
  </si>
  <si>
    <t>Bonal, Lydie; Quirico, Eric; Flandinet, Laurene; Montagnac, Gilles</t>
  </si>
  <si>
    <t>Thermal history of type 3 chondrites from the Antarctic meteorite collection determined by Raman spectroscopy of their polyaromatic carbonaceous matter</t>
  </si>
  <si>
    <t>Thermal metamorphism; CV chondrites; CO chondrites; Ordinary chondrites; Organic matter; Raman spectroscopy</t>
  </si>
  <si>
    <t>UNEQUILIBRATED ORDINARY CHONDRITES; INTERPLANETARY DUST PARTICLES; INSOLUBLE ORGANIC-MATTER; METAMORPHIC HISTORY; STRUCTURAL-CHARACTERIZATION; MICRORAMAN SPECTROSCOPY; ISOTOPIC COMPOSITIONS; AQUEOUS ALTERATION; CV3 CHONDRITES; CM-CHONDRITES</t>
  </si>
  <si>
    <t>This paper is focused on the characterization of the thermal history of 151 CV, CO and unequilibrated ordinary chondrites (UOCs) from the NASA Antarctic meteorite collection, using an approach based on the structure of the included polyaromatic carbonaceous matter determined by Raman spectroscopy. 114 out of these 151 chondrites provided Raman spectra of carbonaceous matter and allowing to assign a petrologic type, which mostly reflects the peak temperature experienced by the rock on the parent body. A thorough review of literature shows however that it is not possible to deduce a peak temperature because accurate calibration is not available. Twenty-three new weakly metamorphosed chondrites have been identified: MIL 07671 (CV3.1); DOM 08006 (CO3.0); DOM 03238, MIL 05024, MIL 05104, MIL 07193 (CO3.1); TIL 82408, LAR 06279 (LL3.05-3.1); EET 90628 (L3.0); GRO 06054, QUE 97008 (L3.05), ALHA 77176, EET 90066, LAR 04380, MET 96515, MIL 05050 (L3.1); ALHA 78133, EET 87735, EET 90909, LEW 87208, PRE 95401 (L3.05-3.1); MCY 05218 (H3.05-3.1) and MET 00506 (H3.1). This study confirms that the width of the D band (FWHMD) and the ratio of the peak intensity of the D and G bands (I-D/I-G) are the most adapted tracers of the extent of thermal metamorphism in type 3 chondrites. It also unambiguously shows, thanks to the large number of samples, that the width of the G band (FWHMG) does not correlate with the maturity of polyaromatic carbonaceous matter. This parameter is nevertheless very valuable because it shows that Raman spectra of CV chondrites preserve memory of either the metamorphic conditions (possibly oxidation controlled by aqueous alteration) or the nature of the organic precursor. Oxidation memory is our preferred interpretation, however an extensive petrologic characterization of this CV series is required to get firm conclusions. Pre-graphitic carbonaceous matter is reported in seven chondrites and is even the only carbonaceous material detected in the chondrites ALHA 78119 and DAV 92302. This pre-graphitic carbonaceous matter cannot be formed through radiogenic thermal metamorphism without metal catalysis. Shock metamorphism is another possible process for accounting its formation, but it appears less plausible. (C) 2016 Elsevier Ltd. All rights reserved.</t>
  </si>
  <si>
    <t>[Bonal, Lydie; Quirico, Eric; Flandinet, Laurene] Univ Grenoble Alpes, Inst Planetol &amp; Astrophys Grenoble, F-38000 Grenoble, France; [Bonal, Lydie; Quirico, Eric; Flandinet, Laurene] CNRS, IPAG, F-38000 Grenoble, France; [Montagnac, Gilles] Univ Lyon 1, Ens Lyon, Lab Geol Lyon, CNRS,UMR5276,INSU, 46 Allee Italie, F-69364 Lyon 07, France</t>
  </si>
  <si>
    <t>Communaute Universite Grenoble Alpes; Universite Grenoble Alpes (UGA); Institut de Planetologie et d'Astrophysique de Grenoble (IPAG); Institut de Planetologie et d'Astrophysique de Grenoble (IPAG); Centre National de la Recherche Scientifique (CNRS); Centre National de la Recherche Scientifique (CNRS); CNRS - National Institute for Earth Sciences &amp; Astronomy (INSU); Ecole Normale Superieure de Lyon (ENS de LYON); Universite Claude Bernard Lyon 1</t>
  </si>
  <si>
    <t>Bonal, L (corresponding author), Univ Grenoble Alpes, Inst Planetol &amp; Astrophys Grenoble, F-38000 Grenoble, France.;Bonal, L (corresponding author), CNRS, IPAG, F-38000 Grenoble, France.</t>
  </si>
  <si>
    <t>lydie.bonal@obs.ujf-grenoble.fr</t>
  </si>
  <si>
    <t>Montagnac, Gilles/S-6440-2019; quirico, eric/K-9650-2013</t>
  </si>
  <si>
    <t>Montagnac, Gilles/0000-0001-9938-0282; quirico, eric/0000-0003-2768-0694; BONAL, Lydie/0000-0002-0655-4034</t>
  </si>
  <si>
    <t>10.1016/j.gca.2016.06.017</t>
  </si>
  <si>
    <t>WOS:000380753100019</t>
  </si>
  <si>
    <t>Liebrand, D; Beddow, HM; Lourens, LJ; Pälike, H; Raffi, I; Bohaty, SM; Hilgen, FJ; Saes, MJM; Wilson, PA; van Dijk, AE; Hodell, DA; Kroon, D; Huck, CE; Batenburg, SJ</t>
  </si>
  <si>
    <t>Liebrand, Diederik; Beddow, Helen M.; Lourens, Lucas J.; Paelike, Heiko; Raffi, Isabella; Bohaty, Steven M.; Hilgen, Frederik J.; Saes, Mischa J. M.; Wilson, Paul A.; van Dijk, Arnold E.; Hodell, David A.; Kroon, Dick; Huck, Claire E.; Batenburg, Sietske J.</t>
  </si>
  <si>
    <t>Cyclostratigraphy and eccentricity tuning of the early Oligocene through early Miocene (30.1-17.1 Ma): Cibicides mundulus stable oxygen and carbon isotope records from Walvis Ridge Site 1264</t>
  </si>
  <si>
    <t>integrated stratigraphy; palaeoclimatology; Oligocene-Miocene transition; astronomical climate forcing; Ocean Drilling Program Site 1264 (Walvis Ridge); Antarctic ice sheet</t>
  </si>
  <si>
    <t>ANTARCTIC ICE-SHEET; LATE PALEOCENE; CLIMATE; CALIBRATION; CYCLE; ONSET; OSCILLATIONS; GLACIATION; MODULATION; OBLIQUITY</t>
  </si>
  <si>
    <t>Few astronomically calibrated high-resolution (&lt;= 5 kyr) climate records exist that span the Oligocene-Miocene time interval. Notably, available proxy records show responses varying in amplitude at frequencies related to astronomical forcing, and the main pacemakers of global change on astronomical time-scales remain debated. Here we present newly generated X-ray fluorescence core scanning and benthic foraminiferal stable oxygen and carbon isotope records from Ocean Drilling Program Site 1264 (Walvis Ridge, southeastern Atlantic Ocean). Complemented by data from nearby Site 1265, the Site 1264 benthic stable isotope records span a continuous similar to 13-Myr interval of the Oligo-Miocene (30.1-17.1 Ma) at high resolution (similar to 3.0 kyr). Spectral analyses in the stratigraphic depth domain indicate that the largest amplitude variability of all proxy records is associated with periods of similar to 3.4 m and similar to 0.9 m, which correspond to 405- and similar to 110-kyr eccentricity, using a magnetobiostratigraphic age model. Maxima in CaCO3 content, delta O-18 and delta C-13 are interpreted to coincide with similar to 110 kyr eccentricity minima. The strong expression of these cycles in combination with the weakness of the precession- and obliquity-related signals allow construction of an astronomical age model that is solely based on tuning the CaCO3 content to the nominal (La2011_ecc3L) eccentricity solution. Very long-period eccentricity maxima (similar to 2.4-Myr) are marked by recurrent episodes of high-amplitude similar to 110-kyr delta O-18 cycles at Walvis Ridge, indicating greater sensitivity of the climate/cryosphere system to short eccentricity modulation of climatic precession. In contrast, the responses of the global (high-latitude) climate system, cryosphere, and carbon cycle to the 405-kyr cycle, as expressed in benthic delta O-18 and especially delta C-13 signals, are more pronounced during similar to 2.4-Myr minima. The relationship between the recurrent episodes of high-amplitude similar to 110-kyr delta O-18 cycles and the similar to 1.2-Myr amplitude modulation of obliquity is not consistent through the Oligo-Miocene. Identification of these recurrent episodes at Walvis Ridge, and their pacing by the similar to 2.4-Myr eccentricity cycle, revises the current understanding of the main climate events of the Oligo-Miocene. (C) 2016 The Authors. Published by Elsevier B.V. This is an open access article under the CC BY-NC-ND license.</t>
  </si>
  <si>
    <t>[Liebrand, Diederik; Paelike, Heiko; Bohaty, Steven M.; Wilson, Paul A.; Huck, Claire E.] Univ Southampton, Natl Oceanog Ctr Southampton, Waterfront Campus,European Way, Southampton SO14 3ZH, Hants, England; [Beddow, Helen M.; Lourens, Lucas J.; Hilgen, Frederik J.; Saes, Mischa J. M.; van Dijk, Arnold E.] Univ Utrecht, Fac Geosci, Dept Earth Sci, Budapestlaan 4, NL-3584 CD Utrecht, Netherlands; [Paelike, Heiko] Univ Bremen, MARUM Ctr Marine Environm Sci, Leobener Str, D-28359 Bremen, Germany; [Raffi, Isabella] Univ G dAnnunzio, Dipartimento Ingn &amp; Geol InGeo, Campus Univ,Via Vestini 31, I-66013 Chieti Solo, Italy; [Hodell, David A.] Univ Cambridge, Dept Earth Sci, Downing St, Cambridge CB2 3EQ, England; [Kroon, Dick] Univ Edinburgh, Grant Inst, Sch Geosci, Kings Bldg,James Hutton Rd, Edinburgh EH9 3FE, Midlothian, Scotland; [Batenburg, Sietske J.] Goethe Univ Frankfurt, Inst Geosci, Altenhoferallee 1, D-60438 Frankfurt, Germany; [Batenburg, Sietske J.] Univ Oxford, Dept Earth Sci, South Parks Rd, Oxford OX1 3AN, England</t>
  </si>
  <si>
    <t>University of Southampton; NERC National Oceanography Centre; Utrecht University; University of Bremen; G d'Annunzio University of Chieti-Pescara; University of Cambridge; University of Edinburgh; Goethe University Frankfurt; University of Oxford</t>
  </si>
  <si>
    <t>Liebrand, D (corresponding author), Univ Southampton, Natl Oceanog Ctr Southampton, Waterfront Campus,European Way, Southampton SO14 3ZH, Hants, England.</t>
  </si>
  <si>
    <t>diederik.liebrand@noc.soton.ac.uk</t>
  </si>
  <si>
    <t>Batenburg, Sietske J./AAD-6896-2019; Raffi, Isabella/AAY-5505-2020; Lieband, Diederik/AAT-2004-2021; Pälike, Heiko/A-6560-2008</t>
  </si>
  <si>
    <t>Batenburg, Sietske J./0000-0002-4076-1248; Raffi, Isabella/0000-0002-5192-7477; Lieband, Diederik/0000-0002-6925-7889; Pälike, Heiko/0000-0003-3386-0923; Hodell, David/0000-0001-8537-1588; Wilson, Paul/0000-0001-6425-8906; Hilgen, Frits/0000-0002-5683-259X</t>
  </si>
  <si>
    <t>DFG-Leibniz Center for Surface Process; Climate Studies at the University of Potsdam; US National Science Foundation; ERC [215458, 617462]; NWO [864.02.007, 865.10.001]; NERC [NE/K014137/1]; management of the Joint Oceanographic Institutions; NERC [NE/K006800/1, NE/K014137/1, NE/I006168/1, NE/K008390/1, NE/L007452/1] Funding Source: UKRI; Natural Environment Research Council [NE/L007452/1, NE/K008390/1, NE/I006168/1, NE/K006800/1, NE/K014137/1] Funding Source: researchfish; European Research Council (ERC) [617462] Funding Source: European Research Council (ERC)</t>
  </si>
  <si>
    <t>DFG-Leibniz Center for Surface Process; Climate Studies at the University of Potsdam; US National Science Foundation(National Science Foundation (NSF)); ERC(European Research Council (ERC)); NWO(Netherlands Organization for Scientific Research (NWO)); NERC(UK Research &amp; Innovation (UKRI)Natural Environment Research Council (NERC)); management of the Joint Oceanographic Institutions; NERC(UK Research &amp; Innovation (UKRI)Natural Environment Research Council (NERC)); Natural Environment Research Council(UK Research &amp; Innovation (UKRI)Natural Environment Research Council (NERC)); European Research Council (ERC)(European Research Council (ERC)Spanish Government)</t>
  </si>
  <si>
    <t>We like to thank Ian Croudace, Jan Drenth, Walter Hale, Geert Ittman, Samantha Gibbs, Yuxi Jin, Dominika Kasjaniuk, Daniel Kelly, Alice Lefebvre, David Naafs, Ursula Rohl, Eelco Rohling, Richard Smith, Megan Spencer, Anastasia Tsiola, Natasja Welters, Thomas Westerhold, Alex Willbers, Andrew Yool, and Christian Zeeden for their help and for insightful discussions. This research used data acquired at the XRF Core Scanner Lab at the MARUM - Center for Marine Environmental Sciences, University of Bremen, Germany, supported by the DFG-Leibniz Center for Surface Process and Climate Studies at the University of Potsdam. We used samples provided by the Ocean Drilling Program, sponsored by the US National Science Foundation and participating countries under the management of the Joint Oceanographic Institutions. This research has been made possible by funding of ERC grants 215458 and 617462, NWO grants 864.02.007 and 865.10.001, and NERC grant NE/K014137/1. All data presented in this paper are available online (www.pangaea.de).</t>
  </si>
  <si>
    <t>10.1016/j.epsl.2016.06.007</t>
  </si>
  <si>
    <t>DT5PR</t>
  </si>
  <si>
    <t>Green Published, hybrid, Green Accepted</t>
  </si>
  <si>
    <t>WOS:000381535600038</t>
  </si>
  <si>
    <t>Bakker, DCE; Pfeil, B; Landa, CS; Metzl, N; O'Brien, KM; Olsen, A; Smith, K; Cosca, C; Harasawa, S; Jones, SD; Nakaoka, S; Nojiri, Y; Schuster, U; Steinhoff, T; Sweeney, C; Takahashi, T; Tilbrook, B; Wada, C; Wanninkhof, R; Alin, SR; Balestrini, CF; Barbero, L; Bates, NR; Bianchi, AA; Bonou, F; Boutin, J; Bozec, Y; Burger, EF; Cai, WJ; Castle, RD; Chen, LQ; Chierici, M; Currie, K; Evans, W; Featherstone, C; Feely, RA; Fransson, A; Goyet, C; Greenwood, N; Gregor, L; Hankin, S; Hardman-Mountford, NJ; Harlay, J; Hauck, J; Hoppema, M; Humphreys, MP; Hunt, C; Huss, B; Ibánhez, JSP; Johannessen, T; Keeling, R; Kitidis, V; Körtzinger, A; Kozyr, A; Krasakopoulou, E; Kuwata, A; Landschützer, P; Lauvset, SK; Lefèvre, N; Lo Monaco, C; Manke, A; Mathis, JT; Merlivat, L; Millero, FJ; Monteiro, PMS; Munro, DR; Murata, A; Newberger, T; Omar, AM; Ono, T; Paterson, K; Pearce, D; Pierrot, D; Robbins, LL; Saito, S; Salisbury, J; Schlitzer, R; Schneider, B; Schweitzer, R; Sieger, R; Skjelvan, I; Sullivan, KF; Sutherland, SC; Sutton, AJ; Tadokoro, K; Telszewski, M; Tuma, M; van Heuven, SMAC; Vandemark, D; Ward, B; Watson, AJ; Xu, SQ</t>
  </si>
  <si>
    <t>Bakker, Dorothee C. E.; Pfeil, Benjamin; Landa, Camilla S.; Metzl, Nicolas; O'Brien, Kevin M.; Olsen, Are; Smith, Karl; Cosca, Cathy; Harasawa, Sumiko; Jones, Stephen D.; Nakaoka, Shin-ichiro; Nojiri, Yukihiro; Schuster, Ute; Steinhoff, Tobias; Sweeney, Colm; Takahashi, Taro; Tilbrook, Bronte; Wada, Chisato; Wanninkhof, Rik; Alin, Simone R.; Balestrini, Carlos F.; Barbero, Leticia; Bates, Nicholas R.; Bianchi, Alejandro A.; Bonou, Frederic; Boutin, Jacqueline; Bozec, Yann; Burger, Eugene F.; Cai, Wei-Jun; Castle, Robert D.; Chen, Liqi; Chierici, Melissa; Currie, Kim; Evans, Wiley; Featherstone, Charles; Feely, Richard A.; Fransson, Agneta; Goyet, Catherine; Greenwood, Naomi; Gregor, Luke; Hankin, Steven; Hardman-Mountford, Nick J.; Harlay, Jerome; Hauck, Judith; Hoppema, Mario; Humphreys, Matthew P.; Hunt, ChristopherW.; Huss, Betty; Ibanhez, J. Severino P.; Johannessen, Truls; Keeling, Ralph; Kitidis, Vassilis; Koertzinger, Arne; Kozyr, Alex; Krasakopoulou, Evangelia; Kuwata, Akira; Landschuetzer, Peter; Lauvset, Siv K.; Lefevre, Nathalie; Lo Monaco, Claire; Manke, Ansley; Mathis, Jeremy T.; Merlivat, Liliane; Millero, Frank J.; Monteiro, Pedro M. S.; Munro, David R.; Murata, Akihiko; Newberger, Timothy; Omar, Abdirahman M.; Ono, Tsuneo; Paterson, Kristina; Pearce, David; Pierrot, Denis; Robbins, Lisa L.; Saito, Shu; Salisbury, Joe; Schlitzer, Reiner; Schneider, Bernd; Schweitzer, Roland; Sieger, Rainer; Skjelvan, Ingunn; Sullivan, Kevin F.; Sutherland, Stewart C.; Sutton, Adrienne J.; Tadokoro, Kazuaki; Telszewski, Maciej; Tuma, Matthias; van Heuven, Steven M. A. C. .; Vandemark, Doug; Ward, Brian; Watson, Andrew J.; Xu, Suqing</t>
  </si>
  <si>
    <t>A multi-decade record of high-quality fCO2 data in version 3 of the Surface Ocean CO2 Atlas (SOCAT)</t>
  </si>
  <si>
    <t>ATMOSPHERIC CO2; EQUATORIAL PACIFIC; SOUTHERN-OCEAN; INTERANNUAL VARIABILITY; FLUX VARIABILITY; SEASONAL CYCLE; ATLANTIC-OCEAN; CARBON-DIOXIDE; EL-NINO; SEA</t>
  </si>
  <si>
    <t>The Surface Ocean CO2 Atlas (SOCAT) is a synthesis of quality-controlled fCO(2) (fugacity of carbon dioxide) values for the global surface oceans and coastal seas with regular updates. Version 3 of SOCAT has 14.7 million fCO(2) values from 3646 data sets covering the years 1957 to 2014. This latest version has an additional 4.6 million fCO(2) values relative to version 2 and extends the record from 2011 to 2014. Version 3 also significantly increases the data availability for 2005 to 2013. SOCAT has an average of approximately 1.2 million surface water fCO(2) values per year for the years 2006 to 2012. Quality and documentation of the data has improved. A new feature is the data set quality control (QC) flag of E for data from alternative sensors and platforms. The accuracy of surface water fCO(2) has been defined for all data set QC flags. Automated range checking has been carried out for all data sets during their upload into SOCAT. The upgrade of the interactive Data Set Viewer (previously known as the Cruise Data Viewer) allows better interrogation of the SOCAT data collection and rapid creation of high-quality figures for scientific presentations. Automated data upload has been launched for version 4 and will enable more frequent SOCAT releases in the future. High-profile scientific applications of SOCAT include quantification of the ocean sink for atmospheric carbon dioxide and its long-term variation, detection of ocean acidification, as well as evaluation of coupled-climate and ocean-only biogeochemical models. Users of SOCAT data products are urged to acknowledge the contribution of data providers, as stated in the SOCAT Fair Data Use Statement. This ESSD (Earth System Science Data) living data publication documents the methods and data sets used for the assembly of this new version of the SOCAT data collection and compares these with those used for earlier versions of the data collection (Pfeil et al., 2013; Sabine et al., 2013; Bakker et al., 2014).Individual data set files, included in the synthesis product, can be downloaded here: doi:10.1594/PANGAEA.849770. The gridded products are available here: doi: 10.3334/CDIAC/OTG.SOCAT_V3_GRID.</t>
  </si>
  <si>
    <t>[Bakker, Dorothee C. E.] Univ East Anglia, Sch Environm Sci, Ctr Ocean &amp; Atmospher Sci, Norwich NR4 7TJ, Norfolk, England; [Pfeil, Benjamin; Landa, Camilla S.; Olsen, Are; Jones, Stephen D.; Johannessen, Truls; Lauvset, Siv K.; Omar, Abdirahman M.; Skjelvan, Ingunn] Univ Bergen, Geophys Inst, N-5020 Bergen, Norway; [Pfeil, Benjamin; Landa, Camilla S.; Olsen, Are; Jones, Stephen D.] Bjerknes Ctr Climate Res, N-5007 Bergen, Norway; [Metzl, Nicolas; Boutin, Jacqueline; Lefevre, Nathalie; Lo Monaco, Claire; Merlivat, Liliane] Univ Paris 06, Sorbonne Univ, CNRS, IRD,MNHN,LOCEAN IPSL Lab, F-75005 Paris, France; [O'Brien, Kevin M.; Smith, Karl; Alin, Simone R.; Burger, Eugene F.; Feely, Richard A.; Manke, Ansley; Mathis, Jeremy T.; Sutton, Adrienne J.] NOAA, Pacific Marine Environm Lab, 7600 Sand Point Way Ne, Seattle, WA 98115 USA; [O'Brien, Kevin M.; Smith, Karl; Hankin, Steven; Sutton, Adrienne J.] Univ Washington, Joint Inst Study Atmosphere &amp; Oceans, Seattle, WA 98105 USA; [Harasawa, Sumiko; Nakaoka, Shin-ichiro; Nojiri, Yukihiro; Wada, Chisato] Natl Inst Environm Studies, Tsukuba, Ibaraki 3058506, Japan; [Schuster, Ute; Watson, Andrew J.] Univ Exeter, Coll Life &amp; Environm Sci, Exeter EX4 4QE, Devon, England; [Steinhoff, Tobias; Koertzinger, Arne] GEOMAR Helmholtz Ctr Ocean Res Kiel, D-24105 Kiel, Germany; [Sweeney, Colm; Newberger, Timothy] Univ Colorado, Cooperat Inst Res Environm Sci, Boulder, CO 80309 USA; [Sweeney, Colm; Newberger, Timothy] NOAA, Earth Syst Res Lab, Boulder, CO 80305 USA; [Takahashi, Taro; Sutherland, Stewart C.] Columbia Univ, Lamont Doherty Earth Observ, Palisades, NY 10964 USA; [Tilbrook, Bronte; Paterson, Kristina] CSIRO Oceans &amp; Atmosphere, Hobart, Tas 7001, Australia; [Tilbrook, Bronte] Univ Tasmania, Antarctic Climate &amp; Ecosyst Cooperat Res Ctr, Hobart, Tas 7001, Australia; [Wanninkhof, Rik; Barbero, Leticia; Castle, Robert D.; Featherstone, Charles; Huss, Betty; Pierrot, Denis; Sullivan, Kevin F.] NOAA, Atlantic Oceanog &amp; Meteorol Lab, Miami, FL 33149 USA; [Balestrini, Carlos F.; Bianchi, Alejandro A.] Serv Hidrog Naval, Dept Oceanog, C1270ABV, Buenos Aires, DF, Argentina; [Barbero, Leticia; Pierrot, Denis; Sullivan, Kevin F.] Univ Miami, Rosenstiel Sch Marine &amp; Atmospher Sci, Cooperat Inst Marine &amp; Atmospher Studies, 4600 Rickenbacker Causeway, Miami, FL 33149 USA; [Bates, Nicholas R.] Bermuda Inst Ocean Sci, GE01, Ferry Reach, St Georges, Bermuda; [Bates, Nicholas R.; Humphreys, Matthew P.] Univ Southampton, Ocean &amp; Earth Sci, Southampton SO14 3ZH, Hants, England; [Bonou, Frederic; Ibanhez, J. Severino P.] Univ Fed Pernambuco, Ctr Estudos &amp; Ensaios Risco &amp; Modelagem Ambienta, BR-50740550 Recife, PE, Brazil; [Bozec, Yann] Univ Paris 06, Sorbonne Univ, Adaptat &amp; Divers Milieu Marin UMR7144, Stn Biol Roscoff,CNRS, F-29680 Roscoff, France; [Cai, Wei-Jun] Univ Delaware, Sch Marine Sci &amp; Policy, Newark, DE 19716 USA; [Chen, Liqi; Xu, Suqing] State Ocean Adm, Inst Oceanog 3, Key Lab Global Change &amp; Marine Atmospher Chem, Xiamen 361005, Peoples R China; [Chen, Liqi] Chinese Arct &amp; Antarct Adm, Beijing 100860, Peoples R China; [Chierici, Melissa] Inst Marine Res, N-9294 Tromso, Norway; [Chierici, Melissa] Univ Gothenburg, Dept Marine Sci, S-40530 Gothenburg, Sweden; [Currie, Kim] Natl Inst Water &amp; Atmospher Res, Dunedin 9054, New Zealand; [Evans, Wiley] Univ Alaska Fairbanks, Ocean Acidificat Res Ctr, Fairbanks, AK 99775 USA; [Evans, Wiley] Hakai Inst, Calver Isl, BC V0P 1H0, Canada; [Fransson, Agneta] Norwegian Polar Res Inst, Fram Ctr, N-9296 Tromso, Norway; [Goyet, Catherine] Univ Perpignan, IMAGES ESPACE DEV, F-66860 Perpignan, France; [Goyet, Catherine] Maison Teledetect, UMR ESPACE DEV, F-34000 Montpellier, France; [Greenwood, Naomi; Pearce, David] Ctr Environm Fisheries &amp; Aquaculture Sci, Lowestoft NR33 0HT, Suffolk, England; [Gregor, Luke; Monteiro, Pedro M. S.] CSIR CHPC, Ocean Syst &amp; Climate, ZA-7700 Cape Town, South Africa; [Hardman-Mountford, Nick J.] CSIRO Oceans &amp; Atmosphere, Floreat, WA 6014, Australia; [Harlay, Jerome] Univ Hawaii Manoa, Dept Oceanog, Honolulu, HI 96822 USA; [Hauck, Judith; Hoppema, Mario; Sieger, Rainer] Alfred Wegener Inst Helmholtz Ctr Polar &amp; Marine, D-27515 Bremerhaven, Germany; [Hunt, ChristopherW.; Salisbury, Joe; Vandemark, Doug] Univ New Hampshire, Ocean Proc Anal Lab, Durham, NH 03824 USA; [Ibanhez, J. Severino P.] IRD, BR-71640230 Brasilia, DF, Brazil; [Johannessen, Truls; Skjelvan, Ingunn] Bjerknes Ctr Climate Res, Uni Res Climate, N-5007 Bergen, Norway; [Keeling, Ralph] Univ Calif San Diego, San Diego, CA 92093 USA; [Kitidis, Vassilis] Plymouth Marine Lab, Plymouth PL1 3DH, Devon, England; [Kozyr, Alex] Oak Ridge Natl Lab, Div Environm Sci, Carbon Dioxide Informat Anal Ctr, POB 2008, Oak Ridge, TN 37831 USA; [Krasakopoulou, Evangelia] Univ Aegean, Dept Marine Sci, Mitilini 81100, Lesvos, Greece; [Kuwata, Akira; Tadokoro, Kazuaki] Japan Fisheries Res &amp; Educ Agcy, Tohoku Natl Fisheries Res Inst, Shiogama, Miyagi 9850001, Japan; [Landschuetzer, Peter] Max Planck Inst Meteorol, D-20146 Hamburg, Germany; [Millero, Frank J.] Univ Miami, Rosenstiel Sch Marine &amp; Atmospher Sci, Dept Ocean Sci, Miami, FL 33149 USA; [Munro, David R.] Univ Colorado, Dept Atmospher &amp; Ocean Sci, Boulder, CO 80309 USA; [Munro, David R.] Univ Colorado, Inst Arct &amp; Alpine Res, Boulder, CO 80309 USA; [Murata, Akihiko] Japan Agcy Marine Earth Sci &amp; Technol, Yokosuka, Kanagawa 2370061, Japan; [Ono, Tsuneo] Japan Fisheries Res &amp; Educ Agcy, Natl Res Inst Fisheries Sci, Yokohama, Kanagawa 2368648, Japan; [Robbins, Lisa L.] US Geol Survey, St Petersburg, FL 33701 USA; [Saito, Shu] Japan Meteorol Agcy, Global Environm &amp; Marine Dept, Marine Div, Tokyo 1008122, Japan; [Schneider, Bernd] Leibniz Inst Balt Sea Res, D-18119 Rostock, Warnemunde, Germany; [Schweitzer, Roland] Weathertop Consulting LLC, College Stn, TX 77845 USA; [Telszewski, Maciej] Polish Acad Sci, Inst Oceanol, Int Ocean Carbon Coordinat Project, PL-81712 Sopot, Poland; [Tuma, Matthias] World Meteorol Org, WCRP Joint Planning Staff, CH-1211 Geneva 2, Switzerland; [van Heuven, Steven M. A. C. .] Royal Netherlands Inst Sea Res, NL-1797 SZ T Horntje, Texel, Netherlands; [Ward, Brian] Natl Univ Ireland, AirSea Lab, Ryan Inst, Galway, Ireland; [Ward, Brian] Natl Univ Ireland, AirSea Lab, Sch Phys, Galway, Ireland</t>
  </si>
  <si>
    <t>University of East Anglia; University of Bergen; Bjerknes Centre for Climate Research; Centre National de la Recherche Scientifique (CNRS); Sorbonne Universite; Institut de Recherche pour le Developpement (IRD); Museum National d'Histoire Naturelle (MNHN); National Oceanic Atmospheric Admin (NOAA) - USA; University of Washington; University of Washington Seattle; National Institute for Environmental Studies - Japan; University of Exeter; Helmholtz Association; GEOMAR Helmholtz Center for Ocean Research Kiel; University of Colorado System; University of Colorado Boulder; National Oceanic Atmospheric Admin (NOAA) - USA; Columbia University; Commonwealth Scientific &amp; Industrial Research Organisation (CSIRO); Antarctic Climate &amp; Ecosystems Cooperative Research Centre (ACE CRC); University of Tasmania; National Oceanic Atmospheric Admin (NOAA) - USA; Atlantic Oceanographic &amp; Meteorological Laboratory (AOML); Servicio de Hidrografia Naval; University of Miami; Bermuda Institute of Ocean Sciences; University of Southampton; Universidade Federal de Pernambuco; Sorbonne Universite; Centre National de la Recherche Scientifique (CNRS); CNRS - Institute of Ecology &amp; Environment (INEE); University of Delaware; Third Institute of Oceanography, Ministry of Natural Resources; Institute of Marine Research - Norway; University of Gothenburg; National Institute of Water &amp; Atmospheric Research (NIWA) - New Zealand; University of Alaska System; University of Alaska Fairbanks; Hakai Institute; Norwegian Polar Institute; Universite Perpignan Via Domitia; Institut de Recherche pour le Developpement (IRD); Universite de Montpellier; Universite des Antilles; University of La Reunion; Aix-Marseille Universite; Centre for Environment Fisheries &amp; Aquaculture Science; Commonwealth Scientific &amp; Industrial Research Organisation (CSIRO); University of Hawaii System; University of Hawaii Manoa; Helmholtz Association; Alfred Wegener Institute, Helmholtz Centre for Polar &amp; Marine Research; University System Of New Hampshire; University of New Hampshire; Comissao Nacional de Energia Nuclear (CNEN); Instituto de Radioprotecao e Dosimetria; Bjerknes Centre for Climate Research; University of California System; University of California San Diego; Plymouth Marine Laboratory; United States Department of Energy (DOE); Oak Ridge National Laboratory; University of Aegean; Japan Fisheries Research &amp; Education Agency (FRA); Max Planck Society; University of Miami; University of Colorado System; University of Colorado Boulder; University of Colorado System; University of Colorado Boulder; Japan Agency for Marine-Earth Science &amp; Technology (JAMSTEC); Japan Fisheries Research &amp; Education Agency (FRA); United States Department of the Interior; United States Geological Survey; Japan Meteorological Agency; Leibniz Institut fur Ostseeforschung Warnemunde; Polish Academy of Sciences; Institute of Oceanology of the Polish Academy of Sciences; Utrecht University; Royal Netherlands Institute for Sea Research (NIOZ); Ollscoil na Gaillimhe-University of Galway; Ollscoil na Gaillimhe-University of Galway</t>
  </si>
  <si>
    <t>Bakker, DCE (corresponding author), Univ East Anglia, Sch Environm Sci, Ctr Ocean &amp; Atmospher Sci, Norwich NR4 7TJ, Norfolk, England.</t>
  </si>
  <si>
    <t>d.bakker@uea.ac.uk</t>
  </si>
  <si>
    <t>Barbero, Leticia/B-5237-2011; Krasakopoulou, Evangelia/H-5098-2011; Pierrot, Denis/AAH-7687-2020; Newberger, Timothy/AAR-7103-2020; Pierrot, Denis/A-7459-2014; Gregor, Luke/AAY-5082-2021; Sutton, Adrienne/C-7725-2015; Monteiro, Pedro M. S./D-3767-2009; Monaco, Claire Lo/E-1696-2012; Shin-ichiro, Nakaoka/I-7222-2018; Alin, Simone/J-6836-2017; Cai, Wenju/C-2864-2012; Cai, Wei-Jun/C-1361-2013; Merlivat, Liliane/KAL-8800-2024; Humphreys, Matthew P./A-8939-2015; Ibánhez, J. Severino Pino/K-5055-2015; Munro, David/ABA-2074-2020; Tilbrook, Bronte/W-4007-2019; Körtzinger, Arne/A-4141-2014; Nojiri, Yukihiro/D-1999-2010; Landschützer, Peter/IQU-3835-2023; Hauck, Judith/AAC-3967-2019; Sweeney, Colm/AAE-9291-2019; Feely, Richard A./ABI-5740-2020; Greenwood, Naomi/B-1832-2012; Olsen, Are/A-1511-2011; Lauvset, Siv K./H-7948-2016; Evans, Wiley/U-8250-2018; Bakker, Dorothee/E-4951-2015; Hoppema, Mario/I-6286-2013</t>
  </si>
  <si>
    <t>Pierrot, Denis/0000-0002-0374-3825; Gregor, Luke/0000-0001-6071-1857; Sutton, Adrienne/0000-0002-7414-7035; Shin-ichiro, Nakaoka/0000-0002-3870-1721; Alin, Simone/0000-0002-8283-1910; Cai, Wenju/0000-0001-6520-0829; Humphreys, Matthew P./0000-0002-9371-7128; Ibánhez, J. Severino Pino/0000-0001-6093-3054; Tilbrook, Bronte/0000-0001-9385-3827; Nojiri, Yukihiro/0000-0001-9885-9195; Landschützer, Peter/0000-0002-7398-3293; Hauck, Judith/0000-0003-4723-9652; Greenwood, Naomi/0000-0001-7166-9455; Olsen, Are/0000-0003-1696-9142; O'Brien, Kevin/0000-0003-4167-3028; Telszewski, Maciej/0000-0002-9139-226X; Cai, Wei-Jun/0000-0003-3606-8325; Lo Monaco, Claire/0000-0002-5653-5018; Lauvset, Siv K./0000-0001-8498-4067; metzl, nicolas/0000-0002-1165-1074; Krasakopoulou, Evangelia/0000-0002-1948-3482; Ward, Brian/0000-0002-6763-5778; Kitidis, Vassilis/0000-0003-3949-3802; Jones, Steve/0000-0003-0522-9851; Evans, Wiley/0000-0002-5450-0903; Hunt, Christopher/0000-0001-8061-4560; Vandemark, Douglas/0000-0003-4367-5457; Skjelvan, Ingunn/0000-0001-6761-5016; Watson, Andrew/0000-0002-9654-8147; Steinhoff, Tobias/0000-0002-2298-1298; Bakker, Dorothee/0000-0001-9234-5337; Lefevre, Nathalie/0000-0002-1126-5528; Hoppema, Mario/0000-0002-2326-619X; BONOU, Frederic/0000-0002-2121-6893</t>
  </si>
  <si>
    <t>US National Science Foundation [OCE-124 3377]; University of East Anglia (UK); Bjerknes Centre for Climate Research (Norway); Geophysical Institute at the University of Bergen (Norway); University of Washington (US); Climate Observation Division of the Climate Program Office; NOAA Ocean Acidification Program; NOAA Pacific Marine Environmental Laboratory (PMEL); NOAA Atlantic Oceanographic and Meteorological Laboratory (AOML); NOAA Earth System Research Laboratory; Oak Ridge National Laboratory (US); PANGAEA(R) Data Publisher for Earth and Environmental Science (Germany); Alfred Wegener Institute Helmholtz Centre for Polar and Marine Research (Germany); Antarctic Climate and Ecosystems Cooperative Research Centre (Australia); National Institute for Environmental Studies (Japan); Uni Research (Norway); European Union [FP7 264879, FP7 283080, 633211]; Natural Environment Research Council (NERC) [NE/H017046/1]; Departments for Energy and Climate Change and for Environment, Food and Rural Affairs (Defra); NERC [NE/K00168X/1]; Defra; SOCAT; Australian International Marine Observing System; U.S. Geological Survey; National Aeronautics and Space Administration (NASA) (US); European Space Agency; German Federal Ministry of Education and Research (BMBF, ICOS-D) [01LK1224J, 01LK1101C, 01LK1101E]; Japanese Ministry of the Environment; Royal Society of New Zealand via the New Zealand-Germany Science and Technology Programme; Norwegian Research Council (SNACS) [229752]; Swedish Research Council [2004-4034]; Swedish Research Council for Environment, Agricultural Sciences and Spatial Planning (Formas) [2004-797]; NERC [NE/H017046/1, NE/H017186/1, NE/M005070/1, NE/K002473/1, NE/K00168X/1, NE/H017046/2, NE/K002058/1, pml010007, NE/K002511/1] Funding Source: UKRI; Directorate For Geosciences; Division Of Ocean Sciences [1546580] Funding Source: National Science Foundation; Directorate For Geosciences; Office of Polar Programs (OPP) [1543457] Funding Source: National Science Foundation; Division Of Ocean Sciences; Directorate For Geosciences [1436748] Funding Source: National Science Foundation; Office of Polar Programs (OPP); Directorate For Geosciences [1341647] Funding Source: National Science Foundation; Natural Environment Research Council [NE/K002511/1, NE/M005070/1, NE/K002058/1, NE/K00168X/1, NE/H017046/2, pml010007, NE/K002473/1, NE/H017046/1, NE/H017186/1] Funding Source: researchfish</t>
  </si>
  <si>
    <t>US National Science Foundation(National Science Foundation (NSF)); University of East Anglia (UK); Bjerknes Centre for Climate Research (Norway); Geophysical Institute at the University of Bergen (Norway); University of Washington (US); Climate Observation Division of the Climate Program Office; NOAA Ocean Acidification Program(National Oceanic Atmospheric Admin (NOAA) - USA); NOAA Pacific Marine Environmental Laboratory (PMEL)(National Oceanic Atmospheric Admin (NOAA) - USA); NOAA Atlantic Oceanographic and Meteorological Laboratory (AOML)(National Oceanic Atmospheric Admin (NOAA) - USA); NOAA Earth System Research Laboratory(National Oceanic Atmospheric Admin (NOAA) - USA); Oak Ridge National Laboratory (US); PANGAEA(R) Data Publisher for Earth and Environmental Science (Germany); Alfred Wegener Institute Helmholtz Centre for Polar and Marine Research (Germany); Antarctic Climate and Ecosystems Cooperative Research Centre (Australia)(Australian GovernmentDepartment of Industry, Innovation and ScienceCooperative Research Centres (CRC) Programme); National Institute for Environmental Studies (Japan); Uni Research (Norway); European Union(European Union (EU)); Natural Environment Research Council (NERC)(UK Research &amp; Innovation (UKRI)Natural Environment Research Council (NERC)); Departments for Energy and Climate Change and for Environment, Food and Rural Affairs (Defra)(Department for Environment, Food &amp; Rural Affairs (DEFRA)); NERC(UK Research &amp; Innovation (UKRI)Natural Environment Research Council (NERC)); Defra(Department for Environment, Food &amp; Rural Affairs (DEFRA)); SOCAT; Australian International Marine Observing System; U.S. Geological Survey(United States Geological Survey); National Aeronautics and Space Administration (NASA) (US); European Space Agency(European Space Agency); German Federal Ministry of Education and Research (BMBF, ICOS-D)(Federal Ministry of Education &amp; Research (BMBF)); Japanese Ministry of the Environment(Ministry of the Environment, Japan); Royal Society of New Zealand via the New Zealand-Germany Science and Technology Programme(Royal Society of New Zealand); Norwegian Research Council (SNACS)(Research Council of Norway); Swedish Research Council(Swedish Research Council); Swedish Research Council for Environment, Agricultural Sciences and Spatial Planning (Formas)(Swedish Research Council Formas); NERC(UK Research &amp; Innovation (UKRI)Natural Environment Research Council (NERC)); Directorate For Geosciences; Division Of Ocean Sciences(National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 Natural Environment Research Council(UK Research &amp; Innovation (UKRI)Natural Environment Research Council (NERC))</t>
  </si>
  <si>
    <t>Research vessel Tiglax in Columbia Bay, Alaska, is shown on the website for SOCAT version 3. The Columbia Glacier can be seen at the head of the bay, as well as calved ice from the glacier. The photo was taken by Wiley Evans. Pete Brown (National Oceanography Centre Southampton, UK) designed the SOCAT logo. IOCCP (via a US National Science Foundation grant (OCE-124 3377) to the Scientific Committee on Oceanic Research), IOC-UNESCO (International Oceanographic Commission of the United Nations Educational, Scientific and Cultural Organization), SOLAS and IMBER provided travel and meeting support. Funding was received from the University of East Anglia (UK), the Bjerknes Centre for Climate Research (Norway), the Geophysical Institute at the University of Bergen (Norway) and the University of Washington (US). The US National Oceanic and Atmospheric Administration (NOAA) made important financial contributions via the Climate Observation Division of the Climate Program Office, the NOAA Ocean Acidification Program, the NOAA Pacific Marine Environmental Laboratory (PMEL), the NOAA Atlantic Oceanographic and Meteorological Laboratory (AOML) and the NOAA Earth System Research Laboratory. Funding was also received from Oak Ridge National Laboratory (US), PANGAEA (R) Data Publisher for Earth and Environmental Science (Germany), the Alfred Wegener Institute Helmholtz Centre for Polar and Marine Research (Germany), the Antarctic Climate and Ecosystems Cooperative Research Centre (Australia), the National Institute for Environmental Studies (Japan) and Uni Research (Norway). Research projects making SOCAT possible included the European Union projects CarboChange (FP7 264879), GEOCARBON (FP7 283080) and AtlantOS (633211), the UK Ocean Acidification Research Programme (NE/H017046/1; funded by the Natural Environment Research Council (NERC) and the Departments for Energy and Climate Change and for Environment, Food and Rural Affairs (Defra)) and the UK Shelf Sea Biogeochemistry Blue Carbon project (NE/K00168X/1; funded by NERC and Defra). Numerous government and funding agencies financially supported SOCAT, notably the Australian International Marine Observing System, the U.S. Geological Survey, the National Aeronautics and Space Administration (NASA) (US), the European Space Agency, the German Federal Ministry of Education and Research (BMBF projects 01LK1224J, 01LK1101C, 01LK1101E, ICOS-D), the Japanese Ministry of the Environment, the Royal Society of New Zealand via the New Zealand-Germany Science and Technology Programme, the Norwegian Research Council (SNACS, 229752), the Swedish Research Council (project 2004-4034) and the Swedish Research Council for Environment, Agricultural Sciences and Spatial Planning (Formas, project 2004-797). This is PMEL contribution number 4441. Finally, we thank the two anonymous reviewers for their thoughtful, constructive and insightful reviews.</t>
  </si>
  <si>
    <t>10.5194/essd-8-383-2016</t>
  </si>
  <si>
    <t>DX3DM</t>
  </si>
  <si>
    <t>Green Accepted, Green Published, Green Submitted, gold</t>
  </si>
  <si>
    <t>WOS:000384253400001</t>
  </si>
  <si>
    <t>Liu, T; Li, JP; Feng, J; Wang, XF; Li, Y</t>
  </si>
  <si>
    <t>Liu, Ting; Li, Jianping; Feng, Juan; Wang, Xiaofan; Li, Yang</t>
  </si>
  <si>
    <t>Cross-Seasonal Relationship between the Boreal Autumn SAM and Winter Precipitation in the Northern Hemisphere in CMIP5</t>
  </si>
  <si>
    <t>SOUTHERN ANNULAR MODE; ANTARCTIC OSCILLATION; CLIMATE VARIABILITY; GLOBAL PRECIPITATION; GAUGE OBSERVATIONS; YANGTZE-RIVER; OCEAN; RAINFALL; CIRCULATION; ATMOSPHERE</t>
  </si>
  <si>
    <t>Recent work suggests that the boreal autumn Southern Hemisphere annular mode (SAM) favors a tripole pattern of winter precipitation anomalies in the Northern Hemisphere. This study focuses on the abilities of climate models that participated in phase 5 of the Coupled Model Intercomparison Project (CMIP5) to reproduce the physical processes involved in this observed cross-seasonal connection. A systematic evaluation suggested that 16 out of 25 models were essentially capable of reproducing this cross-seasonal connection. Two categories of models were selected to explore the underlying reasons for these successful simulations. Models that successfully simulated the cross-seasonal relationship were placed in the type-I category, and these performed well in reproducing the related physical mechanism, known as the coupled ocean atmosphere bridge, in terms of the SST variability associated with the SAM and response of the meridional circulation to these SST anomalies. In contrast, the type-II category of models showed poor performance in representing the related processes and associated feedbacks, and the model biases compromised the performance of the simulated cross seasonal relationship. These results demonstrate that the capability of the CMIP5 models to reproduce SST variability associated with the boreal autumn SAM and related coupled ocean atmosphere bridge process plays a decisive role in the successful simulation of the cross-seasonal relationship.</t>
  </si>
  <si>
    <t>[Liu, Ting] Second Inst Oceanog, State Key Lab Satellite Ocean Environm Dynam, Hangzhou, Peoples R China; [Liu, Ting; Wang, Xiaofan] Chinese Acad Sci, Inst Atmospher Phys, State Key Lab Numer Modeling Atmospher Sci &amp; Geop, Beijing, Peoples R China; [Liu, Ting; Wang, Xiaofan] Univ Chinese Acad Sci, Beijing, Peoples R China; [Li, Jianping; Feng, Juan; Li, Yang] Beijing Normal Univ, Coll Global Change &amp; Earth Syst Sci, 19 XinJieKouWai St, Beijing 100875, Peoples R China; [Li, Jianping; Feng, Juan] Joint Ctr Global Change Studies, Beijing, Peoples R China; [Li, Yang] Chengdu Univ Informat Technol, Coll Atmospher Sci, Chengdu, Peoples R China</t>
  </si>
  <si>
    <t>Ministry of Natural Resources of the People's Republic of China; Second Institute of Oceanography, Ministry of Natural Resources; Chinese Academy of Sciences; Institute of Atmospheric Physics, CAS; Chinese Academy of Sciences; University of Chinese Academy of Sciences, CAS; Beijing Normal University; Chengdu University of Information Technology</t>
  </si>
  <si>
    <t>Li, JP (corresponding author), Beijing Normal Univ, Coll Global Change &amp; Earth Syst Sci, 19 XinJieKouWai St, Beijing 100875, Peoples R China.</t>
  </si>
  <si>
    <t>ljp@bnu.edu.cn</t>
  </si>
  <si>
    <t>Li, Jianping/I-2661-2012</t>
  </si>
  <si>
    <t>Li, Yang/0000-0002-8388-9372</t>
  </si>
  <si>
    <t>973 Program [2013CB430200]; NSFC [41530424, 41405086, 41321004]</t>
  </si>
  <si>
    <t>973 Program(National Basic Research Program of China); NSFC(National Natural Science Foundation of China (NSFC))</t>
  </si>
  <si>
    <t>This work was jointly supported by the 973 Program (2013CB430200) and the NSFC Project (41530424, 41405086, and 41321004). We acknowledge the WCRP's Working Group on Coupled Modelling, which is responsible for CMIP, and the climate modeling groups listed in Table 1 for making the WCRP model output available. Comments and suggestions by three anonymous reviewers have helped us to improve the paper.</t>
  </si>
  <si>
    <t>10.1175/JCLI-D-15-0708.1</t>
  </si>
  <si>
    <t>WOS:000383828300012</t>
  </si>
  <si>
    <t>Marshall, GJ; Vignols, RM; Rees, WG</t>
  </si>
  <si>
    <t>Marshall, Gareth J.; Vignols, Rebecca M.; Rees, W. G.</t>
  </si>
  <si>
    <t>Climate Change in the Kola Peninsula, Arctic Russia, during the Last 50 Years from Meteorological Observations</t>
  </si>
  <si>
    <t>NORTH-ATLANTIC OSCILLATION; BARENTS SEA; ATMOSPHERIC CIRCULATION; INTERANNUAL VARIABILITY; TEMPERATURE; TRENDS; PRESSURE; LENGTH; CMIP5; SNOW</t>
  </si>
  <si>
    <t>The authors provide a detailed climatology and evaluation of recent climate change in the Kola Peninsula, Arctic Russia, a region influenced by both the North Atlantic and Arctic Oceans. The analysis is based on 50 years of monthly surface air temperature (SAT), precipitation (PPN), and sea level pressure (SLP) data from 10 meteorological stations for 1966-2015. Regional mean annual SAT is similar to 0 degrees C: the moderating effect of the ocean is such that coastal (inland) stations have a positive (negative) value. Examined mean annual PPN totals rise from similar to 430 mm in the northeast of the region to similar to 600 mm in the west. Annual SAT in the Kola Peninsula has increased by 2.3 degrees +/- 1.0 degrees C over the past 50 years. Seasonally, statistically significant warming has taken place in spring and fall, although the largest trend has occurred in winter. Although there has been no significant change in annual PPN, spring has become significantly wetter and fall drier. The former is associated with the only significant seasonal SLP trend (decrease). A positive winter North Atlantic Oscillation (NAO) index is generally associated with a warmer and wetter Kola Peninsula whereas a positive Siberian high (SH) index has the opposite impact. The relationship between both the NAO and SH and the SAT is broadly coherent across the region whereas their relationship with PPN varies markedly, although none of the relationships is temporally invariant. Reduced sea ice in the Barents and White Seas and associated circulation changes are likely to be the principal drivers behind the observed changes.</t>
  </si>
  <si>
    <t>[Marshall, Gareth J.; Vignols, Rebecca M.] British Antarctic Survey, Nat Environm Res Council, Cambridge, England; [Vignols, Rebecca M.; Rees, W. G.] Univ Cambridge, Scott Polar Res Inst, Cambridge, England</t>
  </si>
  <si>
    <t>UK Research &amp; Innovation (UKRI); Natural Environment Research Council (NERC); NERC British Antarctic Survey; University of Cambridge</t>
  </si>
  <si>
    <t>Marshall, GJ (corresponding author), British Antarctic Survey, Madingley Rd, Cambridge CB3 0ET, England.</t>
  </si>
  <si>
    <t>gjma@bas.ac.uk</t>
  </si>
  <si>
    <t>Rees, William Gareth/AAM-9701-2020</t>
  </si>
  <si>
    <t>Rees, William Gareth/0000-0001-6020-1232</t>
  </si>
  <si>
    <t>UK Natural Environment Research Council (NERC); NERC [NE/L002507/1]; Natural Environment Research Council [1654446, bas0100032] Funding Source: researchfish; NERC [bas0100032] Funding Source: UKRI</t>
  </si>
  <si>
    <t>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</si>
  <si>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Valery Demin for supplying the SAT and PPN data for Lovozero prior to 1985. In addition, we thank the staff at the various data portals described in section 3 for their time and effort in making the data available. GJM is supported by the UK Natural Environment Research Council (NERC) through the British Antarctic Survey research program Polar Science for Planet Earth. RMV is funded by NERC Ph.D. studentship NE/L002507/1.</t>
  </si>
  <si>
    <t>10.1175/JCLI-D-16-0179.1</t>
  </si>
  <si>
    <t>WOS:000383828300023</t>
  </si>
  <si>
    <t>Brown, KE; King, CK; Kotzakoulakis, K; George, SC; Harrison, PL</t>
  </si>
  <si>
    <t>Brown, Kathryn E.; King, Catherine K.; Kotzakoulakis, Konstantinos; George, Simon C.; Harrison, Peter L.</t>
  </si>
  <si>
    <t>Assessing fuel spill risks in polar waters: Temporal dynamics and behaviour of hydrocarbons from Antarctic diesel, marine gas oil and residual fuel oil</t>
  </si>
  <si>
    <t>Fuel spills; Water accommodated fraction; Petroleum hydrocarbon; Toxicity; Antarctic pollution</t>
  </si>
  <si>
    <t>CRUDE-OIL; PETROLEUM-HYDROCARBONS; AROMATIC-HYDROCARBONS; AQUATIC TOXICITY; ACCOMMODATED FRACTIONS; MUTUAL SOLUBILITIES; SOLUBLE COMPONENTS; ARCTIC CONDITIONS; BIODEGRADATION; EXPOSURE</t>
  </si>
  <si>
    <t>As part of risk assessment of fuel oil spills in Antarctic and subantarctic waters, this study describes partitioning of hydrocarbons from three fuels (Special Antarctic Blend diesel, SAB; marine gas oil, MGO; and intermediate grade fuel oil, IFO 180) into seawater at 0 and 5 degrees C and subsequent depletion over 7 days. Initial total hydrocarbon content (THC) of water accommodated fraction (WAF) in seawater was highest for SAB. Rates of THC loss and proportions in equivalent carbon number fractions differed between fuels and over time. THC was most persistent in IFO 180 WAFs and most rapidly depleted in MGO WAF, with depletion for SAB WAF strongly affected by temperature. Concentration and composition remained proportionate in dilution series overtime. This study significantly enhances our understanding of fuel behaviour in Antarctic and subantarctic waters, enabling improved predictions for estimates of sensitivities of marine organisms to toxic contaminants from fuels in the region. (C) 2016 Elsevier Ltd. All rights reserved.</t>
  </si>
  <si>
    <t>[Brown, Kathryn E.; Harrison, Peter L.] Southern Cross Univ, Sch Environm Sci &amp; Engn, Marine Ecol Res Ctr, POB 157, Lismore, NSW 2480, Australia; [Brown, Kathryn E.; King, Catherine K.] Australian Antarctic Div, Antarctic Conservat &amp; Management Program, Human Impacts &amp; Remediat, Kingston, Tas 7050, Australia; [Kotzakoulakis, Konstantinos; George, Simon C.] Macquarie Univ, Dept Earth &amp; Planetary Sci, N Ryde, NSW 2173, Australia</t>
  </si>
  <si>
    <t>Southern Cross University; Australian Antarctic Division; Macquarie University</t>
  </si>
  <si>
    <t>Brown, KE (corresponding author), Southern Cross Univ, Sch Environm Sci &amp; Engn, Marine Ecol Res Ctr, POB 157, Lismore, NSW 2480, Australia.</t>
  </si>
  <si>
    <t>kathryn.brown@aad.gov.au</t>
  </si>
  <si>
    <t>King, Catherine K/G-7059-2017; Brown, Kathryn/AAE-9933-2021; George, Simon Christopher/G-7134-2015; Harrison, Peter/B-4763-2011</t>
  </si>
  <si>
    <t>King, Catherine K/0000-0003-3356-0381; George, Simon Christopher/0000-0001-6534-3846; Brown, Kathryn/0000-0002-9093-8742; Harrison, Peter/0000-0002-4048-2409</t>
  </si>
  <si>
    <t>Australian Antarctic Science grant [AAS 3054]; Australian Postgraduate Award; Endeavour Postgraduate Award; Australian Antarctic Division</t>
  </si>
  <si>
    <t>Australian Antarctic Science grant; Australian Postgraduate Award(Australian Government); Endeavour Postgraduate Award; Australian Antarctic Division</t>
  </si>
  <si>
    <t>The Australian Antarctic Division is thanked for their substantial financial, logistical and scientific support of this work, especially Lauren Wise, Greg Hince, Sarah Payne, Ashley Cooper and Debbie Lang. Thanks to Jane Wasley for her valuable comments on an earlier draft manuscript. We are grateful to an anonymous reviewer for comments on the original manuscript which substantially improved the final paper. This research was funded through an Australian Antarctic Science grant AAS 3054 (PLH, CKK and SCG), an Australian Postgraduate Award (KEB), and an Endeavour Postgraduate Award (KK).</t>
  </si>
  <si>
    <t>10.1016/j.marpolbul.2016.06.042</t>
  </si>
  <si>
    <t>WOS:000382339900048</t>
  </si>
  <si>
    <t>Fazey, FMC; Ryan, PG</t>
  </si>
  <si>
    <t>Fazey, Francesca M. C.; Ryan, Peter G.</t>
  </si>
  <si>
    <t>Debris size and buoyancy influence the dispersal distance of stranded litter</t>
  </si>
  <si>
    <t>Marine debris; Microplastics; Dispersal; Flotation; Size; Biofouling; South Africa; South Atlantic</t>
  </si>
  <si>
    <t>PLASTIC DEBRIS; MARINE; ACCUMULATION; MICROPLASTICS; ORIGIN; NORTH</t>
  </si>
  <si>
    <t>Recent at sea surveys of floating macro-debris in the southeast Atlantic Ocean found that debris increases in size with distance from shore, suggesting that many smaller items, which dominate litter close to urban source areas, sink before dispersing far into the ocean. We test whether this pattern is evident in beach litter in the same region. Freshly stranded beach litter was collected at increasing distances (0 km, 100 km, 200 km and 2800 km) from Cape Town, a major urban litter source. Mean size and buoyancy of litter items increased significantly with distance from Cape Town. Size-specific sedimentation due to the ballasting effect of biofouling is a plausible explanation for the disappearance of smaller, less buoyant items. Our results provide further evidence that many low buoyancy items sink and support the hypothesis that size and buoyancy are strong predictors of dispersal distance for floating debris. (C) 2016 Elsevier Ltd. All rights reserved.</t>
  </si>
  <si>
    <t>[Fazey, Francesca M. C.; Ryan, Peter G.] Univ Cape Town, Percy Fitzpatrick Inst African Ornithol, DST NRF Ctr Excellence, ZA-7701 Rondebosch, South Africa</t>
  </si>
  <si>
    <t>University of Cape Town; National Research Foundation - South Africa</t>
  </si>
  <si>
    <t>Fazey, FMC (corresponding author), Univ Cape Town, Percy Fitzpatrick Inst African Ornithol, DST NRF Ctr Excellence, ZA-7701 Rondebosch, South Africa.</t>
  </si>
  <si>
    <t>francescafazey@gmail.com</t>
  </si>
  <si>
    <t>National Research Foundation</t>
  </si>
  <si>
    <t>We thank Jan Bradley, Ben Dilley and Carmen Ferreira for assistance with fieldwork and Dr Delielah Jappie and Carol Stanley of the University of Cape Town's Chemistry Department for the use of their equipment and facilities.The study was facilitated by the University of Cape Town; samples from Tristan da Cunha and Gough Islands were collected with permission from the Tristan Conservation Department, under the aegis of the South African National Antarctic Programme, with support from the National Research Foundation.</t>
  </si>
  <si>
    <t>10.1016/j.marpolbul.2016.06.039</t>
  </si>
  <si>
    <t>WOS:000382339900051</t>
  </si>
  <si>
    <t>Mindel, BL; Neat, FC; Trueman, CN; Webb, TJ; Blanchard, JL</t>
  </si>
  <si>
    <t>Mindel, Beth L.; Neat, Francis C.; Trueman, Clive N.; Webb, Thomas J.; Blanchard, Julia L.</t>
  </si>
  <si>
    <t>Functional, size and taxonomic diversity of fish along a depth gradient in the deep sea</t>
  </si>
  <si>
    <t>Bathymetry; Deep scattering layer; Environmental gradient; Morphometrics; Rockall Trough; Trait-based approach; Demersal fish; Continental slope; Biodiversity; Functional role</t>
  </si>
  <si>
    <t>BODY-SIZE; SPECIES RICHNESS; LIMITING SIMILARITY; COMMUNITY ECOLOGY; TRAITS; BIODIVERSITY; PREY; PATTERNS; REVEALS; DISTINCTNESS</t>
  </si>
  <si>
    <t>Biodiversity is well studied in ecology and the concept has been developed to include traits of species, rather than solely taxonomy, to better reflect the functional diversity of a system. The deep sea provides a natural environmental gradient within which to study changes in different diversity metrics, but traits of deep-sea fish are not widely known, hampering the application of functional diversity to this globally important system. We used morphological traits to determine the functional richness and functional divergence of demersal fish assemblages along the continental slope in the Northeast Atlantic, at depths of 300-2,000 m. We compared these metrics to size diversity based on individual body size and species richness. Functional richness and size diversity showed similar patterns, with the highest diversity at intermediate depths; functional divergence showed the opposite pattern, with the highest values at the shallowest and deepest parts of the study site. Species richness increased with depth. The functional implications of these patterns were deduced by examining depth-related changes in morphological traits and the dominance of feeding guilds as illustrated by stable isotope analyses. The patterns in diversity and the variation in certain morphological traits can potentially be explained by changes in the relative dominance of pelagic and benthic feeding guilds. All measures of diversity examined here suggest that the deep areas of the continental slope may be equally or more diverse than assemblages just beyond the continental shelf.</t>
  </si>
  <si>
    <t>[Mindel, Beth L.; Webb, Thomas J.] Univ Sheffield, Dept Anim &amp; Plant Sci, Sheffield, S Yorkshire, England; [Neat, Francis C.] Scottish Govt, Marine Scotland, Aberdeen, Scotland; [Trueman, Clive N.] Univ Southampton, Ocean &amp; Earth Sci, Southampton, Hants, England; [Blanchard, Julia L.] Univ Tasmania, Inst Marine &amp; Antarctic Studies, Hobart, Tas, Australia</t>
  </si>
  <si>
    <t>University of Sheffield; Marine Scotland Science (MSS); University of Southampton; University of Tasmania</t>
  </si>
  <si>
    <t>Mindel, BL (corresponding author), Univ Sheffield, Dept Anim &amp; Plant Sci, Sheffield, S Yorkshire, England.</t>
  </si>
  <si>
    <t>b.l.mindel@gmail.com</t>
  </si>
  <si>
    <t>Blanchard, Julia L/E-4919-2010; Trueman, Clive N/E-6925-2011; Webb, Tom/D-5224-2011</t>
  </si>
  <si>
    <t>Blanchard, Julia/0000-0003-0532-4824; Neat, Francis/0000-0003-0077-9088; Webb, Tom/0000-0003-3183-8116; Trueman, Clive N./0000-0002-4995-736X; Mindel, Beth/0000-0002-8383-0565</t>
  </si>
  <si>
    <t>Natural Environment Research Council; CASE studentship; Natural Environment Research Council [1233704] Funding Source: researchfish</t>
  </si>
  <si>
    <t>Natural Environment Research Council(UK Research &amp; Innovation (UKRI)Natural Environment Research Council (NERC)); CASE studentship; Natural Environment Research Council(UK Research &amp; Innovation (UKRI)Natural Environment Research Council (NERC))</t>
  </si>
  <si>
    <t>This work was performed as part of the Beth L. Mindel's PhD which was funded by the Natural Environment Research Council and supplemented by Marine Scotland under the CASE studentship scheme. Marine Scotland collected and provided the survey data used in this study.</t>
  </si>
  <si>
    <t>e2387</t>
  </si>
  <si>
    <t>10.7717/peerj.2387</t>
  </si>
  <si>
    <t>DX1RG</t>
  </si>
  <si>
    <t>WOS:000384144100003</t>
  </si>
  <si>
    <t>Patton, H; Swift, DA; Clark, CD; Livingstone, SJ; Cook, SJ</t>
  </si>
  <si>
    <t>Patton, H.; Swift, D. A.; Clark, C. D.; Livingstone, S. J.; Cook, S. J.</t>
  </si>
  <si>
    <t>Distribution and characteristics of overdeepenings beneath the Greenland and Antarctic ice sheets: Implications for overdeepening origin and evolution</t>
  </si>
  <si>
    <t>Glacial erosion; Landscape evolution; Overdeepening; Geomorphology; Ice sheet</t>
  </si>
  <si>
    <t>GLACIAL EROSION; FJORD LANDSCAPES; EAST ANTARCTICA; NEW-ZEALAND; BED; SEDIMENT; VALLEYS; PRESERVATION; FEEDBACKS; STABILITY</t>
  </si>
  <si>
    <t>Glacier bed overdeepenings are ubiquitous in glacier systems and likely exert significant influence on ice dynamics, subglacial hydrology, and ice stability. Understanding of overdeepening formation and evolution has been hampered by an absence of quantitative empirical studies of their distribution and morphology, with process insights having been drawn largely from theoretical or numerical studies. To address this shortcoming, we first map the distribution of potential overdeepenings beneath the Antarctic and Greenland ice sheets using a GIS-based algorithm that identifies closed-contours in the bed topography and then describe and analyse the characteristics and metrics of a subset of overdeepenings that pass further quality control criteria. Overdeepenings are found to be widespread, but are particularly associated with areas of topographically laterally constrained ice flow, notably near the ice sheet margins where outlet systems follow deeply incised troughs. Overdeepenings also occur in regions of topographically unconstrained ice flow (for example, beneath the Siple Coast ice streams and on the Greenland continental shelf). Metrics indicate that overdeepening growth is generally allometric and that topographic confinement of ice flow in general enhances overdeepening depth. However, over deepening depth is skewed towards shallow values - typically 200-300 m - indicating that the rate of deepening slows with overdeepening age. This is reflected in a decline in adverse slope steepness with increasing overdeepening planform size. Finally, overdeepening long-profiles are found to support headward quarrying as the primary factor in overdeepening development. These observations support proposed negative feedbacks related to hydrology and sediment transport that stabilise overdeepening growth through sedimentation on the adverse slope but permit continued overdeepening planform enlargement by processes of headward erosion. (C) 2016 The Authors. Published by Elsevier Ltd.</t>
  </si>
  <si>
    <t>[Patton, H.; Swift, D. A.; Clark, C. D.; Livingstone, S. J.] Univ Sheffield, Dept Geog, Winter St, Sheffield S10 2TN, S Yorkshire, England; [Patton, H.] UiT Arctic Univ Norway, Dept Geol, CAGE Ctr Arctic Gas Hydrate Environm &amp; Climate, N-9037 Tromso, Norway; [Cook, S. J.] Manchester Metropolitan Univ, Sch Sci &amp; Environm, Chester St, Manchester M1 5GD, Lancs, England</t>
  </si>
  <si>
    <t>University of Sheffield; UiT The Arctic University of Tromso; Manchester Metropolitan University</t>
  </si>
  <si>
    <t>Swift, DA (corresponding author), Univ Sheffield, Dept Geog, Winter St, Sheffield S10 2TN, S Yorkshire, England.</t>
  </si>
  <si>
    <t>d.a.swift@sheffield.ac.uk</t>
  </si>
  <si>
    <t>Cook, Simon/AAP-9358-2021; Swift, Darrel A/A-3476-2009; Patton, Henry/H-7525-2019; Cook, Simon/J-2393-2012; Clark, Chris D/C-3830-2009</t>
  </si>
  <si>
    <t>Cook, Simon/0000-0003-1532-6532; Swift, Darrel A/0000-0001-5320-5104; Patton, Henry/0000-0001-9670-611X; Cook, Simon/0000-0003-1532-6532; Livingstone, Stephen/0000-0002-7240-5037</t>
  </si>
  <si>
    <t>Nagra [11'716 Fcu/bys]; Research Council of Norway [223259]; PetroMaks project Glaciations in the Barents Sea area (GlaciBar) [200672]</t>
  </si>
  <si>
    <t>Nagra; Research Council of Norway(Research Council of Norway); PetroMaks project Glaciations in the Barents Sea area (GlaciBar)</t>
  </si>
  <si>
    <t>DAS thanks the National Cooperative for the Disposal of Radioactive Waste (Nagra), Switzerland, for their role in stimulating new research on the topic of focused glacial erosion, and DAS and HP further thank Nagra for funding the quantitative study of over deepening morphology on which this paper is based (grant 11'716 Fcu/bys). HP also acknowledges support by the Research Council of Norway through its Centres of Excellence funding scheme (grant 223259) and the PetroMaks project Glaciations in the Barents Sea area (GlaciBar) (grant 200672). J.L. Bamber is thanked for access to the Greenland bed elevation dataset and F. Pattyn for providing modelled data relating to Antarctic basal thermal regime. Discussions with Andrew Sole and Jeremy Ely helped to advance ideas included in this study and we also acknowledge the valuable contribution made by participants of the overdeepening workshop held at the University of Sheffield in September 2013. Reviews by Roger Hooke and Stewart Jamieson resulted in substantial improvement to the manuscript and the quality of the dataset.</t>
  </si>
  <si>
    <t>10.1016/j.quascirev.2016.07.012</t>
  </si>
  <si>
    <t>WOS:000383313100010</t>
  </si>
  <si>
    <t>Parkinson, CL; DiGirolamo, NE</t>
  </si>
  <si>
    <t>Parkinson, Claire L.; DiGirolamo, Nicolo E.</t>
  </si>
  <si>
    <t>New visualizations highlight new information on the contrasting Arctic and Antarctic sea-ice trends since the late 1970s</t>
  </si>
  <si>
    <t>REMOTE SENSING OF ENVIRONMENT</t>
  </si>
  <si>
    <t>Sea ice; Arctic sea ice; Antarctic sea ice; Global sea ice; Climate trends; Sea-ice record lows and highs; Satellite remote sensing</t>
  </si>
  <si>
    <t>VARIABILITY; THICKNESS; COVER</t>
  </si>
  <si>
    <t>Month-by-month ranking of 37 years (1979-2015) of satellite-derived sea-ice extents in the Arctic and Antarctic reveals interesting new details in the overall trends toward decreasing sea-ice coverage in the Arctic and increasing sea-ice coverage in the Antarctic. The Arctic decreases are so definitive that there has not been a monthly record high in Arctic sea-ice extents in any month since 1986, a time period during which there have been 75 monthly record lows. The Antarctic, with the opposite but weaker trend toward increased ice extents, experienced monthly record lows in 5 months of 1986, then 6 later monthly record lows scattered through the dataset, with the last two occurring in 2006, versus 45 record highs since 1986. However, in the last three years of the 1979-2015 dataset, the downward trends in Arctic sea-ice extents eased up, with no new record lows in any month of 2013 or 2014 and only one record low in 2015, while the upward trends in Antarctic ice extents notably strengthened, with new record high ice extents in 4 months (August-November) of 2013, in 6 months (April-September) of 2014, and in 3 months (January, April, and May) of 2015. Globally, there have been only 3 monthly record highs since 1986 (only one since 1988), whereas there have been 43 record lows, although the last record lows (in the 1979-2015 dataset) occurred in 2012. Published by Elsevier Inc.</t>
  </si>
  <si>
    <t>[Parkinson, Claire L.; DiGirolamo, Nicolo E.] NASA, Goddard Space Flight Ctr, Cryospher Sci Lab, Code 615, Greenbelt, MD 20771 USA; [DiGirolamo, Nicolo E.] SSAI, Lanham, MD USA</t>
  </si>
  <si>
    <t>National Aeronautics &amp; Space Administration (NASA); NASA Goddard Space Flight Center</t>
  </si>
  <si>
    <t>Parkinson, CL (corresponding author), NASA, Goddard Space Flight Ctr, Cryospher Sci Lab, Code 615, Greenbelt, MD 20771 USA.</t>
  </si>
  <si>
    <t>Claire.L.Parkinson@nasa.gov</t>
  </si>
  <si>
    <t>Parkinson, Claire L/E-1747-2012; Parkinson, Claire/JAC-7676-2023</t>
  </si>
  <si>
    <t>Parkinson, Claire L/0000-0001-6730-4197; Parkinson, Claire/0000-0001-6730-4197</t>
  </si>
  <si>
    <t>NASA Earth Science Division, through the NASA Cryosphere Program; Earth Observing System Project Science Office</t>
  </si>
  <si>
    <t>We greatly appreciate the helpful reviews of two anonymous reviewers and the funding provided for this work by the NASA Earth Science Division, through the NASA Cryosphere Program and the Earth Observing System Project Science Office.</t>
  </si>
  <si>
    <t>0034-4257</t>
  </si>
  <si>
    <t>1879-0704</t>
  </si>
  <si>
    <t>REMOTE SENS ENVIRON</t>
  </si>
  <si>
    <t>Remote Sens. Environ.</t>
  </si>
  <si>
    <t>10.1016/j.rse.2016.05.020</t>
  </si>
  <si>
    <t>Environmental Sciences; Remote Sensing; Imaging Science &amp; Photographic Technology</t>
  </si>
  <si>
    <t>Environmental Sciences &amp; Ecology; Remote Sensing; Imaging Science &amp; Photographic Technology</t>
  </si>
  <si>
    <t>DU6SR</t>
  </si>
  <si>
    <t>WOS:000382345400016</t>
  </si>
  <si>
    <t>Chamizo, E; López-Lora, M; Bressac, M; Levy, I; Pham, MK</t>
  </si>
  <si>
    <t>Chamizo, E.; Lopez-Lora, M.; Bressac, M.; Levy, I.; Pham, M. K.</t>
  </si>
  <si>
    <t>Excess of 236U in the northwest Mediterranean Sea</t>
  </si>
  <si>
    <t>U-236; Seawater; Western Mediterranean Sea; AMS; Saharan dust outbreaks</t>
  </si>
  <si>
    <t>PLASMA-MASS SPECTROMETRY; GEOSECS PROGRAM; OCEANIC TRACER; DEPTH PROFILE; PLUTONIUM; PRECONCENTRATION; U-236/U-238; PERSPECTIVE; SEPARATION; CHERNOBYL</t>
  </si>
  <si>
    <t>In this work, we present first U-236 results in the northwestern Mediterranean. U-236 is studied in a seawater column sampled at DYFAMED (Dynamics of Atmospheric Fluxes in the Mediterranean Sea) station (Ligurian Sea, 43 degrees 25'N, 07 degrees 52'E). The obtained U-236/U-238 atom ratios in the dissolved phase, ranging from about 2 x 10(-9) at 100 m depth to about 1.5 x 10(-9) at 2350 m depth, indicate that anthropogenic U-236 dominates the whole seawater column. The corresponding deep-water column inventory (12.6 ng/m(2) or 32.1 x 10(12) atoms/m(2)) exceeds by a factor of 2.5 the expected one for global fallout at similar latitudes (5 ng/m(2) or 13x 10(12) atoms/m(2)), evidencing the influence of local or regional U-236 sources in the western Mediterranean basin. On the other hand, the input of U-236 associated to Saharan dust outbreaks is evaluated. An additional U-236 annual deposition of about 0.2 pg/m(2) based on the study of atmospheric particles collected in Monaco during different Saharan dust intrusions is estimated. The obtained results in the corresponding suspended solids collected at DYFAMED station indicate that about 64% of that U-236 stays in solution in seawater. Overall, this source accounts for about 0.1% of the U-236 inventory excess observed at DYFAMED station. The influence of the so-called Chernobyl fallout and the radioactive effluents produced by the different nuclear installations allocated to the Mediterranean basin, might explain the inventory gap, however, further studies are necessary to come to a conclusion about its origin. (C) 2016 Elsevier B.V. All rights reserved.</t>
  </si>
  <si>
    <t>[Chamizo, E.; Lopez-Lora, M.] Univ Seville, CSIC, Ctr Nacl Aceleradores, Thomas Alva Edison 7, Seville 41092, Spain; [Bressac, M.; Levy, I.; Pham, M. K.] IAEA Environm Labs, MC-98000 Monte Carlo, Monaco; [Bressac, M.] Univ Tasmania, Inst Marine &amp; Antarctic Studies, Hobart, Tas, Australia</t>
  </si>
  <si>
    <t>Consejo Superior de Investigaciones Cientificas (CSIC); University of Sevilla; CSIC - Centro Nacional de Aceleradores (CNA); University of Tasmania</t>
  </si>
  <si>
    <t>Chamizo, E (corresponding author), Univ Seville, CSIC, Ctr Nacl Aceleradores, Thomas Alva Edison 7, Seville 41092, Spain.</t>
  </si>
  <si>
    <t>echamizo@us.es; mlopezlora@us.es; matthieu.bressac@utas.edu.au; I.N.Levy@iaea.org; M.Pham@iaea.org</t>
  </si>
  <si>
    <t>López Lora, Mercedes/AIB-6730-2022; López-Lora, Mercedes/AAE-3924-2019; Chamizo, Elena/G-5100-2015</t>
  </si>
  <si>
    <t>López-Lora, Mercedes/0000-0003-2124-5077; Chamizo, Elena/0000-0001-8266-6129; Bressac, Matthieu/0000-0003-3075-3137</t>
  </si>
  <si>
    <t>Spanish Ministry of Economy and Competitiveness [FIS2012-31853, FIS2015-69673-P]; Government of the Principality of Monaco</t>
  </si>
  <si>
    <t>Spanish Ministry of Economy and Competitiveness(Spanish Government); Government of the Principality of Monaco</t>
  </si>
  <si>
    <t>This work has been financed through the projects FIS2012-31853 and FIS2015-69673-P, provided by the Spanish Ministry of Economy and Competitiveness. The IAEA is grateful to the Government of the Principality of Monaco for the support provided to its Environment Laboratories.</t>
  </si>
  <si>
    <t>10.1016/j.scitotenv.2016.04.142</t>
  </si>
  <si>
    <t>DP0UV</t>
  </si>
  <si>
    <t>WOS:000378206300078</t>
  </si>
  <si>
    <t>Huang, T; Yang, LJ; Chu, ZD; Sun, LG; Yin, XJ</t>
  </si>
  <si>
    <t>Huang, Tao; Yang, Lianjiao; Chu, Zhuding; Sun, Liguang; Yin, Xijie</t>
  </si>
  <si>
    <t>Geochemical record of high emperor penguin populations during the Little Ice Age at Amanda Bay, Antarctica</t>
  </si>
  <si>
    <t>Emperor penguin; Stable isotope analysis; Bio-elements; Little Ice Age; Foraging habitat; Sea ice</t>
  </si>
  <si>
    <t>APTENODYTES-FORSTERI; SOUTHERN-OCEAN; ADELIE PENGUINS; CLIMATE-CHANGE; ROSS SEA; CARBON; DIET; COLONIES; FOOD; PALEOECOLOGY</t>
  </si>
  <si>
    <t>Emperor penguins (Aptenodytes forsteri) are sensitive to the Antarctic climate change because they breed on the fast sea ice. Studies of paleohistory for the emperor penguin are rare, due to the lack of archives on land. In this study, we obtained an emperor penguin ornithogenic sediment profile (PI) and performed geochronological, geochemical and stable isotope analyses on the sediments and feather remains. Two radiocarbon dates of penguin feathers in PI indicate that emperor penguins colonized Amanda Bay as early as CE 1540. By using the bio-elements (P, Se, Hg, Zn and Cd) in sediments and stable isotope values (delta N-15 and delta C-13) in feathers, we inferred relative population size and dietary change of emperor penguins during the period of CE 1540-2008, respectively. An increase in population size with depleted N isotope ratios for emperor penguins on N island at Amanda Bay during the Little Ice Age (CE 1540-1866) was observed, suggesting that cold climate affected the penguin's breeding habitat, prey availability and thus their population and dietary composition. (C) 2016 Elsevier B.V. All rights reserved.</t>
  </si>
  <si>
    <t>[Huang, Tao] Anhui Univ, Sch Resources &amp; Environm Engn, Hefei 230601, Peoples R China; [Huang, Tao; Yang, Lianjiao; Chu, Zhuding; Sun, Liguang] Univ Sci &amp; Technol China, Sch Earth &amp; Space Sci, Hefei 230026, Peoples R China; [Yin, Xijie] State Ocean Adm, Inst Oceanog 3, Xiamen 361005, Peoples R China</t>
  </si>
  <si>
    <t>Anhui University; Chinese Academy of Sciences; University of Science &amp; Technology of China, CAS; Third Institute of Oceanography, Ministry of Natural Resources</t>
  </si>
  <si>
    <t>Huang, T (corresponding author), Anhui Univ, Sch Resources &amp; Environm Engn, Hefei 230601, Peoples R China.;Huang, T; Sun, LG (corresponding author), Univ Sci &amp; Technol China, Sch Earth &amp; Space Sci, Hefei 230026, Peoples R China.</t>
  </si>
  <si>
    <t>huangt@ahu.edu.cn; slg@ustc.edu.cn</t>
  </si>
  <si>
    <t>Huang, Tao/AAD-8866-2022</t>
  </si>
  <si>
    <t>Huang, Tao/0000-0001-5035-1632</t>
  </si>
  <si>
    <t>National Natural Science Foundation of China [41476165, 41106162]; Chinese Polar Environment Comprehensive Investigation AMP; Assessment Programmes [CHINA RE2016-02-01, CHINARE2016-04-04]; Anhui Provincial Natural Science Foundation [1308085MD56]; High-level scientific research foundation for the introduction of talent in Anhui University [J01006033]</t>
  </si>
  <si>
    <t>National Natural Science Foundation of China(National Natural Science Foundation of China (NSFC)); Chinese Polar Environment Comprehensive Investigation AMP; Assessment Programmes; Anhui Provincial Natural Science Foundation(Natural Science Foundation of Anhui Province); High-level scientific research foundation for the introduction of talent in Anhui University</t>
  </si>
  <si>
    <t>This work was supported by National Natural Science Foundation of China (Nos. 41476165 and 41106162), Chinese Polar Environment Comprehensive Investigation &amp; Assessment Programmes (CHINA RE2016-02-01, CHINARE2016-04-04), Anhui Provincial Natural Science Foundation (1308085MD56) and the High-level scientific research foundation for the introduction of talent in Anhui University (J01006033). We thank the Chinese Arctic and Antarctic Administration and Polar Research Institute of China for logistical support and Drs. Tang Jie and Lu Changgui for help in field work.</t>
  </si>
  <si>
    <t>10.1016/j.scitotenv.2016.05.166</t>
  </si>
  <si>
    <t>WOS:000378206300121</t>
  </si>
  <si>
    <t>Song, XK; Xiao, ZF; Gravili, C; Ruthensteiner, B; Mackenzie, M; Wang, SQ; Chen, JJ; Yu, N; Wang, JJ</t>
  </si>
  <si>
    <t>Song, Xikun; Xiao, Zefeng; Gravili, Cinzia; Ruthensteiner, Bernhard; Mackenzie, Melanie; Wang, Shaoqing; Chen, Jinjing; Yu, Nan; Wang, Jianjun</t>
  </si>
  <si>
    <t>Worldwide revision of the genus Fraseroscyphus Boero and Bouillon, 1993 (Cnidaria: Hydrozoa): an integrative approach to establish new generic diagnoses</t>
  </si>
  <si>
    <t>Sertulariidae; molecular phylogenetics; sequence polymorphism; biogeography; transoceanic distribution</t>
  </si>
  <si>
    <t>RECENT ANTARCTIC EXPEDITIONS; HYDROIDS CNIDARIA; SERTULARIIDAE; DNA; PHYLOGENETICS; POLYMORPHISM; POLARSTERN; DIVERSITY; INFERENCE; ALIGNMENT</t>
  </si>
  <si>
    <t>The morphological character of the hydrocladium and gonotheca origin from within the hydrothecal cavity has rarely been applied for generic diagnoses in hydrozoans. Its taxonomic value has been controversial for more than a century. The genus Fraseroscyphus Boero and Bouillon, 1993 (Hydrozoa: Sertulariidae) is a relatively recently debated case and it has been distinguished from Symplectoscyphus Marktanner-Turneretscher, 1890 based on this character. A review of this character in all published nominal species of the family Sertulariidae reveals that its occurrence is inconsistent at the genus level. However, phylogenetic analyses based on mitochondrial (16S) and nuclear (18S, 28S) genes support the position of Fraseroscyphus as a genus within the family Symplectoscyphidae Maronna et al., 2016. Comparisons of 16 morphological characters of 10 related species support the distinction of Fraseroscyphus from Antarctoscyphus and Symplectoscyphus by other characters in addition to the hydrocladial and gonothecal origin character. These new characters include the rarely-branched hydrocaulus, the absence of an apophysis, and the absence of an axillary hydrotheca. Furthermore, a revision based on the morphological character complex mentioned above using type and topotypic material, demonstrated that Sertularella sinuosa Fraser, 1948 (type species of Fraseroscyphus) and Symplectoscyphus huanghaiensis Tang &amp; Huang, 1986 are junior synonyms of F. hozawai (Stechow, 1931) comb. nov. The assignment of Sertularella irregularis Trebil-cock, 1928 and Sertularella macrogona Trebilcock, 1928 to Fraseroscyphus is also supported. In addition, sequence polymorphism of mitochondrial genes even within a single hydroid fragment was detected by the molecular cloning method, and is probably in part attributable to errors introduced by PCR, mitochondrial heteroplasmy and/or nuclear mitochondrial DNA (NUMTs). The adoption of the cloning method may be crucial to improve the sequence accuracy for some colonial hydrozoans.</t>
  </si>
  <si>
    <t>[Song, Xikun; Wang, Shaoqing] Chinese Acad Sci, Inst Oceanol, Dept Marine Organism Taxon &amp; Phylogeny, 7 Nanhai Rd, Qingdao 266071, Peoples R China; [Song, Xikun; Wang, Shaoqing] Chinese Acad Sci, Inst Oceanol, Marine Biol Museum, 7 Nanhai Rd, Qingdao 266071, Peoples R China; [Song, Xikun] Univ Chinese Acad Sci, Beijing 100049, Peoples R China; [Song, Xikun; Wang, Jianjun] State Ocean Adm, Inst Oceanog 3, 178 Daxue Rd, Xiamen 361005, Peoples R China; [Xiao, Zefeng] Liaocheng Univ, Sch Life Sci, 1 Hunan Rd, Liaocheng 252059, Peoples R China; [Gravili, Cinzia] Univ Salento, Dipartimento Sci &amp; Tecnol Biol &amp; Ambientali, I-73100 Lecce, Italy; [Ruthensteiner, Bernhard] Bavarian State Collect Zool, Muenchhausenstr 21, D-81247 Munich, Germany; [Mackenzie, Melanie] Museum Victoria, Marine Invertebrates Sci Dept, GPO Box 666, Melbourne, Vic 3001, Australia; [Chen, Jinjing; Yu, Nan] Ocean Univ China, Coll Marine Life Sci, 5 Yushan Rd, Qingdao 266003, Peoples R China</t>
  </si>
  <si>
    <t>Chinese Academy of Sciences; Institute of Oceanology, CAS; Chinese Academy of Sciences; Institute of Oceanology, CAS; Chinese Academy of Sciences; University of Chinese Academy of Sciences, CAS; Third Institute of Oceanography, Ministry of Natural Resources; Liaocheng University; University of Salento; Museum Victoria; Melbourne Genomics Health Alliance; Ocean University of China</t>
  </si>
  <si>
    <t>Wang, JJ (corresponding author), State Ocean Adm, Inst Oceanog 3, 178 Daxue Rd, Xiamen 361005, Peoples R China.;Ruthensteiner, B (corresponding author), Bavarian State Collect Zool, Muenchhausenstr 21, D-81247 Munich, Germany.</t>
  </si>
  <si>
    <t>BRuthensteiner@zsm.mwn.de; wangjianjun220@tio.org.cn</t>
  </si>
  <si>
    <t>Song, Xikun/ABA-9101-2021</t>
  </si>
  <si>
    <t>Song, Xikun/0000-0002-3335-0029</t>
  </si>
  <si>
    <t>UCAS; IOCAS; Project of Chinese Polar Scientific Research (CHINARE); Science and Technology Developmental Plan of Shandong Province [2012GHY11537]; Polar Science Strategic Research Foundation of China [20140309]; Chinese Polar Environment Comprehensive Investigation and Assessment Programs (CHINARE) [2014-03-05]; National Natural Science Foundation of China [41306115, 41306116]; Resource-sharing Platform of Polar Samples</t>
  </si>
  <si>
    <t>UCAS; IOCAS; Project of Chinese Polar Scientific Research (CHINARE); Science and Technology Developmental Plan of Shandong Province; Polar Science Strategic Research Foundation of China; Chinese Polar Environment Comprehensive Investigation and Assessment Programs (CHINARE); National Natural Science Foundation of China(National Natural Science Foundation of China (NSFC)); Resource-sharing Platform of Polar Samples</t>
  </si>
  <si>
    <t>We thank Museum Victoria for loan of type material, the editors, Drs Louise Allcock, Julia Sigwart (Journal of Natural History, since Nov. 2014) and Allen Collins (Zootaxa), the reviewers, Dr Dale Calder (Royal Ontario Museum, Canada) and other five anonymous reviewers for revisions, Drs Zongze Shao, Zhaobin Huang (TIOSOA) and Dr Caihuan Ke, Miaoqin Huang, Min Li (Xiamen University) for assisting in molecular analyses, Drs Maximiliano Maronna and Antonio Marques (University of Sao Paulo) for sequences, Dr Peter Schuchert (Museum d'histoire naturelle de Geneve) for primers, Prof. Ferdinando Boero (Universita del Salento), Dr Chenlin Liu (FIOSOA), Dr Daniel Geiger and curator Patricia Sadeghian (Santa Barbara Museum of Natural History), Miss Christina Piotrowski and Kelly Markello (IZG, California Academy of Sciences), Dr Jung Hee Park (University of Suwon) and Dr Horia Galea (Hydrozoan Research Laboratory) for samples and images. XKS wishes to express sincere thanks to his supervisor Academician Ruiyu Liu (1922-2012), to Lu Fang, Xiongxiong Sun, Rongrong Gao (Ocean University of China), Gaoyang Li, Wei Lin (Xiamen University) and other members of his team. This work was supported by the PhD scholarship from UCAS and IOCAS to XKS; the Project of Chinese Polar Scientific Research (CHINARE 2012-2015); the Science and Technology Developmental Plan of Shandong Province (2012GHY11537); the Resource-sharing Platform of Polar Samples (http://birds.chinare.org.cn) maintained by the Polar Research Institute of China (PRIC) and the Chinese National Arctic &amp; Antarctic Data Center (CN-NADC); the Polar Science Strategic Research Foundation of China (20140309); the Chinese Polar Environment Comprehensive Investigation and Assessment Programs (CHINARE2011-2015, 2014-03-05); and the National Natural Science Foundation of China (41306115, 41306116). This is the Queen Team scientific report QT01 in memory of Drs Jean Bouillon and Ruiyu Liu.</t>
  </si>
  <si>
    <t>SEP 14</t>
  </si>
  <si>
    <t>10.11646/zootaxa.4168.1.1</t>
  </si>
  <si>
    <t>DV8MA</t>
  </si>
  <si>
    <t>WOS:000383189900001</t>
  </si>
  <si>
    <t>Krafft, BA; Krag, LA; Engås, A; Nordrum, S; Bruheim, I; Herrmann, B</t>
  </si>
  <si>
    <t>Krafft, Bjorn A.; Krag, Ludvig A.; Engas, Arill; Nordrum, Sigve; Bruheim, Inge; Herrmann, Bent</t>
  </si>
  <si>
    <t>Quantifying the Escape Mortality of Trawl Caught Antarctic Krill (Euphausia superba)</t>
  </si>
  <si>
    <t>BEAM-TRAWL; SURVIVAL; DISCARDS; CODEND; MODEL; SEA; FISHERIES; SELECTION; ECOSYSTEM; CAPTURE</t>
  </si>
  <si>
    <t>Antarctic krill (Euphausia superba) is an abundant fishery resource, the harvest levels of which are expected to increase. However, many of the length classes of krill can escape through commonly used commercial trawl mesh sizes. A vital component of the overall management of a fishery is to estimate the total fishing mortalityand quantify the mortality rate of individuals that escape from fishing gear. The methods for determining fishing mortality in krill are still poorly developed. We used a covered codend sampling technique followed by onboard observations made in holding tanks to monitor mortality rates of escaped krill. Haul duration, hydrological conditions, maximum fishing depth and catch composition all had no significant effect on mortality of krill escaping 16 mm mesh size nets, nor was any further mortality associated with the holding tank conditions. A non-parametric Kaplan-Meier analysis was used to model the relationship between mortality rates of escapees and time. There was a weak tendency, though not significant, for smaller individuals to suffer higher mortality than larger individuals. The mortality of krill escaping the trawl nets in our study was 4.4 +/- 4.4%, suggesting that krill are fairly tolerant of the capture-and-escape process in trawls.</t>
  </si>
  <si>
    <t>[Krafft, Bjorn A.; Engas, Arill] Inst Marine Res, Bergen, Norway; [Krag, Ludvig A.] Tech Univ Denmark, DTU Aqua, Hirtshals, Denmark; [Nordrum, Sigve] Aker BioMarineAS, Oslo, Norway; [Bruheim, Inge] RimfrostAS, Fosnavag, Norway; [Herrmann, Bent] Fishing Gear Technol, SINTEF Fisheries &amp; Aquaculture, Hirtshals, Denmark</t>
  </si>
  <si>
    <t>Institute of Marine Research - Norway; Technical University of Denmark; SINTEF</t>
  </si>
  <si>
    <t>Krafft, BA (corresponding author), Inst Marine Res, Bergen, Norway.</t>
  </si>
  <si>
    <t>bjorn.krafft@imr.no</t>
  </si>
  <si>
    <t>Krag, Ludvig Ahm/0000-0002-1531-1499; Herrmann, Bent/0000-0003-1325-6198</t>
  </si>
  <si>
    <t>Research Council of Norway [243619, 222798]; Rimfrost AS; Aker BioMarine AS</t>
  </si>
  <si>
    <t>Research Council of Norway(Research Council of Norway); Rimfrost AS; Aker BioMarine AS</t>
  </si>
  <si>
    <t>The Research Council of Norway, grant number 243619 and 222798, funded travel costs and expedition equipment; grant number 243619 funded in addition salary and publication costs. The contribution by author BH, from SINTEF Fisheries and Aquaculture, was funded by the grant number 243619. Rimfrost AS sponsored shiptime and crew. Rimfrost AS and Aker BioMarine AS provided support in the form of salaries for authors IB and SN. Rimfrost AS provided valuable practical input regarding the framework needed for execution of the field experiments. The specific roles of these authors are articulated in the 'author contributions' section.</t>
  </si>
  <si>
    <t>SEP 13</t>
  </si>
  <si>
    <t>e0162311</t>
  </si>
  <si>
    <t>10.1371/journal.pone.0162311</t>
  </si>
  <si>
    <t>DW5JR</t>
  </si>
  <si>
    <t>WOS:000383681000024</t>
  </si>
  <si>
    <t>Casanova-Katny, A; Torres-Mellado, GA; Eppley, SM</t>
  </si>
  <si>
    <t>Casanova-Katny, A.; Torres-Mellado, G. A.; Eppley, S. M.</t>
  </si>
  <si>
    <t>Reproductive output of mosses under experimental warming on Fildes Peninsula, King George Island, maritime Antarctica</t>
  </si>
  <si>
    <t>REVISTA CHILENA DE HISTORIA NATURAL</t>
  </si>
  <si>
    <t>Antarctica; Bryophyte; Climate change; Fildes Peninsula; King George Island; Sporophyte</t>
  </si>
  <si>
    <t>SEXUAL REPRODUCTION; CLIMATE-CHANGE; VASCULAR-PLANT; ENVIRONMENTAL-CHANGE; SPOROPHYTE ABORTION; COST; PRECIPITATION; ALLOCATION; ECOSYSTEM; SUCCESS</t>
  </si>
  <si>
    <t>Background: Mosses dominate much of the vegetation in the Antarctic, but the effect of climatic change on moss growth and sexual reproduction has scarcely been studied. In Antarctica, mosses infrequently produce sporophytes; whether this is due to physiological limitation or an adaptive response is unknown. We studied the effect of experimental warming (with Open Top Chambers, OTCs) on sporophyte production on Fildes Peninsula, King George Island for four moss species (Bartramia patens, Hennediella antarctica, Polytrichastrum alpinum, and Sanionia georgicouncinata). To determine whether reducing cold stress increases sexual reproduction as would be predicted if sex is being constrained due to physiological limitations, we counted sporophytes for these four moss species in OTC and control plots during two years. Also, we measured sporophyte size for a smaller sample of sporophytes of two species, B. patens and H. antarctica, in the OTC and control plots. Results: After 2 years of the experimental treatment, maximum daily air temperature, but not daily mean air temperature, was significantly higher inside OTCs than outside. We found a significant species by treatment effect for sporophyte production, with more sporophytes produced in OTCs compared with controls for B. patens and P. alpinum. Also, sporophytes of B. patens and H. antarctica were significantly larger in the OTCs compared with the control plots. Conclusions: Our results suggest that the lack of sexual reproduction in these Antarctic mosses is not adaptive but is constrained by current environmental conditions and that ameliorating conditions, such as increased temperature may affect sexual reproduction in many Antarctic mosses, altering moss population genetics and dispersal patterns.</t>
  </si>
  <si>
    <t>[Casanova-Katny, A.] Univ Catolica Temuco, Nucleo Estudios Ambientales, Rudecindo Ortega 02950, Temuco, Chile; [Casanova-Katny, A.; Torres-Mellado, G. A.] Univ Concepcion, Fac Ciencias Nat, Dept Bot, Lab Micol &amp; Micorrizas, Barrio Univ S-N, Concepcion, Chile; [Eppley, S. M.] Portland State Univ, Dept Biol, Portland, OR 97207 USA; [Eppley, S. M.] Portland State Univ, Ctr Life Extreme Environm, Portland, OR 97207 USA</t>
  </si>
  <si>
    <t>Universidad Catolica de Temuco; Universidad de Concepcion; Portland State University; Portland State University</t>
  </si>
  <si>
    <t>Casanova-Katny, A (corresponding author), Univ Catolica Temuco, Nucleo Estudios Ambientales, Rudecindo Ortega 02950, Temuco, Chile.;Casanova-Katny, A (corresponding author), Univ Concepcion, Fac Ciencias Nat, Dept Bot, Lab Micol &amp; Micorrizas, Barrio Univ S-N, Concepcion, Chile.</t>
  </si>
  <si>
    <t>angecasanova@gmail.com</t>
  </si>
  <si>
    <t>Casanova-Katny, Angelica/M-3994-2014</t>
  </si>
  <si>
    <t>INACH [T0307]; FONDECYT [1120895]; US National Science Foundation [PLR1341742]; Office of Polar Programs (OPP); Directorate For Geosciences [1341742] Funding Source: National Science Foundation</t>
  </si>
  <si>
    <t>INACH; FONDECYT(Comision Nacional de Investigacion Cientifica y Tecnologica (CONICYT)CONICYT FONDECYT); US National Science Foundation(National Science Foundation (NSF)); Office of Polar Programs (OPP); Directorate For Geosciences(National Science Foundation (NSF)NSF - Directorate for Geosciences (GEO))</t>
  </si>
  <si>
    <t>In Chile, INACH T0307, FONDECYT 1120895 and the US National Science Foundation (PLR1341742).</t>
  </si>
  <si>
    <t>SOC BIOLGIA CHILE</t>
  </si>
  <si>
    <t>SANTIAGO</t>
  </si>
  <si>
    <t>CASILLA 16164, SANTIAGO 9, CHILE</t>
  </si>
  <si>
    <t>0716-078X</t>
  </si>
  <si>
    <t>0717-6317</t>
  </si>
  <si>
    <t>REV CHIL HIST NAT</t>
  </si>
  <si>
    <t>Rev. Chil. Hist. Nat.</t>
  </si>
  <si>
    <t>10.1186/s40693-016-0061-y</t>
  </si>
  <si>
    <t>DV5QO</t>
  </si>
  <si>
    <t>WOS:000382982900001</t>
  </si>
  <si>
    <t>Kernaléguen, L; Arnould, JPY; Guinet, C; Cazelles, B; Richard, P; Cherel, Y</t>
  </si>
  <si>
    <t>Kernaleguen, L.; Arnould, J. P. Y.; Guinet, C.; Cazelles, B.; Richard, P.; Cherel, Y.</t>
  </si>
  <si>
    <t>Early-life sexual segregation: ontogeny of isotopic niche differentiation in the Antarctic fur seal</t>
  </si>
  <si>
    <t>ARCTOCEPHALUS-GAZELLA; STABLE-ISOTOPES; FORAGING STRATEGIES; AGE; GROWTH; CARBON; PREDATORS; NITROGEN; PATTERNS; SPECIALIZATION</t>
  </si>
  <si>
    <t>Investigating the ontogeny of niche differentiation enables to determine at which life-stages sexual segregation arises, providing insights into the main factors driving resource partitioning. We investigated the ontogeny of foraging ecology in Antarctic fur seals (Arctocephalus gazella), a highly dimorphic species with contrasting breeding strategies between sexes. Sequential delta C-13 and delta N-15 values of whiskers provided a longitudinal proxy of the foraging niche throughout the whole life of seals, from weaning, when size dimorphism is minimal to the age of 5. Females exhibited an early-life ontogenetic shift, from a total segregation during their first year at-sea, to a similar isotopic niche as breeding females as early as age 2. In contrast, males showed a progressive change in isotopic niche throughout their development such that 5-year-old males did not share the same niche as territorial bulls. Interestingly, males and females segregated straight after weaning with males appearing to feed in more southerly habitats than females. This spatial segregation was of similar amplitude as observed in breeding adults and was maintained throughout development. Such early-life niche differentiation is an unusual pattern and indicates size dimorphism and breeding constraints do not directly drive sexual segregation contrary to what has been assumed in otariid seals.</t>
  </si>
  <si>
    <t>[Kernaleguen, L.; Arnould, J. P. Y.] Deakin Univ, Australia Sch Life &amp; Environm Sci, Burwood Campus, Geelong, Vic, Australia; [Kernaleguen, L.; Guinet, C.; Cherel, Y.] Univ La Rochelle, CNRS, UMR 7372, Ctr Etud Biol Chize, F-79360 Villiers En Bois, France; [Cazelles, B.] Ecole Normale Super, IBENS, Ecoevolutionary Math, Paris, France; [Cazelles, B.] Univ Paris 06, UMMISCO, Bondy, France; [Cazelles, B.] Inst Rech Dev, Bondy, France; [Richard, P.] Univ la Rochelle, CNRS, UMR 7266, Littoral Environm &amp; Soc LIENSs, 2 Rue Olympe de Gouges, F-17000 La Rochelle, France</t>
  </si>
  <si>
    <t>Deakin University; La Rochelle Universite; Centre National de la Recherche Scientifique (CNRS); CNRS - Institute of Ecology &amp; Environment (INEE); Universite PSL; Ecole Normale Superieure (ENS); Cadi Ayyad University of Marrakech; Hanoi University of Science &amp; Technology (HUST); Institut de Recherche pour le Developpement (IRD); Sorbonne Universite; University Cheikh Anta Diop Dakar; University of Yaounde I; Institut de Recherche pour le Developpement (IRD); La Rochelle Universite; Centre National de la Recherche Scientifique (CNRS); CNRS - Institute of Ecology &amp; Environment (INEE)</t>
  </si>
  <si>
    <t>Kernaléguen, L (corresponding author), Deakin Univ, Australia Sch Life &amp; Environm Sci, Burwood Campus, Geelong, Vic, Australia.;Kernaléguen, L (corresponding author), Univ La Rochelle, CNRS, UMR 7372, Ctr Etud Biol Chize, F-79360 Villiers En Bois, France.</t>
  </si>
  <si>
    <t>lkernale@deakin.edu.au</t>
  </si>
  <si>
    <t>Guinet, Christophe/AAR-8457-2020; Cazelles, Bernard/B-1572-2013; Richard, Pierre J/N-6482-2014</t>
  </si>
  <si>
    <t>Cazelles, Bernard/0000-0002-7972-361X;</t>
  </si>
  <si>
    <t>European Research Council Advanced Grant under European Community [ERC-2012-ADG_20120314]; ANR-VMC IPSOS-SEAL; Institut Polaire Francais Paul Emile Victor (IPEV) [109]; Terres Australes et Antarctiques Francaises</t>
  </si>
  <si>
    <t>European Research Council Advanced Grant under European Community(European Research Council (ERC)); ANR-VMC IPSOS-SEAL(Agence Nationale de la Recherche (ANR)); Institut Polaire Francais Paul Emile Victor (IPEV); Terres Australes et Antarctiques Francaises</t>
  </si>
  <si>
    <t>The assistance of the many field workers involved in this study, and in particular Nory El Ksaby, Baptiste Picard, Pauline Vuarin, Susan Gallon and Camille Toscani is gratefully acknowledged. The authors thank Gael Guillou for running the isotopic analyses. The study is a contribution to the Program EARLYLIFE funded by a European Research Council Advanced Grant under the European Community's Seven Framework Program FP7/2007-2013 (Grant Agreement ERC-2012-ADG_20120314 to Henri Weimerskirch). The present work was also supported financially and logistically by the ANR-VMC IPSOS-SEAL, the Institut Polaire Francais Paul Emile Victor (IPEV, program no. 109) and the Terres Australes et Antarctiques Francaises. The ethics committee of IPEV approved all field procedures.</t>
  </si>
  <si>
    <t>10.1038/srep33211</t>
  </si>
  <si>
    <t>DV4ZC</t>
  </si>
  <si>
    <t>WOS:000382933500001</t>
  </si>
  <si>
    <t>Daryabor, F; Ool, SH; Abu Samah, A; Akbari, A</t>
  </si>
  <si>
    <t>Daryabor, Farshid; Ool, See Hai; Abu Samah, Azizan; Akbari, Abolghasem</t>
  </si>
  <si>
    <t>Tides and Their Dynamics over the Sunda Shelf of the Southern South China Sea</t>
  </si>
  <si>
    <t>TIDAL DYNAMICS; PENINSULAR MALAYSIA; EAST-COAST; MODEL; CIRCULATION; TOPOGRAPHY; TEMPERATURE; SIMULATION; SURFACE</t>
  </si>
  <si>
    <t>A three-dimensional Regional Ocean Modelling System is used to study the tidal characteristics and their dynamics in the Sunda Shelf of the southern South China Sea. In this model, the outer domain is set with a 25 km resolution and the inner one, with a 9 km resolution. Calculations are performed on the inner domain. The model is forced at the sea surface by climatological monthly mean wind stress, freshwater (evaporation minus precipitation), and heat fluxes. Momentum and tracers (such as temperature and salinity) are prescribed in addition to the tidal heights and currents extracted from the Oregon State University TOPEX/Poseidon Global Inverse Solution (TPXO7.2) at the open boundaries. The results are validated against observed tidal amplitudes and phases at 19 locations. Results show that the mean average power energy spectrum (in unit m(2)/s/cph) for diurnal tides at the southern end of the East Coast of Peninsular Malaysia is approximately 43% greater than that in the East Malaysia region located in northern Borneo. In contrast, for the region of northern Borneo the semidiurnal power energy spectrum is approximately 25% greater than that in the East Coast of Peninsular Malaysia. This implies that diurnal tides are dominant along the East Coast of Peninsular Malaysia while both diurnal and semidiurnal tides dominate almost equally in coastal East Malaysia. Furthermore, the diurnal tidal energy flux is found to be 60% greater than that of the semidiurnal tides in the southern South China Sea. Based on these model analyses, the significant tidal mixing frontal areas are located primarily off Sarawak coast as indicated by high chlorophyll-a concentrations in the area.</t>
  </si>
  <si>
    <t>[Daryabor, Farshid; Ool, See Hai; Abu Samah, Azizan] Univ Malaya, Inst Postgrad Studies, Natl Antarctic Res Ctr, Kuala Lumpur 50603, Malaysia; [Daryabor, Farshid; Abu Samah, Azizan] Univ Malaya, Inst Postgrad Studies, Inst Ocean &amp; Earth Sci, Kuala Lumpur 50603, Malaysia; [Akbari, Abolghasem] Univ Malaysia Pahang, Fac Civil Engn &amp; Earth Resources, Kuantan 26300, Pahang, Malaysia</t>
  </si>
  <si>
    <t>Universiti Malaya; Universiti Malaya; Universiti Malaysia Pahang Al-Sultan Abdullah (UMPSA)</t>
  </si>
  <si>
    <t>Daryabor, F (corresponding author), Univ Malaya, Inst Postgrad Studies, Natl Antarctic Res Ctr, Kuala Lumpur 50603, Malaysia.;Daryabor, F (corresponding author), Univ Malaya, Inst Postgrad Studies, Inst Ocean &amp; Earth Sci, Kuala Lumpur 50603, Malaysia.</t>
  </si>
  <si>
    <t>fdaryabor@um.edu.my</t>
  </si>
  <si>
    <t>ABU SAMAH, AZIZAN HJ/B-8295-2010; Akbari, Abolghasem/L-5971-2019; Daryabor, Farshid/A-9345-2019; Daryabor, Farshid/K-6084-2015</t>
  </si>
  <si>
    <t>Akbari, Abolghasem/0000-0003-4394-1970; Daryabor, Farshid/0000-0001-8217-8504; Daryabor, Farshid/0000-0001-8217-8504</t>
  </si>
  <si>
    <t>Higher Institution Centre of Excellence (HICoE) Grant under the Institute of Ocean and Earth Sciences [IOES-2014a]; University of Malaya</t>
  </si>
  <si>
    <t>Higher Institution Centre of Excellence (HICoE) Grant under the Institute of Ocean and Earth Sciences; University of Malaya(Universiti Malaya)</t>
  </si>
  <si>
    <t>This research study is funded by the Higher Institution Centre of Excellence (HICoE) Grant under the Institute of Ocean and Earth Sciences (IOES-2014a, Air-Ocean-Land Interaction). Grant Receiver: Azizan Abu Samah.; The authors are grateful to the Department of Survey and Mapping Malaysia for the supply of the tide gauge data. This research study is funded by the Higher Institution Centre of Excellence (HICoE) Grant under the Institute of Ocean and Earth Sciences (IOES-2014a, Air-Ocean-Land Interaction). It is also strongly encouraged by the Director of IOES and supported by the Vice-Chancellor of the University of Malaya. Above all, the authors greatly appreciate the invaluable and constructive comments and suggestions by the reviewers on this manuscript.</t>
  </si>
  <si>
    <t>e0162170</t>
  </si>
  <si>
    <t>10.1371/journal.pone.0162170</t>
  </si>
  <si>
    <t>WOS:000383681000016</t>
  </si>
  <si>
    <t>Forte, E; Fratte, MD; Azzaro, M; Guglielmin, M</t>
  </si>
  <si>
    <t>Forte, Emanuele; Fratte, Michele Dalle; Azzaro, Maurizio; Guglielmin, Mauro</t>
  </si>
  <si>
    <t>Pressurized brines in continental Antarctica as a possible analogue of Mars</t>
  </si>
  <si>
    <t>NORTHERN VICTORIA LAND; TERRA-NOVA BAY; DRY VALLEYS; EAST ANTARCTICA; LAKE-SEDIMENTS; TAYLOR VALLEY; ICE; PENINSULA; FRYXELL; BENEATH</t>
  </si>
  <si>
    <t>Interest in brines in extreme and cold environments has recently increased after they have been found on Mars. Those brines can be potential new subsurface habitats for peculiar ecosystems. In the McMurdo Dry Valleys of the Antarctic, the best analogue for Mars conditions, only a few cases of brines have been identified in some perennially frozen lakes and in one case in an underground aquifer. Here, we present the occurrence of pressurized brines in a shallow perennially ice-covered lake south of 70 degrees S in an ice-free area of Victoria Land, Antarctica. For the first time, we also imaged, by means of ground penetrating radar data, the existence of a pingo-like-feature (PLF) formed by the extrusion of brines, which has also been confirmed by borehole evidence. Those brines are fed by an underground talik external to the lake basin, enhancing the possibility of unexploited ecosystems that could find an analogue in Martian environments.</t>
  </si>
  <si>
    <t>[Forte, Emanuele] Univ Trieste, Dept Math &amp; Geosci, Via Weiss 2, I-34128 Trieste, Italy; [Fratte, Michele Dalle; Guglielmin, Mauro] Insubria Univ, Dept Theoret &amp; Appl Sci, Via Dunant 3, Varese, Italy; [Azzaro, Maurizio] CNR, Inst Marine &amp; Coastal Environm, Spianata San Raineri 86, I-98122 Messina, Italy</t>
  </si>
  <si>
    <t>University of Trieste; University of Insubria; Consiglio Nazionale delle Ricerche (CNR)</t>
  </si>
  <si>
    <t>Guglielmin, M (corresponding author), Insubria Univ, Dept Theoret &amp; Appl Sci, Via Dunant 3, Varese, Italy.</t>
  </si>
  <si>
    <t>mauro.guglielmin@uninsubria.it</t>
  </si>
  <si>
    <t>azzaro, maurizio/A-9559-2017; Fratte, Michele Dalle/A-8918-2015; azzaro, Maurizio/AAE-6784-2019</t>
  </si>
  <si>
    <t>azzaro, maurizio/0000-0001-7885-2340; Fratte, Michele Dalle/0000-0002-7907-1586; azzaro, Maurizio/0000-0001-7885-2340; Forte, Emanuele/0000-0002-5995-9254</t>
  </si>
  <si>
    <t>PNRA [2013/AZ1.05]; University of Trieste Petrel interpretation package academic grant</t>
  </si>
  <si>
    <t>PNRA; University of Trieste Petrel interpretation package academic grant</t>
  </si>
  <si>
    <t>We would like to thank all the people at PNRA who provided the logistical support needed to realize this research and Prof. N. Cannone for her valuable suggestions. This research was realized within the framework of PNRA project 2013/AZ1.05, Permafrost ecology in Victoria Land. We gratefully acknowledge Schlumberger through the University of Trieste Petrel interpretation package academic grant as well as three anonymous reviewers for their comments and observations. Finally, we would like to thank the Editor and three anonymous reviewers for their helpful and valuable comments and suggestions that significantly improved the original manuscript.</t>
  </si>
  <si>
    <t>SEP 12</t>
  </si>
  <si>
    <t>10.1038/srep33158</t>
  </si>
  <si>
    <t>DV4AN</t>
  </si>
  <si>
    <t>WOS:000382867300001</t>
  </si>
  <si>
    <t>Kovács, T; Plane, JMC; Feng, WH; Nagy, T; Chipperfield, MP; Verronen, PT; Andersson, ME; Newnham, DA; Clilverd, MA; Marsh, DR</t>
  </si>
  <si>
    <t>Kovacs, Tamas; Plane, John M. C.; Feng, Wuhu; Nagy, Tibor; Chipperfield, Martyn P.; Verronen, Pekka T.; Andersson, Monika E.; Newnham, David A.; Clilverd, Mark A.; Marsh, Daniel R.</t>
  </si>
  <si>
    <t>D-region ion-neutral coupled chemistry (Sodankyla Ion Chemistry, SIC) within the Whole Atmosphere Community Climate Model (WACCM4) - WACCM-SIC and WACCM-rSIC</t>
  </si>
  <si>
    <t>SOLAR PROTON EVENTS; LARGE REACTION-MECHANISMS; REDUCTION; NITROGEN; JANUARY; SYSTEM; CYCLE</t>
  </si>
  <si>
    <t>This study presents a new ion-neutral chemical model coupled into the Whole Atmosphere Community Climate Model (WACCM). The ionospheric D-region (altitudes similar to 50-90 km) chemistry is based on the Sodankyla Ion Chemistry (SIC) model, a one-dimensional model containing 307 ion-neutral and ion recombination, 16 photodissociation and 7 photoionization reactions of neutral species, positive and negative ions, and electrons. The SIC mechanism was reduced using the simulation error minimization connectivity method (SEM-CM) to produce a reaction scheme of 181 ion-molecule reactions of 181 ion-molecule reactions of 27 positive and 18 negative ions. This scheme describes the concentration profiles at altitudes between 20 km and 120 km of a set of major neutral species (HNO3, O-3, H2O2, NO, NO2, HO2, OH, N2O5) and ions (O-2(+), O-4(+), NO+, NO+ (H2O), O-2(+) (H2O), H+ (H2O), H+ (H2O)(2), H+ (H2O)(3), H+ (H2O)(4), O-3(-), NO2-, O-, O-2, OH--, O-2(-) (H2O), O-2(-) (H2O)(2), O-4(-), CO3-, CO3- (H2O), CO4-, HCO3-, NO2-, NO3-, NO3- (H2O), NO3- (H2O)(2), NO3- (HNO3), NO3- (HNO3)(2), Cl-, ClO-, which agree with the full SIC mechanism within a 5% tolerance. Four 3-D model simulations were then performed, using the impact of the January 2005 solar proton event (SPE) on D-region HOx and NOx chemistry as a test case of four different model versions: the standard WACCM (no negative ions and a very limited set of positive ions); WACCM-SIC (standard WACCM with the full SIC chemistry of positive and negative ions); WACCM-D (standard WACCM with a heuristic reduction of the SIC chemistry, recently used to examine HNO3 formation following an SPE); and WACCM-rSIC (standard WACCM with a reduction of SIC chemistry using the SEM-CM method). The standard WACCM misses the HNO3 enhancement during the SPE, while the full and reduced model versions predict significant NOx, HOx and HNO3 enhancements in the mesosphere during solar proton events. The SEM-CM reduction also identifies the important ion-molecule reactions that affect the partitioning of odd nitrogen (NOx), odd hydrogen (HOx) and O-3 in the stratosphere and mesosphere.</t>
  </si>
  <si>
    <t>[Kovacs, Tamas; Plane, John M. C.; Feng, Wuhu] Univ Leeds, Sch Chem, Leeds LS2 9JT, W Yorkshire, England; [Feng, Wuhu; Chipperfield, Martyn P.] Univ Leeds, Natl Ctr Atmospher Sci, Sch Earth &amp; Environm, Leeds LS2 9JT, W Yorkshire, England; [Nagy, Tibor] Hungarian Acad Sci, Res Ctr Nat Sci, IMEC, Budapest, Hungary; [Verronen, Pekka T.; Andersson, Monika E.] Finnish Meteorol Inst, Helsinki, Finland; [Newnham, David A.; Clilverd, Mark A.] British Antarctic Survey, Cambridge CB3 0ET, England; [Marsh, Daniel R.] Natl Ctr Atmospher Res, POB 3000, Boulder, CO 80307 USA</t>
  </si>
  <si>
    <t>University of Leeds; UK Research &amp; Innovation (UKRI); Natural Environment Research Council (NERC); NERC National Centre for Atmospheric Science; University of Leeds; IMEC; Hungarian Academy of Sciences; Hungarian Research Network; HUN-REN Research Centre for Natural Sciences; Finnish Meteorological Institute; UK Research &amp; Innovation (UKRI); Natural Environment Research Council (NERC); NERC British Antarctic Survey; National Center Atmospheric Research (NCAR) - USA</t>
  </si>
  <si>
    <t>Kovács, T (corresponding author), Univ Leeds, Sch Chem, Leeds LS2 9JT, W Yorkshire, England.</t>
  </si>
  <si>
    <t>takovacs@gmail.com</t>
  </si>
  <si>
    <t>Chipperfield, Martyn/H-6359-2013; FENG, WUHU/B-8327-2008; Marsh, Daniel/A-8406-2008; Szelag, Monika Ewa/AAH-3529-2019; Nagy, Tibor/M-8897-2015; Plane, John/C-7444-2015</t>
  </si>
  <si>
    <t>Chipperfield, Martyn/0000-0002-6803-4149; FENG, WUHU/0000-0002-9907-9120; Marsh, Daniel/0000-0001-6699-494X; Szelag, Monika Ewa/0000-0002-8501-3366; Nagy, Tibor/0000-0002-1412-3007; Plane, John/0000-0003-3648-6893; Newnham, David/0000-0001-8422-1289</t>
  </si>
  <si>
    <t>UK Natural Environmental Research Council (NERC) [NE/J02077X/1, NE/J022187/1]; Academy of Finland [276926]; National Science Foundation; NASA [NNX14AH54G]; NERC [bas0100031, NE/J008621/1, NE/J022187/1, NE/J02077X/1] Funding Source: UKRI; Natural Environment Research Council [NE/J008621/1, bas0100031, ncas10009, NE/J022187/1, NE/J02077X/1] Funding Source: researchfish</t>
  </si>
  <si>
    <t>UK Natural Environmental Research Council (NERC)(UK Research &amp; Innovation (UKRI)Natural Environment Research Council (NERC)); Academy of Finland(Research Council of Finland); National Science Foundation(National Science Foundation (NSF)); NASA(National Aeronautics &amp; Space Administration (NASA)); NERC(UK Research &amp; Innovation (UKRI)Natural Environment Research Council (NERC)); Natural Environment Research Council(UK Research &amp; Innovation (UKRI)Natural Environment Research Council (NERC))</t>
  </si>
  <si>
    <t>The authors thank the UK Natural Environmental Research Council (NERC) for funding (standard grants NE/J02077X/1 and NE/J022187/1). Kevin Hughes (University of Sheffield) and Tamas Turanyi (Eotvos Lorand University, Budapest) are thanked for helpful discussions. The work of P. T. Verronen and M. E. Andersson was supported by the Academy of Finland through the project no. 276926 (SECTIC: Sun-Earth Connection Through Ion Chemistry). NCAR is funded by the National Science Foundation and D. R. Marsh is supported in part by NASA Living With a Star Grant NNX14AH54G.</t>
  </si>
  <si>
    <t>10.5194/gmd-9-3123-2016</t>
  </si>
  <si>
    <t>DX3UU</t>
  </si>
  <si>
    <t>WOS:000384301800001</t>
  </si>
  <si>
    <t>Wang, SQ; Liu, LD; Dai, ZG; Wang, LJ; Wu, XF</t>
  </si>
  <si>
    <t>Wang, S. Q.; Liu, L. D.; Dai, Z. G.; Wang, L. J.; Wu, X. F.</t>
  </si>
  <si>
    <t>A TRIPLE-ENERGY-SOURCE MODEL FOR SUPERLUMINOUS SUPERNOVA iPTF13ehe</t>
  </si>
  <si>
    <t>stars: magnetars; supernovae: general; supernovae: individual (iPTF13ehe)</t>
  </si>
  <si>
    <t>CORE-COLLAPSE SUPERNOVAE; PULSATIONAL PAIR-INSTABILITY; TIME LIGHT CURVES; LUMINOUS SUPERNOVAE; IC SUPERNOVAE; CIRCUMSTELLAR MEDIUM; MAGNETAR BIRTH; SHOCK BREAKOUT; SN 2006GY; STARS</t>
  </si>
  <si>
    <t>Almost all superluminous supernovae (SLSNe) whose peak magnitudes are less than or similar to -21 mag can be explained by the Ni-56-powered model, the. magnetar-powered (highly magnetized pulsar) model, or the. ejecta-circumstellar medium (CSM) interaction model. Recently, iPTF13ehe challenged. these energy-source models, because the spectral analysis shows that similar to 2.5M circle dot. of Ni-56 have been synthesized, but are inadequate to power the peak bolometric emission of iPTF13ehe, while the rebrightening of the late-time light. curve (LC) and the Ha emission lines indicate that the ejecta-CSM interaction must play a key role in powering the late-time LC. Here we propose a triple-energy-source model, in which a magnetar together with some amount (less than or similar to 2.5M circle dot) of Ni-56 may power the early LC of iPTF13ehe, while the late-time rebrightening can be quantitatively explained by an ejecta-CSM interaction. Furthermore, we suggest that iPTF13ehe is a genuine core-collapse supernova rather than a pulsational pair-instability supernova candidate. Further studies on similar SLSNe in the future would eventually shed light on their explosion and energy-source mechanisms.</t>
  </si>
  <si>
    <t>[Wang, S. Q.; Liu, L. D.; Dai, Z. G.] Nanjing Univ, Sch Astron &amp; Space Sci, Nanjing 210093, Jiangsu, Peoples R China; [Wang, S. Q.; Liu, L. D.; Dai, Z. G.] Nanjing Univ, Key Lab Modern Astron &amp; Astrophys, Minist Educ, Nanjing, Jiangsu, Peoples R China; [Wang, L. J.] Chinese Acad Sci, Natl Astron Observ, Key Lab Space Astron &amp; Technol, Beijing 100012, Peoples R China; [Wu, X. F.] Chinese Acad Sci, Purple Mt Observ, Nanjing 210008, Jiangsu, Peoples R China; [Wu, X. F.] Chinese Acad Sci, Chinese Ctr Antarctic Astron, Nanjing 210008, Jiangsu, Peoples R China; [Wu, X. F.] Chinese Acad Sci, Nanjing Univ, Purple Mt Observ, Joint Ctr Particle Nucl Phys &amp; Cosmol, Nanjing 210008, Jiangsu, Peoples R China</t>
  </si>
  <si>
    <t>Nanjing University; Nanjing University; Chinese Academy of Sciences; National Astronomical Observatory, CAS; Chinese Academy of Sciences; Nanjing Institute of Astronomical Optics &amp; Technology, NAOC, CAS; Purple Mountain Observatory, CAS; Chinese Academy of Sciences; Chinese Academy of Sciences; Nanjing Institute of Astronomical Optics &amp; Technology, NAOC, CAS; Nanjing University; Purple Mountain Observatory, CAS</t>
  </si>
  <si>
    <t>Dai, ZG (corresponding author), Nanjing Univ, Sch Astron &amp; Space Sci, Nanjing 210093, Jiangsu, Peoples R China.;Dai, ZG (corresponding author), Nanjing Univ, Key Lab Modern Astron &amp; Astrophys, Minist Educ, Nanjing, Jiangsu, Peoples R China.</t>
  </si>
  <si>
    <t>dzg@nju.edu.cn</t>
  </si>
  <si>
    <t>Liu, Liang-Duan/JDD-5074-2023; Liu, Liang-Duan/JAC-5753-2023; Liu, Liang-Duan/ABD-9337-2020; Wu, Xuefeng/G-5316-2015</t>
  </si>
  <si>
    <t>Wang, Ling-Jun/0000-0002-8352-1359; Dai, Zigao/0000-0002-7835-8585; Liu, Liang-Duan/0000-0002-8708-0597; Wu, Xuefeng/0000-0002-6299-1263</t>
  </si>
  <si>
    <t>National Basic Research Program (973 Program) of China [2014CB845800]; National Natural Science Foundation of China [11573014, 11322328]; Youth Innovation Promotion Association [2011231]; Strategic Priority Research Program The Emergence of Cosmological Structures of the Chinese Academy of Sciences [XDB09000000]</t>
  </si>
  <si>
    <t>National Basic Research Program (973 Program) of China(National Basic Research Program of China); National Natural Science Foundation of China(National Natural Science Foundation of China (NSFC)); Youth Innovation Promotion Association; Strategic Priority Research Program The Emergence of Cosmological Structures of the Chinese Academy of Sciences</t>
  </si>
  <si>
    <t>We thank an anonymous referee for valuable comments and constructive suggestions that have improved our manuscript. This work was supported by the National Basic Research Program (973 Program) of China (grant No. 2014CB845800) and the National Natural Science Foundation of China (grant Nos. 11573014 and 11322328). X.F.W. is partially supported by the Youth Innovation Promotion Association (2011231), and the Strategic Priority Research Program The Emergence of Cosmological Structures (grant No. XDB09000000) of the Chinese Academy of Sciences.</t>
  </si>
  <si>
    <t>SEP 10</t>
  </si>
  <si>
    <t>10.3847/0004-637X/828/2/87</t>
  </si>
  <si>
    <t>DX0SP</t>
  </si>
  <si>
    <t>WOS:000384075600006</t>
  </si>
  <si>
    <t>Anderson, IJ; DasSarma, P; DasSarma, P; Copeland, A; Lapidus, A; Del Rio, TG; Tice, H; Dalin, E; Bruce, DC; Goodwin, L; Pitluck, S; Sims, D; Brettin, TS; Detter, JC; Han, CS; Larimer, F; Hauser, L; Land, M; Ivanova, N; Richardson, P; Cavicchioli, R; DasSarma, S; Woese, CR; Kyrpides, NC</t>
  </si>
  <si>
    <t>Anderson, Iain J.; DasSarma, Priya; Lucas, Susan; Copeland, Alex; Lapidus, Alla; Del Rio, Tijana Glavina; Tice, Hope; Dalin, Eileen; Bruce, David C.; Goodwin, Lynne; Pitluck, Sam; Sims, David; Brettin, Thomas S.; Detter, John C.; Han, Cliff S.; Larimer, Frank; Hauser, Loren; Land, Miriam; Ivanova, Natalia; Richardson, Paul; Cavicchioli, Ricardo; DasSarma, Shiladitya; Woese, Carl R.; Kyrpides, Nikos C.</t>
  </si>
  <si>
    <t>Complete genome sequence of the Antarctic Halorubrum lacusprofundi type strain ACAM 34</t>
  </si>
  <si>
    <t>STANDARDS IN GENOMIC SCIENCES</t>
  </si>
  <si>
    <t>Archaea; Halophile; Halorubrum; Extremophile; Cold adaptation; Tree of life</t>
  </si>
  <si>
    <t>SP-NOV.; HALOBACTERIUM-LACUSPROFUNDI; HALOALKALIPHILIC ARCHAEON; LAKE; TOOL; SYSTEM; IDENTIFICATION; HALOPHILES; ENZYMES</t>
  </si>
  <si>
    <t>Halorubrum lacusprofundi is an extreme halophile within the archaeal phylum Euryarchaeota. The type strain ACAM 34 was isolated from Deep Lake, Antarctica. H. lacusprofundi is of phylogenetic interest because it is distantly related to the haloarchaea that have previously been sequenced. It is also of interest because of its psychrotolerance. We report here the complete genome sequence of H. lacusprofundi type strain ACAM 34 and its annotation. This genome is part of a 2006 Joint Genome Institute Community Sequencing Program project to sequence genomes of diverse Archaea.</t>
  </si>
  <si>
    <t>[Anderson, Iain J.; Lucas, Susan; Copeland, Alex; Lapidus, Alla; Del Rio, Tijana Glavina; Tice, Hope; Dalin, Eileen; Pitluck, Sam; Larimer, Frank; Hauser, Loren; Land, Miriam; Ivanova, Natalia; Richardson, Paul; Kyrpides, Nikos C.] DOE Joint Genome Inst, Walnut Creek, CA 94598 USA; [DasSarma, Priya; DasSarma, Shiladitya] Univ Maryland, Univ Syst Maryland, Sch Med, Columbus Ctr,Inst Marine &amp; Environm Technol, Baltimore, MD 21202 USA; [Bruce, David C.; Goodwin, Lynne; Sims, David; Brettin, Thomas S.; Detter, John C.; Han, Cliff S.] Los Alamos Natl Lab, DOE Joint Genome Inst, Los Alamos, NM 87545 USA; [Larimer, Frank; Hauser, Loren; Land, Miriam] Oak Ridge Natl Lab, Oak Ridge, TN 37830 USA; [Richardson, Paul] Univ New South Wales, Sch Biotechnol &amp; Biomol Sci, Sydney, NSW 2052, Australia; [Woese, Carl R.] Univ Illinois, Chem &amp; Life Sci Lab B103, MC-110,601 South Goodwin Ave, Urbana, IL 61801 USA</t>
  </si>
  <si>
    <t>United States Department of Energy (DOE); University System of Maryland; University of Maryland Baltimore; University of Maryland Center for Environmental Science; Institute of Marine &amp; Environmental Technology; United States Department of Energy (DOE); Los Alamos National Laboratory; United States Department of Energy (DOE); Oak Ridge National Laboratory; University of New South Wales Sydney; University of Illinois System; University of Illinois Urbana-Champaign</t>
  </si>
  <si>
    <t>DasSarma, P (corresponding author), Univ Maryland, Univ Syst Maryland, Sch Med, Columbus Ctr,Inst Marine &amp; Environm Technol, Baltimore, MD 21202 USA.</t>
  </si>
  <si>
    <t>pdassarma@som.umaryland.edu</t>
  </si>
  <si>
    <t>Hauser, Loren J/H-3881-2012; Kyrpides, Nikos C./A-6305-2014; Land, Miriam L/A-6200-2011; Lapidus, Alla/I-4348-2013; Cavicchioli, Ricardo/D-4341-2013</t>
  </si>
  <si>
    <t>Kyrpides, Nikos C./0000-0002-6131-0462; Lapidus, Alla/0000-0003-0427-8731; Ivanova, Natalia/0000-0002-5802-9485; Cavicchioli, Ricardo/0000-0001-8989-6402; DasSarma, Shiladitya/0000-0003-4162-2810</t>
  </si>
  <si>
    <t>US Department of Energy's Office of Science, Biological and Environmental Research Program; University of California; Lawrence Berkeley National Laboratory [DE-AC02-05CH11231]; Lawrence Livermore National Laboratory [DE-AC52-07NA27344]; Los Alamos National Laboratory [DE-AC02-06NA25396]; Department of Energy [DE-AC05-000R22725]; NASA [NNX10AP47G, NNX15AM07G]; NASA [NNX10AP47G, 125122, NNX15AM07G, 799608] Funding Source: Federal RePORTER</t>
  </si>
  <si>
    <t>US Department of Energy's Office of Science, Biological and Environmental Research Program(United States Department of Energy (DOE)); University of California(University of California System); Lawrence Berkeley National Laboratory(United States Department of Energy (DOE)); Lawrence Livermore National Laboratory(United States Department of Energy (DOE)); Los Alamos National Laboratory(United States Department of Energy (DOE)Los Alamos National Laboratory); Department of Energy(United States Department of Energy (DOE)); NASA(National Aeronautics &amp; Space Administration (NASA)); NASA(National Aeronautics &amp; Space Administration (NASA))</t>
  </si>
  <si>
    <t>This work was performed under the auspices of the US Department of Energy's Office of Science, Biological and Environmental Research Program, and by the University of California, Lawrence Berkeley National Laboratory under Contract No. DE-AC02-05CH11231, Lawrence Livermore National Laboratory under Contract No. DE-AC52-07NA27344, and Los Alamos National Laboratory under Contract No. DE-AC02-06NA25396. L. H. and M. L. were supported by the Department of Energy under contract DE-AC05-000R22725. P. D. and S. D. were supported by NASA grants NNX10AP47G and NNX15AM07G.</t>
  </si>
  <si>
    <t>1944-3277</t>
  </si>
  <si>
    <t>STAND GENOMIC SCI</t>
  </si>
  <si>
    <t>Stand. Genomic Sci.</t>
  </si>
  <si>
    <t>10.1186/s40793-016-0194-2</t>
  </si>
  <si>
    <t>Genetics &amp; Heredity; Microbiology</t>
  </si>
  <si>
    <t>DW8QK</t>
  </si>
  <si>
    <t>WOS:000383920400001</t>
  </si>
  <si>
    <t>Jacobs, MR; Edwards, M; Górecki, T; Nesterenko, PN; Shellie, RA</t>
  </si>
  <si>
    <t>Jacobs, Matthew R.; Edwards, Matthew; Gorecki, Tadeusz; Nesterenko, Pavel N.; Shellie, Robert A.</t>
  </si>
  <si>
    <t>Evaluation of a miniaturised single-stage thermal modulator for comprehensive two-dimensional gas chromatography of petroleum contaminated soils</t>
  </si>
  <si>
    <t>JOURNAL OF CHROMATOGRAPHY A</t>
  </si>
  <si>
    <t>Two-dimensional gas chromatography; Single-stage thermal modulator; Performance evaluation; Petroleum spill analysis</t>
  </si>
  <si>
    <t>ANTARCTIC MACQUARIE ISLAND; X GC; MASS-SPECTROMETRY; ORGANIC AEROSOLS; FLOW MODULATION; OIL; WATER; BIODEGRADATION; HYDROCARBONS; SAMPLES</t>
  </si>
  <si>
    <t>A novel miniaturised single-stage resistively heated thermal modulator was investigated as an alternative to cryogenic modulation for use in comprehensive two-dimensional gas chromatography (GC x GC). The single-stage thermal modulator described herein yielded average retention time relative standard deviations (RSD) of &lt;= 0.2% RSD (first-dimension) and &lt;= 3.4% RSD (second-dimension). The average peak widths generated by the modulator were 72 +/- 3 ms, and the peak area precision was better than 5.3% RSD for a range of polar and non-polar test analytes. GC x GC analysis can be performed using this modulator without the requirement for cryogenic cooling or additional pressure control modules for flow modulation. The modulator and associated electronics are compact and amenable towards field analysis. The modulator was used for qualitative and quantitative characterisation of petroleum-contaminated soils derived from a sub-Antarctic research station at Macquarie Island. The limit of detection compared to standard 1D GC analysis was improved from 64 to 11 mg kg(-1). An automated method of analysing and categorising samples using principal component analysis is presented. (C) 2016 Published by Elsevier B.V.</t>
  </si>
  <si>
    <t>[Jacobs, Matthew R.; Nesterenko, Pavel N.; Shellie, Robert A.] Univ Tasmania, Australian Ctr Res Separat Sci ACROSS, Hobart, Tas 7005, Australia; [Edwards, Matthew; Gorecki, Tadeusz] Univ Waterloo, Dept Chem, 200 Univ Ave West, Waterloo, ON N2L 3G1, Canada</t>
  </si>
  <si>
    <t>University of Tasmania; University of Waterloo</t>
  </si>
  <si>
    <t>Shellie, RA (corresponding author), Univ Tasmania, Australian Ctr Res Separat Sci ACROSS, Hobart, Tas 7005, Australia.</t>
  </si>
  <si>
    <t>Robert.Shellie@utas.edu.au</t>
  </si>
  <si>
    <t>Nesterenko, Pavel N./A-4766-2012; Edwards, Matt K/A-5218-2013; Shellie, Robert/AAU-6100-2020; Jacobs, Matthew/J-4685-2013</t>
  </si>
  <si>
    <t>Nesterenko, Pavel N./0000-0002-9997-0650; Shellie, Robert/0000-0002-8470-0893; Jacobs, Matthew/0000-0003-2069-4030</t>
  </si>
  <si>
    <t>Australian Research Council [DP110104923]; Australian Research Council Australian Research Fellowship [DP110104923]; University of Tasmania; Natural Sciences and Engineering Research Council (NSERC); Australian Postgraduate Award</t>
  </si>
  <si>
    <t>Australian Research Council(Australian Research Council); Australian Research Council Australian Research Fellowship(Australian Research Council); University of Tasmania; Natural Sciences and Engineering Research Council (NSERC)(Natural Sciences and Engineering Research Council of Canada (NSERC)); Australian Postgraduate Award(Australian Government)</t>
  </si>
  <si>
    <t>This work was supported by the Australian Research Council's Discovery funding scheme (DP110104923) and Robert Shellie was the recipient of an Australian Research Council Australian Research Fellowship (DP110104923). Tadeusz Gorecki was supported by the University of Tasmania Visiting Scholars Program (2013). The Natural Sciences and Engineering Research Council (NSERC), support Tadeusz Gorecki and Matthew Edwards' research. Matthew Jacobs is the recipient of an Australian Postgraduate Award (2012). The authors acknowledge Dr. Lauren Wise and Mr. Greg Hince (Australian Antarctic Division) for their helpful discussions and for providing extracts for analysis. Continued support from Trajan Scientific and Medical and the University of Tasmania Central Science Laboratory (CSL) are gratefully acknowledged.</t>
  </si>
  <si>
    <t>0021-9673</t>
  </si>
  <si>
    <t>1873-3778</t>
  </si>
  <si>
    <t>J CHROMATOGR A</t>
  </si>
  <si>
    <t>J. Chromatogr. A</t>
  </si>
  <si>
    <t>SEP 9</t>
  </si>
  <si>
    <t>10.1016/j.chroma.2016.08.009</t>
  </si>
  <si>
    <t>Biochemical Research Methods; Chemistry, Analytical</t>
  </si>
  <si>
    <t>Biochemistry &amp; Molecular Biology; Chemistry</t>
  </si>
  <si>
    <t>DV0GK</t>
  </si>
  <si>
    <t>WOS:000382595800018</t>
  </si>
  <si>
    <t>Klockmann, M; Mikolajewicz, U; Marotzke, J</t>
  </si>
  <si>
    <t>Klockmann, Marlene; Mikolajewicz, Uwe; Marotzke, Jochem</t>
  </si>
  <si>
    <t>The effect of greenhouse gas concentrations and ice sheets on the glacial AMOC in a coupled climate model</t>
  </si>
  <si>
    <t>MERIDIONAL OVERTURNING CIRCULATION; BOUNDARY-CONDITIONS; OCEAN CIRCULATION; ATMOSPHERIC CO2; MAXIMUM; SENSITIVITY; SIMULATIONS; TEMPERATURE; RECONSTRUCTION; DEGLACIATION</t>
  </si>
  <si>
    <t>Simulations with the Max Planck Institute Earth System Model (MPI-ESM) are used to study the sensitivity of the AMOC and the deep-ocean water masses during the Last Glacial Maximum to different sets of forcings. Analysing the individual contributions of the glacial forcings reveals that the ice sheets cause an increase in the overturning strength and a deepening of the North Atlantic Deep Water (NADW) cell, while the low greenhouse gas (GHG) concentrations cause a decrease in overturning strength and a shoaling of the NADW cell. The effect of the orbital configuration is negligible. The effects of the ice sheets and the GHG reduction balance each other in the deep ocean so that no shoaling of the NADW cell is simulated in the full glacial state. Experiments in which different GHG concentrations with linearly decreasing radiative forcing are applied to a setup with glacial ice sheets and orbital configuration show that GHG concentrations below the glacial level are necessary to cause a shoaling of the NADW cell with respect to the pre-industrial state in MPI-ESM. For a pCO(2) of 149aEuro-ppm, the simulated overturning state and the deep-ocean water masses are in best agreement with the glacial state inferred from proxy data. Sensitivity studies confirm that brine release and shelf convection in the Southern Ocean are key processes for the shoaling of the NADW cell. Shoaling occurs only when Southern Ocean shelf water contributes significantly to the formation of Antarctic Bottom Water.</t>
  </si>
  <si>
    <t>[Klockmann, Marlene; Mikolajewicz, Uwe; Marotzke, Jochem] Max Planck Inst Meteorol, Hamburg, Germany; [Klockmann, Marlene] Int Max Planck Res Sch Earth Syst Modelling, Hamburg, Germany</t>
  </si>
  <si>
    <t>Max Planck Society; Max Planck Society</t>
  </si>
  <si>
    <t>Klockmann, M (corresponding author), Max Planck Inst Meteorol, Hamburg, Germany.;Klockmann, M (corresponding author), Int Max Planck Res Sch Earth Syst Modelling, Hamburg, Germany.</t>
  </si>
  <si>
    <t>marlene.klockmann@mpimet.mpg.de</t>
  </si>
  <si>
    <t>Klockmann, Marlene/0000-0003-1012-830X</t>
  </si>
  <si>
    <t>International Max Planck Research School on Earth System Modelling</t>
  </si>
  <si>
    <t>This research was supported by the International Max Planck Research School on Earth System Modelling. All simulations were performed at the German Climate Computing Center (DKRZ). The authors thank Thomas Kleinen and the two anonymous reviewers for their comments which helped to improve the manuscript and Florian Ziemen for helpful discussions.</t>
  </si>
  <si>
    <t>SEP 8</t>
  </si>
  <si>
    <t>10.5194/cp-12-1829-2016</t>
  </si>
  <si>
    <t>DW9VK</t>
  </si>
  <si>
    <t>Green Accepted, Green Submitted, gold</t>
  </si>
  <si>
    <t>WOS:000384010600001</t>
  </si>
  <si>
    <t>Chen, ST; Wang, YJ; Cheng, H; Edwards, RL; Wang, XF; Kong, XG; Liu, DB</t>
  </si>
  <si>
    <t>Chen, Shitao; Wang, Yongjin; Cheng, Hai; Edwards, R. Lawrence; Wang, Xianfeng; Kong, Xinggong; Liu, Dianbing</t>
  </si>
  <si>
    <t>Strong coupling of Asian Monsoon and Antarctic climates on sub-orbital timescales</t>
  </si>
  <si>
    <t>ICE-CORE; MILLENNIAL-SCALE; PHASE-RELATIONSHIPS; LAST DEGLACIATION; BIPOLAR SEESAW; GREENLAND; VARIABILITY; MODEL; OCEAN; PACIFIC</t>
  </si>
  <si>
    <t>There is increasing evidence that millennial-scale climate variability played an active role on orbital-cale climate changes, but the mechanism for this remains unclear. A Th-230-dated stalagmite delta O-18 record between 88 and 22 thousand years (ka) ago from Yongxing Cave in central China characterizes changes in Asian monsoon (AM) strength. After removing the 65 degrees N insolation signal from our record, the delta O-18 residue is strongly anti-phased with Antarctic temperature variability on sub-orbital timescales during the Marine Isotope Stage (MIS) 3. Furthermore, once the ice volume signal from Antarctic ice core records were removed and extrapolated back to the last two glacial-interglacial cycles, we observe a linear relationship for both short-and long-duration events between Asian and Antarctic climate changes. This provides the robust evidence of a link between northern and southern hemisphere climates that operates through changes in atmospheric circulation. We find that the weakest monsoon closely associated with the warmest Antarctic event always occurred during the Terminations. This finding, along with similar shifts in the opal flux record, suggests that millennial-scale events play a key role in driving the deglaciation through positive feedbacks associated with enhanced upwelling and increasing CO2.</t>
  </si>
  <si>
    <t>[Chen, Shitao; Wang, Yongjin; Kong, Xinggong; Liu, Dianbing] Nanjing Normal Univ, Key Lab Virtual Geog Environm, Nanjing 210023, Jiangsu, Peoples R China; [Chen, Shitao; Wang, Yongjin] Jiangsu Ctr Collaborat Innovat Geog Informat Reso, Nanjing 210023, Jiangsu, Peoples R China; [Cheng, Hai] Xi An Jiao Tong Univ, Inst Global Environm Change, Xian 710049, Peoples R China; [Cheng, Hai; Edwards, R. Lawrence] Univ Minnesota, Dept Geol &amp; Geophys, Minneapolis, MN 55455 USA; [Wang, Xianfeng] Nanyang Technol Univ, Earth Observ Singapore, Nanyang Ave, Singapore 639798, Singapore; [Kong, Xinggong; Liu, Dianbing] State Key Lab Cultivat Base Geog Environm Evolut, Nanjing 210023, Jiangsu, Peoples R China</t>
  </si>
  <si>
    <t>Nanjing Normal University; Xi'an Jiaotong University; University of Minnesota System; University of Minnesota Twin Cities; Nanyang Technological University</t>
  </si>
  <si>
    <t>Wang, YJ (corresponding author), Nanjing Normal Univ, Key Lab Virtual Geog Environm, Nanjing 210023, Jiangsu, Peoples R China.;Wang, YJ (corresponding author), Jiangsu Ctr Collaborat Innovat Geog Informat Reso, Nanjing 210023, Jiangsu, Peoples R China.</t>
  </si>
  <si>
    <t>yjwang@njnu.edu.cn</t>
  </si>
  <si>
    <t>Edwards, R. Lawrence/I-3124-2014; CHENG, HAI/H-3413-2017; Edwards, Richard/JAX-3732-2023; Wang, Xianfeng/F-1233-2014</t>
  </si>
  <si>
    <t>CHENG, HAI/0000-0002-5305-9458; Wang, Xianfeng/0000-0002-8614-5627</t>
  </si>
  <si>
    <t>National Nature Science Foundation of China [41130210, 41072126, 41572340]; Priority Academic Program Development of Jiangsu Higher Education Institutions; National Key Basic Research Program of China [2015CB953804]; U.S. Nature Science Foundation [1103403]</t>
  </si>
  <si>
    <t>National Nature Science Foundation of China(National Natural Science Foundation of China (NSFC)); Priority Academic Program Development of Jiangsu Higher Education Institutions; National Key Basic Research Program of China(National Basic Research Program of China); U.S. Nature Science Foundation</t>
  </si>
  <si>
    <t>This work was supported by grants of National Nature Science Foundation of China (41130210, 41072126 and 41572340), Priority Academic Program Development of Jiangsu Higher Education Institutions, National Key Basic Research Program of China (2015CB953804) and U.S. Nature Science Foundation (1103403).</t>
  </si>
  <si>
    <t>10.1038/srep32995</t>
  </si>
  <si>
    <t>DV1AG</t>
  </si>
  <si>
    <t>WOS:000382651700001</t>
  </si>
  <si>
    <t>Zeng, YX; Qiao, ZY; Yu, Y; Li, HR; Luo, W</t>
  </si>
  <si>
    <t>Zeng, Yin-Xin; Qiao, Zong-Yun; Yu, Yong; Li, Hui-Rong; Luo, Wei</t>
  </si>
  <si>
    <t>Diversity of bacterial dimethylsulfoniopropionate degradation genes in surface seawater of Arctic Kongsfjorden</t>
  </si>
  <si>
    <t>DIMETHYL-SULFIDE; COMMUNITY STRUCTURE; MARINE-BACTERIA; DMSP DEGRADATION; DDDP GENE; DIMETHYLSULPHONIOPROPIONATE; BACTERIOPLANKTON; TURNOVER; SULFUR; OLIGONUCLEOTIDE</t>
  </si>
  <si>
    <t>Dimethylsulfoniopropionate (DMSP), which is the major source of organic sulfur in the world's oceans, plays a significant role in the global sulfur cycle. This compound is rapidly degraded by marine bacteria either by cleavage to dimethylsulfide (DMS) or demethylation to 3-methylmercaptopropionate (MMPA). The diversity of genes encoding bacterial demethylation (dmdA) and DMS production (dddL and dddP) were measured in Arctic Kongsfjorden. Both dmdA and dddL genes were detected in all stations along a transect from the outer to the inner fjord, while dddP gene was only found in the outer and middle parts of the fjord. The dmdA gene was completely confined to the Roseobacter clade, while the dddL gene was confined to the genus Sulfitobacter. Although the dddP gene pool was also dominated by homologs from the Roseobacter clade, there were a few dddP genes showing close relationships to both Alphaproteobacter and Gammaproteobacter. The results of this study suggest that the Roseobacter clade may play an important role in DMSP catabolism via both demethylation and cleavage pathways in surface waters of Kongsfjorden during summer.</t>
  </si>
  <si>
    <t>[Zeng, Yin-Xin; Qiao, Zong-Yun; Yu, Yong; Li, Hui-Rong; Luo, Wei] Polar Res Inst China, Key Lab Polar Sci, State Ocean Adm, Shanghai 200136, Peoples R China</t>
  </si>
  <si>
    <t>Zeng, YX (corresponding author), Polar Res Inst China, Key Lab Polar Sci, State Ocean Adm, Shanghai 200136, Peoples R China.</t>
  </si>
  <si>
    <t>yxzeng@yahoo.com</t>
  </si>
  <si>
    <t>Luo, Wei/0000-0002-4472-2182</t>
  </si>
  <si>
    <t>National Natural Science Foundation of China [41476171]; Chinese Polar Environment Comprehensive Investigation and Assessment Program [CHINARE2016-02-01]</t>
  </si>
  <si>
    <t>National Natural Science Foundation of China(National Natural Science Foundation of China (NSFC)); Chinese Polar Environment Comprehensive Investigation and Assessment Program</t>
  </si>
  <si>
    <t>We appreciate the assistance of the Chinese Arctic and Antarctic Administration (CAA) who organized the Chinese Arctic Yellow River Station Expedition in 2011. We are also grateful to Prof. Hai-Yan Jin of Second Institute of Oceanograghy of State Oceanic Administration for kindly providing chlorophyll a and nutrient data. This work was supported by the National Natural Science Foundation of China (Grant No. 41476171) and the Chinese Polar Environment Comprehensive Investigation and Assessment Program (Grant No. CHINARE2016-02-01).</t>
  </si>
  <si>
    <t>10.1038/srep33031</t>
  </si>
  <si>
    <t>DV1AU</t>
  </si>
  <si>
    <t>WOS:000382653100001</t>
  </si>
  <si>
    <t>Fisher, A; Kara, D</t>
  </si>
  <si>
    <t>Fisher, Andrew; Kara, Derya</t>
  </si>
  <si>
    <t>Determination of rare earth elements in natural water samples - A review of sample separation, preconcentration and direct methodologies</t>
  </si>
  <si>
    <t>ANALYTICA CHIMICA ACTA</t>
  </si>
  <si>
    <t>Rare earth elements; Natural waters; Methods of analysis; Review</t>
  </si>
  <si>
    <t>INDUCTIVELY-COUPLED PLASMA; ATOMIC EMISSION-SPECTROMETRY; SOLID-PHASE EXTRACTION; TIME-OF-FLIGHT; ORGANIC DROP MICROEXTRACTION; NEUTRON-ACTIVATION ANALYSIS; TITANIUM-DIOXIDE NANOTUBES; LIQUID-LIQUID-EXTRACTION; ICP-OES DETERMINATION; PER-TRILLION LEVELS</t>
  </si>
  <si>
    <t>This review discusses and compares the methods given for the determination of rare earth elements (REE) in natural water samples, including sea, river, lake, tap, ground and waste waters as well as Antarctic ice. Since REE are at very low concentrations in natural waters, numerous different preconcentration methods have been proposed to enable their measurement. These include liquid liquid extraction, dispersive liquid-liquid micro-extraction and solidified floating drop micro-extraction. In addition to liquid-liquid extraction methods, solid phase extraction using commercial resins, resins made in-house, silica-based exchange materials and other solid media is also discussed. These and other techniques such as precipitation/ co-precipitation and flotation are compared in terms of speed, preconcentration factors achieved, precision, accuracy and limits of detection (LOD). Some papers have discussed the direct determination of REE in these sample types. Some have used specialised sample introduction systems such as ultrasonic nebulization whereas others have used a standard sample introduction system coupled with inductively coupled plasma mass spectrometry (ICP-MS) detection. These direct methods have also been discussed and compared. (C) 2016 Elsevier B.V. All rights reserved.</t>
  </si>
  <si>
    <t>[Fisher, Andrew] Univ Plymouth, Sch Geog Earth &amp; Environm Sci, Drake Circus, Plymouth PL4 8AA, Devon, England; [Kara, Derya] Balikesir Univ, Art &amp; Sci Fac, Dept Chem, TR-10100 Balikesir, Turkey</t>
  </si>
  <si>
    <t>University of Plymouth; Balikesir University</t>
  </si>
  <si>
    <t>Fisher, A (corresponding author), Univ Plymouth, Sch Geog Earth &amp; Environm Sci, Drake Circus, Plymouth PL4 8AA, Devon, England.</t>
  </si>
  <si>
    <t>afisher@plymouth.ac.uk</t>
  </si>
  <si>
    <t>Kara, Derya/B-3406-2012</t>
  </si>
  <si>
    <t>Fisher, Andrew/0000-0003-4373-4904</t>
  </si>
  <si>
    <t>0003-2670</t>
  </si>
  <si>
    <t>1873-4324</t>
  </si>
  <si>
    <t>ANAL CHIM ACTA</t>
  </si>
  <si>
    <t>Anal. Chim. Acta</t>
  </si>
  <si>
    <t>SEP 7</t>
  </si>
  <si>
    <t>10.1016/j.aca.2016.05.052</t>
  </si>
  <si>
    <t>Chemistry, Analytical</t>
  </si>
  <si>
    <t>Chemistry</t>
  </si>
  <si>
    <t>DU5KC</t>
  </si>
  <si>
    <t>WOS:000382249600001</t>
  </si>
  <si>
    <t>Cai, M; Liu, MY; Hong, QQ; Lin, J; Huang, P; Hong, JJ; Wang, J; Zhao, WL; Chen, M; Cai, MH; Ye, J</t>
  </si>
  <si>
    <t>Cai, Minggang; Liu, Mengyang; Hong, Qingquan; Lin, Jing; Huang, Peng; Hong, Jiajun; Wang, Jun; Zhao, Wenlu; Chen, Meng; Cai, Minghong; Ye, Jun</t>
  </si>
  <si>
    <t>Fate of Polycyclic Aromatic Hydrocarbons in Seawater from the Western Pacific to the Southern Ocean (17.5°N to 69.2°S) and Their Inventories on the Antarctic Shelf</t>
  </si>
  <si>
    <t>PERSISTENT ORGANIC POLLUTANTS; LONG-RANGE TRANSPORT; ORGANOCHLORINE PESTICIDES; MEDITERRANEAN-SEA; WATER COLUMN; ARCTIC-OCEAN; BIOGEOCHEMICAL CONTROLS; ATMOSPHERIC TRANSPORT; CLIMATE-CHANGE; NORTH PACIFIC</t>
  </si>
  <si>
    <t>Sesnivolatile organic compounds such as polycyclic aromatic hydrocarbons (PAHs) have the potential to reach pristine environments through long-range transport. To investigate the long-range transport of the PAHs and their fate in Antarctic seawater, dissolved PAHs in the surface waters from the western Pacific to the Southern Ocean (17.5 degrees N to 69.2 degrees S), as well as down to 3500 m PAH profiles in Prydz Bay and the adjacent Southern Ocean, were observed during the 27th Chinese National Antarctic Research Expedition in 2010. The concentrations of Sigma(9)PAH in the surface seawater ranged from not detected (ND) to 21 ng L-1, with a mean of 4.3 ng L-1; and three-ring PAHs were the most abundant compounds. Samples close to the Australian mainland displayed the highest levels across the cruise. PAHs originated mainly from pyrogenic sources, such as grass, wood, and coal combustion. Vertical profiles of PAHs in Prydz Bay showed a maximum at a depth of 50 m and less variance with depth. In general, we inferred that the water masses as well as the phytoplankton were possible influencing factors on PAH surface-enrichment depth-depletion distribution. Inventory estimation highlighted the contribution of intermediate and deep seawater on storing PAHs in seawater from Prydz Bay, and suggested that climate change rarely shows the rapid release of the PAHs currently stored in the major reservoirs (intermediate and deep seawater).</t>
  </si>
  <si>
    <t>[Cai, Minggang] Xiamen Univ, State Key Lab Marine Environm Sci, Xiamen 361102, Peoples R China; [Cai, Minggang] Xiamen Univ, Fujian Prov Key Lab Coastal Ecol &amp; Environm Studi, Xiamen 361102, Peoples R China; [Cai, Minggang; Liu, Mengyang; Hong, Qingquan; Lin, Jing; Huang, Peng; Wang, Jun; Zhao, Wenlu; Ye, Jun] Xiamen Univ, Coll Ocean &amp; Earth Sci, Xiamen 361102, Peoples R China; [Hong, Jiajun; Chen, Meng] Xiamen Univ, Coll Environm &amp; Ecol, Xiamen 361102, Peoples R China; [Lin, Jing] State Ocean Adm, Inst Oceanog 3, Xiamen 361005, Peoples R China; [Cai, Minghong] Polar Res Inst China, SOA Key Lab Polar Sci, Shanghai 200136, Peoples R China</t>
  </si>
  <si>
    <t>Xiamen University; Xiamen University; Xiamen University; Xiamen University; Third Institute of Oceanography, Ministry of Natural Resources; Polar Research Institute of China</t>
  </si>
  <si>
    <t>Cai, M (corresponding author), Xiamen Univ, State Key Lab Marine Environm Sci, Xiamen 361102, Peoples R China.;Cai, M (corresponding author), Xiamen Univ, Fujian Prov Key Lab Coastal Ecol &amp; Environm Studi, Xiamen 361102, Peoples R China.;Cai, M (corresponding author), Xiamen Univ, Coll Ocean &amp; Earth Sci, Xiamen 361102, Peoples R China.</t>
  </si>
  <si>
    <t>mgcai@xmu.edu.cn; mengchen@xmu.edu.cn</t>
  </si>
  <si>
    <t>Huang, Peng/E-8571-2017; Liu, Mengyang/JDI-7474-2023; Liu, Yifan/S-6217-2017; Hong, Qingquan/J-6133-2012; liu, jiajia/IUN-0901-2023; cai, minggang/G-3979-2010</t>
  </si>
  <si>
    <t>Huang, Peng/0000-0001-7038-3869; cai, minggang/0000-0003-2828-0529; LIU, Mengyang/0000-0001-6808-6208; Hong, Qingquan/0000-0002-6473-5749</t>
  </si>
  <si>
    <t>National Natural Science Foundation of China [41076133, 41576180]; Chinese Polar Environment Comprehensive Investigation and Assessment Programs; Natural Science Foundation of Fujian Province, China [2014J06014]; Program for New Century Excellent Talents in University; Basal Research Fund of Xiamen University [2072010507]</t>
  </si>
  <si>
    <t>National Natural Science Foundation of China(National Natural Science Foundation of China (NSFC)); Chinese Polar Environment Comprehensive Investigation and Assessment Programs; Natural Science Foundation of Fujian Province, China(Natural Science Foundation of Fujian Province); Program for New Century Excellent Talents in University(Program for New Century Excellent Talents in University (NCET)); Basal Research Fund of Xiamen University</t>
  </si>
  <si>
    <t>We wish to express our gratitude to all the members of the 27th Chinese National Antarctic Research Expedition. This research was financially supported by the National Natural Science Foundation of China (41076133 and 41576180), Chinese Polar Environment Comprehensive Investigation and Assessment Programs, the Natural Science Foundation of Fujian Province, China (2014J06014), the Program for New Century Excellent Talents in University and the Basal Research Fund of Xiamen University (2072010507). We are also grateful to Prof. John Hodgkiss for his assistance with English.</t>
  </si>
  <si>
    <t>SEP 6</t>
  </si>
  <si>
    <t>10.1021/acs.est.6b02766</t>
  </si>
  <si>
    <t>DV3FG</t>
  </si>
  <si>
    <t>WOS:000382805800028</t>
  </si>
  <si>
    <t>González-Wevar, CA; Rosenfeld, S; Segovia, NI; Hüne, M; Gérard, K; Ojeda, J; Mansilla, A; Brickle, P; Díaz, A; Poulin, E</t>
  </si>
  <si>
    <t>Gonzalez-Wevar, Claudio A.; Rosenfeld, Sebastian; Segovia, Nicolas I.; Hune, Mathias; Gerard, Karin; Ojeda, Jaime; Mansilla, Andres; Brickle, Paul; Diaz, Angie; Poulin, Elie</t>
  </si>
  <si>
    <t>Genetics, Gene Flow, and Glaciation: The Case of the South American Limpet Nacella mytilina</t>
  </si>
  <si>
    <t>FISH ELEGINOPS-MACLOVINUS; LONG-DISTANCE DISPERSAL; TIERRA-DEL-FUEGO; COMPARATIVE PHYLOGEOGRAPHY; POPULATION-STRUCTURE; FALKLAND-ISLANDS; CLIMATE-CHANGE; HISTORICAL BIOGEOGRAPHY; GIGARTINA-SKOTTSBERGII; EVOLUTIONARY HISTORY</t>
  </si>
  <si>
    <t>Glacial episodes of the Quaternary, and particularly the Last Glacial Maximum (LGM) drastically altered the distribution of the Southern-Hemisphere biota, principally at higher latitudes. The irregular coastline of Patagonia expanding for more than 84.000 km constitutes a remarkable area to evaluate the effect of Quaternary landscape and seascape shifts over the demography of near-shore marine benthic organisms. Few studies describing the bio-geographic responses of marine species to the LGM have been conducted in Patagonia, but existing data from coastal marine species have demonstrated marked genetic signatures of post-LGM recolonization and expansion. The kelp-dweller limpet Nacella mytilina is broadly distributed along the southern tip of South America and at the Falkland/Malvinas Islands. Considering its distribution, abundance, and narrow bathymetry, N. mytilina represents an appropriate model to infer how historical and contemporary processes affected the distribution of intraspecific genetic diversity and structure along the southern tip of South America. At the same time, it will be possible to determine how life history traits and the ecology of the species are responsible for the current pattern of gene flow and connectivity across the study area. We conducted phylogeographic and demographic inference analyses in N. mytilina from 12 localities along Pacific Patagonia (PP) and one population from the Falkland/Malvinas Islands (FI). Analyses of the mitochondrial gene COI in 300 individuals of N. mytilina revealed low levels of genetic polymorphism and the absence of genetic differentiation along PP. In contrast, FI showed a strong and significant differentiation from Pacific Patagonian populations. Higher levels of genetic diversity were also recorded in the FI population, together with a more expanded genealogy supporting the hypothesis of glacial persistence of the species in these islands. Haplotype genealogy, and mismatch analyses in the FI population recognized an older and more complex demographic history than in PP. Demographic reconstructions along PP suggest a post-LGM expansion process (7.5 ka), also supported by neutrality tests, mismatch distribution and maximum parsimony haplotype genealogies. Migration rate estimations showed evidence of asymmetrical gene flow from PP to FI. The absence of genetic differentiation, the presence of a single dominant haplotype, high estimated migration rates, and marked signal of recent demographic growth, support the hypothesis of rapid post-glacial expansion in N. mytilina along PP. This expansion could have been sustained by larval and rafting-mediated dispersal of adults from northernmost populations following the Cape Horn Current System. Marked genetic differentiation between PP and FI could be explained through differences in their respective glacial histories. During the LGM, Pacific Patagonia (PP) was almost fully covered by the Patagonian Ice Sheet, while sheet coverage in the FI ice was restricted to small cirques and valleys. As previously recorded in the sister-species N. magellanica, the FI rather than represent a classical glacial refugium for N. mytilina, seems to represent a sink area and/or a secondary contact zone. Accordingly, historical and contemporary processes, contrasting glacial histories between the analyzed sectors, as well as life history traits constitute the main factors explaining the current biogeographical patterns of most shallow Patagonian marine benthic organisms.</t>
  </si>
  <si>
    <t>[Gonzalez-Wevar, Claudio A.; Gerard, Karin] GAIA Antartica Univ Magallanes, Dept Recursos Nat, Bulnes 01890, Punta Arenas, Chile; [Gonzalez-Wevar, Claudio A.; Rosenfeld, Sebastian; Segovia, Nicolas I.; Hune, Mathias; Ojeda, Jaime; Mansilla, Andres; Poulin, Elie] Univ Chile, Fac Ciencias, Dept Ciencias Ecol, IEB, Las Palmeras 3425, Santiago, Chile; [Gonzalez-Wevar, Claudio A.; Rosenfeld, Sebastian; Gerard, Karin; Ojeda, Jaime; Mansilla, Andres] Univ Magallanes, Lab Macroalgas Antarticas &amp; Subantarticas, Casilla 113-D, Punta Arenas, Chile; [Hune, Mathias] Fdn Ictiol, Providencia Santiago, Chile; [Brickle, Paul] SAERI, POB 609, Stanley Cottage, Stanley, Falkland Island; [Diaz, Angie] Univ Concepcion, Dept Zool, Fac Ciencias Nat &amp; Oceanog, Concepcion, Chile</t>
  </si>
  <si>
    <t>Universidad de Chile; Universidad de Magallanes; Universidad de Concepcion</t>
  </si>
  <si>
    <t>González-Wevar, CA (corresponding author), GAIA Antartica Univ Magallanes, Dept Recursos Nat, Bulnes 01890, Punta Arenas, Chile.;González-Wevar, CA (corresponding author), Univ Chile, Fac Ciencias, Dept Ciencias Ecol, IEB, Las Palmeras 3425, Santiago, Chile.;González-Wevar, CA (corresponding author), Univ Magallanes, Lab Macroalgas Antarticas &amp; Subantarticas, Casilla 113-D, Punta Arenas, Chile.</t>
  </si>
  <si>
    <t>claudio.gonzalez@umag.cl</t>
  </si>
  <si>
    <t>González-Wevar, Claudio Alejandro/AAD-6513-2021; Poulin, Elie/C-2654-2012; Ojeda, Jaime/HHN-1455-2022; Hüne, Mathias/ABE-6000-2020; Gerard, Karin/H-6245-2014; Gérard, Karin/AAC-4911-2021; Diaz, Angie/I-8033-2016</t>
  </si>
  <si>
    <t>Poulin, Elie/0000-0001-7736-0969; Gérard, Karin/0000-0003-0596-1348; Brickle, Paul/0000-0002-9870-3518; Mansilla, Andres/0000-0003-3505-7018; Rosenfeld, Sebastian/0000-0002-4363-8018; ojeda, jaime/0000-0003-3863-9750; Diaz, Angie/0000-0003-4944-588X</t>
  </si>
  <si>
    <t>Fondecyt [3120075, 3130677, 1151336, 1140940]; Initiation Fondecyt Project [11140087]; Instituto de Ecologia y Biodiversidad IEB [P05-002 ICM, PFB 023]; postdoctorate fellowship CD GAIA/UMAG</t>
  </si>
  <si>
    <t>Fondecyt(Comision Nacional de Investigacion Cientifica y Tecnologica (CONICYT)CONICYT FONDECYT); Initiation Fondecyt Project; Instituto de Ecologia y Biodiversidad IEB; postdoctorate fellowship CD GAIA/UMAG</t>
  </si>
  <si>
    <t>This study was completely funded by different projects and institutions including a post-doctorate fellowship (Fondecyt 3120075) and an Initiation Fondecyt Project (11140087) to CAG-W. We also appreciate the following projects: AD (postdoctorate Fondecyt project 3130677), KG (postdoctorate fellowship CD GAIA/UMAG), EP (regular Fondecyt project 1151336), and AM (regular Fondecyt project 1140940). Finally, we mostly appreciate the support of the projects P05-002 ICM and PFB 023 (Instituto de Ecologia y Biodiversidad IEB) to EP, AM, SR, JO and CAG-W and CD GAIA Antartica Universidad de Magallanes to CAG-W and KG. There was no additional external funding received for this study.r This study was completely funded by different projects and institutions including a post-doctorate fellowship (Fondecyt 3120075) and an Initiation Fondecyt Project (11140087) to CAG-W. We also appreciate the following projects: AD (postdoctorate Fondecyt project 3130677), KG (postdoctorate fellowship CD GAIA/UMAG), EP (regular Fondecyt project 1151336), and AM (regular Fondecyt project 1140940). Finally, we mostly appreciate the support of the projects P05-002 ICM and PFB 023 (Instituto de Ecologia y Biodiversidad IEB) to EP, AM, SR, JO and CAG-W and CD GAIA Antartica Universidad de Magallanes to CAG-W and KG. There was no additional external funding received for this study. All the specimens were collected under the Chilean legislation (Technical Memorandum P. INV No 429/2015 SUBPESCA). Permits to undertake field studies and collect specimens in Falkland Islands was issued by the Environmental Planning Department, the Falkland Islands Government. We mostly appreciate the comments and suggestions of the reviewers (Dr. Tom DeVries and an anonymous one) who helped us significantly to improve the manuscript. We recognize the SCAR AntEco and EBA programs, CAML and SAERI, for encouraging and supporting Antarctic and Subantarctic evolutionary biology studies. This manuscript contributes to the SCAR 'State of Antarctic Ecosystem' (AntEco) programme.</t>
  </si>
  <si>
    <t>e0161963</t>
  </si>
  <si>
    <t>10.1371/journal.pone.0161963</t>
  </si>
  <si>
    <t>DV9IT</t>
  </si>
  <si>
    <t>WOS:000383254800030</t>
  </si>
  <si>
    <t>Qing, C; Wu, XQ; Huang, HH; Tian, QG; Zhu, WY; Rao, RZ; Li, XB</t>
  </si>
  <si>
    <t>Qing, Chun; Wu, Xiaoqing; Huang, Honghua; Tian, Qiguo; Zhu, Wenyue; Rao, Ruizhong; Li, Xuebin</t>
  </si>
  <si>
    <t>Estimating the surface layer refractive index structure constant over snow and sea ice using Monin-Obukhov similarity theory with a mesoscale atmospheric model</t>
  </si>
  <si>
    <t>OPTICAL TURBULENCE; FORECAST; SIMULATIONS; PARAMETERS</t>
  </si>
  <si>
    <t>Since systematic direct measurements of refractive index structure constant (C-n(2)) for many climates and seasons are not available, an indirect approach is developed in which C-n(2) is estimated from the mesoscale atmospheric model outputs. In previous work, we have presented an approach that a state-of-the-art mesoscale atmospheric model called Weather Research and Forecasting (WRF) model coupled with Monin-Obukhov similarity (MOS) theory which can be used to estimate surface layer C-n(2) over the ocean. Here this paper is focused on surface layer C-n(2) over snow and sea ice, which is the extending of estimating surface layer C-n(2) utilizing WR model for ground-based optical application requirements. This powerful approach is validated against the corresponding 9-day C-n(2) data from a field campaign of the 30th Chinese National Antarctic Research Expedition (CHINARE). We employ several statistical operators to assess how this approach performs. Besides, we present an independent analysis of this approach performance using the contingency tables. Such a method permits us to provide supplementary key information with respect to statistical operators. These methods make our analysis more robust and permit us to confirm the excellent performances of this approach. The reasonably good agreement in trend and magnitude is found between estimated values and measurements overall, and the estimated C-n(2) values are even better than the ones obtained by this approach over the ocean surface layer. The encouraging performance of this approach has a concrete practical implementation of ground-based optical applications over snow and sea ice. (C) 2016 Optical Society of America</t>
  </si>
  <si>
    <t>[Qing, Chun; Wu, Xiaoqing; Huang, Honghua; Zhu, Wenyue; Rao, Ruizhong; Li, Xuebin] Chinese Acad Sci, Anhui Inst Opt &amp; Fine Mech, Key Lab Atmospher Composit &amp; Opt Radiat, Hefei 230031, Anhui, Peoples R China; [Qing, Chun] Univ Sci &amp; Technol China, Sci Isl Branch, Grad Sch, Hefei 230026, Anhui, Peoples R China; [Tian, Qiguo] Polar Res Inst China, Shanghai 200136, Peoples R China</t>
  </si>
  <si>
    <t>Chinese Academy of Sciences; Hefei Institutes of Physical Science, CAS; Anhui Institute of Optics &amp; Fine Mechanics (AIOFM), CAS; Chinese Academy of Sciences; University of Science &amp; Technology of China, CAS; Polar Research Institute of China</t>
  </si>
  <si>
    <t>Li, XB (corresponding author), Chinese Acad Sci, Anhui Inst Opt &amp; Fine Mech, Key Lab Atmospher Composit &amp; Opt Radiat, Hefei 230031, Anhui, Peoples R China.</t>
  </si>
  <si>
    <t>xbli@aiofm.ac.cn</t>
  </si>
  <si>
    <t>qing, chun/0000-0003-2456-1366</t>
  </si>
  <si>
    <t>National Natural Science Foundation of China (NSFC) [41275020, 41576185]; Chinese Polar Environment Comprehensive Investigation &amp; Assessment Programs [CHINARE-2013-02-03, CHINARE-2014-02-03]; Polar Science Innovation Fund for Young Scientists of Polar Research Institute of China [CX20130201]; Shanghai Natural Science Foundation [14ZR1444100]</t>
  </si>
  <si>
    <t>National Natural Science Foundation of China (NSFC)(National Natural Science Foundation of China (NSFC)); Chinese Polar Environment Comprehensive Investigation &amp; Assessment Programs; Polar Science Innovation Fund for Young Scientists of Polar Research Institute of China; Shanghai Natural Science Foundation(Natural Science Foundation of Shanghai)</t>
  </si>
  <si>
    <t>This work is supported by the National Natural Science Foundation of China (NSFC, Grant Nos. 41275020; 41576185); Chinese Polar Environment Comprehensive Investigation &amp; Assessment Programs (Grant Nos. CHINARE-2013-02-03; CHINARE-2014-02-03); Polar Science Innovation Fund for Young Scientists of Polar Research Institute of China (Grant Nos. CX20130201); Shanghai Natural Science Foundation (Grant Nos. 14ZR1444100).</t>
  </si>
  <si>
    <t>SEP 5</t>
  </si>
  <si>
    <t>10.1364/OE.24.020424</t>
  </si>
  <si>
    <t>DZ8AT</t>
  </si>
  <si>
    <t>WOS:000386091300051</t>
  </si>
  <si>
    <t>Nima, C; Frette, O; Hamre, B; Erga, SR; Chen, YC; Zhao, L; Sorensen, K; Norli, M; Stamnes, K; Stamnes, JJ</t>
  </si>
  <si>
    <t>Nima, Ciren; Frette, Oyvind; Hamre, Borge; Erga, Svein Rune; Chen, Yi-Chun; Zhao, Lu; Sorensen, Kai; Norli, Marit; Stamnes, Knut; Stamnes, Jakob J.</t>
  </si>
  <si>
    <t>Absorption properties of high-latitude Norwegian coastal water: The impact of CDOM and particulate matter</t>
  </si>
  <si>
    <t>High-latitude coastal water; Colored dissolved organic matter; Total suspended matter; Phytoplankton; Chlorophyll-a specific absorption coefficient of phytoplankton; Non-algal particles</t>
  </si>
  <si>
    <t>DISSOLVED ORGANIC-MATTER; ANTARCTIC PENINSULA WATERS; OPTICAL-PROPERTIES; BIOOPTICAL PROPERTIES; LIGHT-ABSORPTION; OCEAN COLOR; PHYTOPLANKTON; SEA; MARINE; UV</t>
  </si>
  <si>
    <t>We present data from measurements and analyses of the spectral absorption due to colored dissolved organic matter (CDOM), total suspended matter (TSM), phytoplankton, and non-algal particles (NAP) in high-latitude northern Norwegian coastal water based on samples taken in spring, summer, and autumn. The Chlorophyll-a (Chl-a) concentration was found to vary significantly with season, whereas regardless of season CDOM was found to be the dominant absorber for wavelengths shorter than 600 nm. The absorption spectral slope S350-500 for CDOM varied between 0.011 and 0.022 nm(-1) with mean value and standard deviation given by (0.015 +/- 0.002) nm(-1). The absorption spectral slope was found to be strongly dependent on the wavelength interval used for fitting. On average, S280-500 was found to be 43% higher than S350-500. A linear relationship was found between the base 10 logarithm of the absorption coefficient at 440 nm [log(a(g)(440))] and S350-500. Regardless of season, phytoplankton were the dominant component of the TSM absorption indicating little influence from land drainage. The mean values of the Chl-a specific absorption coefficient of phytoplankton a(Ph)*(lambda) at 440 nm and 676 nm were 0.052 m(2) mg(-1) and 0.023 m(2) mg(-1), respectively, and a(Ph)*(lambda) was found to vary with season, being higher in summer and autumn than in spring. The absorption spectral slope S-NAP, which is the spectral slope of absorption spectrum for non-algal particles, was lower than that for European coastal water in general. It varied between 0.0048 and 0.022 nm(-1) with mean value and standard deviation given by (0.0083(-1) +/- 0.003) nm(-1). Comparisons of absorption coefficients measured in situ using an ac-9 instrument with those measured in the laboratory from water samples show a good agreement. (C) 2016 The Authors. Published by Elsevier Ltd. This is an open access article under the CC BY-NC-ND license.</t>
  </si>
  <si>
    <t>[Nima, Ciren; Frette, Oyvind; Hamre, Borge; Chen, Yi-Chun; Zhao, Lu; Stamnes, Jakob J.] Univ Bergen, Dept Phys &amp; Technol, N-5020 Bergen, Norway; [Nima, Ciren] Tibet Univ, Dept Phys, Lhasa, Tibet, Peoples R China; [Erga, Svein Rune] Univ Bergen, Dept Biol, N-5020 Bergen, Norway; [Sorensen, Kai; Norli, Marit] Norwegian Inst Water Res, Oslo, Norway; [Stamnes, Knut] Stevens Inst Technol, Hoboken, NJ USA</t>
  </si>
  <si>
    <t>University of Bergen; Tibet University; University of Bergen; Norwegian Institute for Water Research (NIVA); Stevens Institute of Technology</t>
  </si>
  <si>
    <t>Nima, C (corresponding author), Univ Bergen, Dept Phys &amp; Technol, N-5020 Bergen, Norway.</t>
  </si>
  <si>
    <t>tseringtu@yahoo.com</t>
  </si>
  <si>
    <t>Erga, Svein Rune/I-2704-2017; Chen, Yi-Chun/O-8661-2017</t>
  </si>
  <si>
    <t>Network for University Cooperation Tibet-Norway; Norwegian Research Council [212019/F50]</t>
  </si>
  <si>
    <t>Network for University Cooperation Tibet-Norway; Norwegian Research Council(Research Council of Norway)</t>
  </si>
  <si>
    <t>This work was supported by the Network for University Cooperation Tibet-Norway (Ph.D. Fellowship to Ciren Nima and Project entitled Environmental Physics in Tibet), the Norwegian Research Council (Project No. 212019/F50).</t>
  </si>
  <si>
    <t>10.1016/j.ecss.2016.05.012</t>
  </si>
  <si>
    <t>DT0HQ</t>
  </si>
  <si>
    <t>WOS:000381164900017</t>
  </si>
  <si>
    <t>Previdi, M; Polvani, LM</t>
  </si>
  <si>
    <t>Previdi, Michael; Polvani, Lorenzo M.</t>
  </si>
  <si>
    <t>Anthropogenic impact on Antarctic surface mass balance, currently masked by natural variability, to emerge by mid-century</t>
  </si>
  <si>
    <t>ENVIRONMENTAL RESEARCH LETTERS</t>
  </si>
  <si>
    <t>Antarctica; climate change and variability; global climate models; ice sheets; mass balance</t>
  </si>
  <si>
    <t>ICE-SHEET; ACCELERATION; ACCUMULATION; ALTIMETRY</t>
  </si>
  <si>
    <t>Global and regional climate models robustly simulate increases in Antarctic surface mass balance (SMB) during the twentieth and twenty-first centuries in response to anthropogenic global warming. Despite these robust model projections, however, observations indicate that there has been no significant change in Antarctic SMB in recent decades. We show that this apparent discrepancy between models and observations can be explained by the fact that the anthropogenic climate change signal during the second half of the twentieth century is small compared to the noise associated with natural climate variability. Using an ensemble of 35 global coupled climate models to separate signal and noise, we find that the forced SMB increase due to global warming in recent decades is unlikely to be detectable as a result of large natural SMB variability. However, our analysis reveals that the anthropogenic impact on Antarctic SMB is very likely to emerge from natural variability by the middle of the current century, thus mitigating future increases in global sea level.</t>
  </si>
  <si>
    <t>[Previdi, Michael; Polvani, Lorenzo M.] Columbia Univ, Lamont Doherty Earth Observ, Palisades, NY 10964 USA; [Polvani, Lorenzo M.] Columbia Univ, Dept Appl Phys &amp; Appl Math, New York, NY USA; [Polvani, Lorenzo M.] Columbia Univ, Dept Earth &amp; Environm Sci, New York, NY USA</t>
  </si>
  <si>
    <t>Columbia University; Columbia University; Columbia University</t>
  </si>
  <si>
    <t>Previdi, M (corresponding author), Columbia Univ, Lamont Doherty Earth Observ, Palisades, NY 10964 USA.</t>
  </si>
  <si>
    <t>mprevidi@ldeo.columbia.edu</t>
  </si>
  <si>
    <t>Polvani, Lorenzo M/E-5949-2011</t>
  </si>
  <si>
    <t>NSF [PLR 13-41657]</t>
  </si>
  <si>
    <t>We thank S Ligtenberg and an anonymous reviewer whose comments improved the manuscript. MP acknowledges very helpful discussions with R E Bell and I Das. We also gratefully acknowledge support from the NSF Division of Polar Programs, PLR 13-41657. We acknowledge the World Climate Research Programme's Working Group on Coupled Modelling, which is responsible for CMIP, and we thank the climate modeling groups for producing and making available their model output. Finally, we thank K L Smith for providing the observational near-surface temperature data, and M R van den Broeke for providing RACMO2.3 output.</t>
  </si>
  <si>
    <t>IOP Publishing Ltd</t>
  </si>
  <si>
    <t>1748-9326</t>
  </si>
  <si>
    <t>ENVIRON RES LETT</t>
  </si>
  <si>
    <t>Environ. Res. Lett.</t>
  </si>
  <si>
    <t>SEP</t>
  </si>
  <si>
    <t>10.1088/1748-9326/11/9/094001</t>
  </si>
  <si>
    <t>EY2MA</t>
  </si>
  <si>
    <t>WOS:000403801100001</t>
  </si>
  <si>
    <t>Navrotska, D; Andreev, I; Twardovska, M; Betekhtin, A; Parnikoza, I; Hasterok, R; Kunakh, V</t>
  </si>
  <si>
    <t>Navrotska, D.; Andreev, I.; Twardovska, M.; Betekhtin, A.; Parnikoza, I.; Hasterok, R.; Kunakh, V.</t>
  </si>
  <si>
    <t>Pecularities of genome variability of antarctic hairgrass Deschampsia antarctica Desv. from the Maritime Antarctic</t>
  </si>
  <si>
    <t>FEBS JOURNAL</t>
  </si>
  <si>
    <t>41st FEBS Congress on Molecular and Systems Biology for a Better Life</t>
  </si>
  <si>
    <t>SEP 03-08, 2016</t>
  </si>
  <si>
    <t>Kusadasi, TURKEY</t>
  </si>
  <si>
    <t>[Navrotska, D.; Andreev, I.; Twardovska, M.; Parnikoza, I.; Kunakh, V.] Natl Acad Sci Ukraine, Dept Cell Populat Genet, Inst Mol Biol &amp; Genet, Kiev, Ukraine; [Betekhtin, A.; Hasterok, R.] Univ Silesia Katowice, Fac Biol &amp; Environm Protect, Dept Plant Anat &amp; Cytol, Katowice, Poland</t>
  </si>
  <si>
    <t>National Academy of Sciences Ukraine; Institute of Molecular Biology &amp; Genetics of NASU; University of Silesia in Katowice</t>
  </si>
  <si>
    <t>Andreev, Igor/G-6194-2016; Parnikoza, Ivan/I-2398-2016; Hasterok, Robert/A-1629-2008; Kunakh, Viktor A./HKV-4993-2023; Twardovska, Maryana O./JZC-6453-2024</t>
  </si>
  <si>
    <t>Andreev, Igor/0000-0002-3706-8514; Twardovska, Maryana O./0000-0002-9132-1330</t>
  </si>
  <si>
    <t>1742-464X</t>
  </si>
  <si>
    <t>1742-4658</t>
  </si>
  <si>
    <t>FEBS J</t>
  </si>
  <si>
    <t>FEBS J.</t>
  </si>
  <si>
    <t>P02085-042</t>
  </si>
  <si>
    <t>DW4MJ</t>
  </si>
  <si>
    <t>WOS:000383616901642</t>
  </si>
  <si>
    <t>Parolini, C; Dellera, F; Ganzetti, GS; Manzini, S; Busnelli, M; Ramsvik, MS; Bjorndal, B; Bruheim, I; Berge, RK; Chiesa, G</t>
  </si>
  <si>
    <t>Parolini, C.; Dellera, F.; Ganzetti, G. S.; Manzini, S.; Busnelli, M.; Ramsvik, M. S.; Bjorndal, B.; Bruheim, I.; Berge, R. K.; Chiesa, G.</t>
  </si>
  <si>
    <t>IMPACT OF OIL AND PROTEINS DERIVED FROM ANTARCTIC KRILL ON ATHEROSCLEROSIS DEVELOPMENT IN APOEKO MICE</t>
  </si>
  <si>
    <t>ATHEROSCLEROSIS</t>
  </si>
  <si>
    <t>Congress of the European-Atherosclerosis-Society (EAS)</t>
  </si>
  <si>
    <t>MAY 29-JUN 01, 2016</t>
  </si>
  <si>
    <t>Innsbruck, AUSTRIA</t>
  </si>
  <si>
    <t>[Parolini, C.; Dellera, F.; Ganzetti, G. S.; Manzini, S.; Busnelli, M.; Chiesa, G.] Univ Milan, Dept Pharmacol &amp; Biomol Sci, Milan, Italy; [Ramsvik, M. S.; Bjorndal, B.; Berge, R. K.] Univ Bergen, Dept Clin Sci, Bergen, Norway; [Bruheim, I.] Olymp Seafood AS, Fosnavag, Norway</t>
  </si>
  <si>
    <t>University of Milan; University of Bergen</t>
  </si>
  <si>
    <t>Bjørndal, Bodil/H-6143-2017; Parolini, Cinzia/G-8984-2012; Manzini, Stefano/H-7123-2014; Busnelli, Marco/AAO-6981-2021; Bjørndal, Bodil/HDN-4287-2022; Bjørndal, Bodil/ITT-0544-2023</t>
  </si>
  <si>
    <t>Busnelli, Marco/0000-0003-3245-2872;</t>
  </si>
  <si>
    <t>0021-9150</t>
  </si>
  <si>
    <t>1879-1484</t>
  </si>
  <si>
    <t>Atherosclerosis</t>
  </si>
  <si>
    <t>EAS16-0943</t>
  </si>
  <si>
    <t>E95</t>
  </si>
  <si>
    <t>10.1016/j.atherosclerosis.2016.07.551</t>
  </si>
  <si>
    <t>Cardiac &amp; Cardiovascular Systems; Peripheral Vascular Disease</t>
  </si>
  <si>
    <t>ED6PR</t>
  </si>
  <si>
    <t>WOS:000388978400319</t>
  </si>
  <si>
    <t>Wilf, P; Stevenson, DW; Cúneo, NR</t>
  </si>
  <si>
    <t>Wilf, Peter; Stevenson, Dennis Wm.; Cuneo, N. Ruben</t>
  </si>
  <si>
    <t>The last Patagonian cycad, Austrozamia stockeyi gen. et sp nov., early Eocene of Laguna del Hunco, Chubut, Argentina</t>
  </si>
  <si>
    <t>BOTANY</t>
  </si>
  <si>
    <t>Joint Meetings of the Botanical-Society-of-America and the Canadian-Botanical-Association</t>
  </si>
  <si>
    <t>Edmonton, CANADA</t>
  </si>
  <si>
    <t>cycads; Eocene; Encephalartos; Lepidozamia; Patagonia; Zamiaceae</t>
  </si>
  <si>
    <t>WESTERN NORTH-AMERICA; CERATOZAMIA ZAMIACEAE; PHYLOGENETIC ANALYSIS; PLANT DIVERSITY; SOUTH-AMERICA; RAIN-FOREST; PALEOGENE; SEDIMENTS; FOLIAGE; RECORD</t>
  </si>
  <si>
    <t>The cycads pose classic problems in evolutionary biogeography, owing to their far-flung extant distributions and the sparse fossil records of living genera. A noteworthy example is Tribe Encephalarteae of Family Zamiaceae, today consisting of Encephalartos (Africa) and the Australian genera Lepidozamia and Macrozamia. Numerous petrified trunks of Encephalarteae described from the Cretaceous of Patagonia, Antarctica, and India indicate far larger past distributions across Gondwana and subsequent extinctions. The only fossils close to the current range are Paleogene leaf fragments from Australia assigned to Lepidozamia and Macrozamia. Here, we report a large frond piece and several isolated leaflets of a compressed cycad, along with an associated spiny petiole, from the late-Gondwanan, 52.2 Ma Laguna del Hunco flora of Patagonia, Argentina. Austrozamia stockeyi gen. et sp. nov., has the novel combination of an Encephalartos-type leaf and Lepidozamia-type cuticle. The Australian Lepidozamia fossils, widely used for molecular clock calibrations, could also represent an extinct genus. Austrozamia stockeyi demonstrates survival of the Encephalarteae in Patagonia and presumably across Gondwana until its terminal phase, adding a striking new component to the growing list of South American plant extinctions associated with Antarctic separation and related climate changes.</t>
  </si>
  <si>
    <t>[Wilf, Peter] Penn State Univ, Dept Geosci, University Pk, PA 16802 USA; [Stevenson, Dennis Wm.] New York Bot Garden, Bronx, NY 10458 USA; [Cuneo, N. Ruben] Consejo Nacl Invest Cient &amp; Tecn, Museo Paleontol Egidio Feruglio, RA-9100 Trelew, Chubut, Argentina</t>
  </si>
  <si>
    <t>Pennsylvania Commonwealth System of Higher Education (PCSHE); Pennsylvania State University; Pennsylvania State University - University Park; New York Botanical Garden; Consejo Nacional de Investigaciones Cientificas y Tecnicas (CONICET)</t>
  </si>
  <si>
    <t>Wilf, P (corresponding author), Penn State Univ, Dept Geosci, University Pk, PA 16802 USA.</t>
  </si>
  <si>
    <t>pwilf@psu.edu</t>
  </si>
  <si>
    <t>Wilf, Peter/0000-0001-6813-1937</t>
  </si>
  <si>
    <t>Division Of Environmental Biology; Direct For Biological Sciences [1556666] Funding Source: National Science Foundation</t>
  </si>
  <si>
    <t>Division Of Environmental Biology; Direct For Biological Sciences(National Science Foundation (NSF)NSF - Directorate for Biological Sciences (BIO))</t>
  </si>
  <si>
    <t>1916-2790</t>
  </si>
  <si>
    <t>1916-2804</t>
  </si>
  <si>
    <t>Botany</t>
  </si>
  <si>
    <t>10.1139/cjb-2016-0038</t>
  </si>
  <si>
    <t>DW5QJ</t>
  </si>
  <si>
    <t>WOS:000383701100011</t>
  </si>
  <si>
    <t>Christmann, J; Plate, C; Müller, R; Humbert, A</t>
  </si>
  <si>
    <t>Christmann, Julia; Plate, Carolin; Mueller, Ralf; Humbert, Angelika</t>
  </si>
  <si>
    <t>Viscous and viscoelastic stress states at the calving front of Antarctic ice shelves</t>
  </si>
  <si>
    <t>ANNALS OF GLACIOLOGY</t>
  </si>
  <si>
    <t>calving; ice-shelves; modeling</t>
  </si>
  <si>
    <t>SURFACE; PROPAGATION</t>
  </si>
  <si>
    <t>Calving mechanisms are still poorly understood and stress states in the vicinity of ice-shelf fronts are insufficiently known for the development of physically motivated calving laws that match observations. A calving model requires the knowledge of maximum tensile stresses. These stresses depend on different simulation approaches and material models. Therefore, this study compares results of a two-dimensional (2-D) continuum approach using finite elements with results of a one-dimensional (1-D) beam model elaborated in Reeh (1968). A purely viscous model, as well as a viscoelastic Maxwell model, is applied for the 2-D case. The maximum tensile stress usually appears at the top surface of an ice shelf. Its location and magnitude are predominantly influenced by the thickness of the ice shelf and the height of the freeboard, the traction-free part at the ice front. More precisely, doubling the thickness leads to twice the stress maximum, while doubling the freeboard, based on changes of the ice density, results in an increase of the stress maximum by 61%. Poisson's ratio controls the evolution of the maximum stress with time. The viscosity and Young's modulus define the characteristic time of the Maxwell model and thus the time to reach the maximum principal stress.</t>
  </si>
  <si>
    <t>[Christmann, Julia; Plate, Carolin; Mueller, Ralf] Univ Kaiserslautern, Inst Appl Mech, Kaiserslautern, Germany; [Humbert, Angelika] Helmholtz Ctr Polar &amp; Marine Res, Alfred Wegener Inst, Sect Glaciol, Bremerhaven, Germany; [Humbert, Angelika] Univ Bremen, Dept Geosci, Bremen, Germany</t>
  </si>
  <si>
    <t>University of Kaiserslautern; Helmholtz Association; Alfred Wegener Institute, Helmholtz Centre for Polar &amp; Marine Research; University of Bremen</t>
  </si>
  <si>
    <t>Christmann, J (corresponding author), Univ Kaiserslautern, Inst Appl Mech, Kaiserslautern, Germany.</t>
  </si>
  <si>
    <t>jchristm@rhrk.uni-kl.de</t>
  </si>
  <si>
    <t>Humbert, Angelika/0000-0002-0244-8760</t>
  </si>
  <si>
    <t>DFG [SPP 1158, HU 1570/5-1, MU 1370/7-1]</t>
  </si>
  <si>
    <t>DFG(German Research Foundation (DFG))</t>
  </si>
  <si>
    <t>This work was supported by DFG priority program SPP 1158, project numbers HU 1570/5-1; MU 1370/7-1. J. C. thanks M. O'Leary for recommending a comparison of the beam theory with finite element simulations applying different material laws on the same configuration during a review of another manuscript. We thank the scientific editor Martin Truffer, the reviewer Martin O'Leary and one anonymous reviewer for very helpful comments and suggestions.</t>
  </si>
  <si>
    <t>0260-3055</t>
  </si>
  <si>
    <t>1727-5644</t>
  </si>
  <si>
    <t>ANN GLACIOL</t>
  </si>
  <si>
    <t>Ann. Glaciol.</t>
  </si>
  <si>
    <t>10.1017/aog.2016.18</t>
  </si>
  <si>
    <t>ED6GJ</t>
  </si>
  <si>
    <t>WOS:000388953800003</t>
  </si>
  <si>
    <t>Pittard, ML; Roberts, JL; Galton-Fenzi, BK; Watson, CS</t>
  </si>
  <si>
    <t>Pittard, M. L.; Roberts, J. L.; Galton-Fenzi, B. K.; Watson, C. S.</t>
  </si>
  <si>
    <t>Sensitivity of the Lambert-Amery glacial system to geothermal heat flux</t>
  </si>
  <si>
    <t>geothermal heat flux; ice-sheet model; subglacial hydrology</t>
  </si>
  <si>
    <t>ANTARCTIC ICE-SHEET; MODEL PISM-PIK; EAST ANTARCTICA; SHELF; SURFACE; FLOW</t>
  </si>
  <si>
    <t>Geothermal heat flux (GHF) is one of the key thermal boundary conditions for ice-sheet models. We assess the sensitivity of the Lambert-Amery glacial system in East Antarctica to four different GHF datasets using a regional ice-sheet model. A control solution of the regional model is initialised by minimising the misfit to observations through an optimisation process. The Lambert-Amery glacial system simulation contains temperate ice up to 150 m thick and has an average basal melt of 1.3 mm a(-1), with maximum basal melting of 504 mm a(-1). The simulations which use a relatively high GHF compared to the control solution increase the volume and area of temperate ice, which causes higher surface velocities at higher elevations, which leads to the advance of the grounding line. The grounding line advance leads to changes in the local flow configuration, which dominates the changes within the glacial system. To investigate the difference in spatial patterns within the geothermal datasets, they were scaled to have the same median value. These scaled GHF simulations showed that the ice flow was most sensitive to the spatial variation in the underlying GHF near the ice divides and on the edges of the ice streams.</t>
  </si>
  <si>
    <t>[Pittard, M. L.] Univ Tasmania, Inst Marine &amp; Antarctic Studies, Hobart, Tas, Australia; [Pittard, M. L.; Roberts, J. L.; Galton-Fenzi, B. K.] Univ Tasmania, Antarctic Climate &amp; Ecosyst Cooperat Res Ctr, Hobart, Tas, Australia; [Roberts, J. L.; Galton-Fenzi, B. K.] Australian Antarctic Div, Kingston, Tas, Australia; [Watson, C. S.] Univ Tasmania, Sch Land &amp; Food, Hobart, Tas, Australia</t>
  </si>
  <si>
    <t>University of Tasmania; University of Tasmania; Antarctic Climate &amp; Ecosystems Cooperative Research Centre (ACE CRC); Australian Antarctic Division; University of Tasmania</t>
  </si>
  <si>
    <t>Pittard, ML (corresponding author), Univ Tasmania, Inst Marine &amp; Antarctic Studies, Hobart, Tas, Australia.;Pittard, ML (corresponding author), Univ Tasmania, Antarctic Climate &amp; Ecosyst Cooperat Res Ctr, Hobart, Tas, Australia.</t>
  </si>
  <si>
    <t>mark.pittard@utas.edu.au</t>
  </si>
  <si>
    <t>Roberts, Jason L/B-2235-2012; Watson, Christopher S/D-4707-2013</t>
  </si>
  <si>
    <t>Roberts, Jason L/0000-0002-3477-4069; Galton-Fenzi, Benjamin Keith/0000-0003-1404-4103; Pittard, Mark/0000-0002-9026-7571; Watson, Christopher/0000-0002-7464-4592</t>
  </si>
  <si>
    <t>Australian Government's Cooperative Research Centres programme through the Antarctic Climate &amp; Ecosystems Cooperative Research Centre; Australian Research Council's Special Research Initiative for Antarctic Gateway Partnership [SR140300001]; Australian Government [m68, gh8]; NASA [NNX13AM16 G, NNX13AK27G]</t>
  </si>
  <si>
    <t>Australian Government's Cooperative Research Centres programme through the Antarctic Climate &amp; Ecosystems Cooperative Research Centre(Australian GovernmentDepartment of Industry, Innovation and ScienceCooperative Research Centres (CRC) Programme); Australian Research Council's Special Research Initiative for Antarctic Gateway Partnership(Australian Research Council); Australian Government(Australian Government); NASA(National Aeronautics &amp; Space Administration (NASA))</t>
  </si>
  <si>
    <t>This work was supported by the Australian Government's Cooperative Research Centres programme through the Antarctic Climate &amp; Ecosystems Cooperative Research Centre. This research was supported under Australian Research Council's Special Research Initiative for Antarctic Gateway Partnership (Project ID SR140300001). This research was undertaken with the assistance of resources under projects m68 and gh8 from the National Computational Infrastructure (NCI), which is supported by the Australian Government. Development of PISM is supported by NASA grants NNX13AM16 G and NNX13AK27G. The GHF dataset updated using the MF7 magnetic field based on the (Fox Maule and others, 2005) was provided by Michael E. Purucker, NASA. We would like to acknowledge the anonymous reviewers for their suggestions, which greatly improved this manuscript.</t>
  </si>
  <si>
    <t>10.1017/aog.2016.26</t>
  </si>
  <si>
    <t>WOS:000388953800008</t>
  </si>
  <si>
    <t>Little, CM; Urban, NM</t>
  </si>
  <si>
    <t>Little, Christopher M.; Urban, Nathan M.</t>
  </si>
  <si>
    <t>CMIP5 temperature biases and 21st century warming around the Antarctic coast</t>
  </si>
  <si>
    <t>Antarctic glaciology; climate models; ice/ocean interactions; ice sheet mass balance</t>
  </si>
  <si>
    <t>CIRCUMPOLAR DEEP-WATER; MODELS HISTORICAL BIAS; SOUTHERN-OCEAN; MESOSCALE EDDIES; ICE; SEA; CLIMATE; CIRCULATION; SENSITIVITY; TRANSPORT</t>
  </si>
  <si>
    <t>Projections of ice-sheet mass balance require regional ocean warming projections derived from atmosphere-ocean general circulation models (AOGCMs). However, the coarse resolution of AOGCMs: (1) may lead to systematic or AOGCM-specific biases and (2) makes it difficult to identify relevant water masses. Here, we employ a large-scale metric of Antarctic Shelf Bottom Water (ASBW) to investigate circum-Antarctic temperature biases and warming projections in 19 different Coupled Model Intercomparison Project Phase 5 (CMIP5) AOGCMs forced with two different 'representative concentration pathways' (RCPs). For high-emissions RCP 8.5, the ensemble mean 21st century ASBW warming is 0.66, 0.74 and 0.58 degrees C for the Amundsen, Ross and Weddell Seas (AS, RS and WS), respectively. RCP 2.6 ensemble mean projections are substantially lower: 0.21, 0.26, and 0.19 degrees C. All distributions of regional ASBW warming are positively skewed; for RCP 8.5, four AOGCMs project warming of greater than 1.8 degrees C in the RS. Across the ensemble, there is a strong, RCP-independent, correlation between WS and RS warming. AS warming is more closely linked to warming in the Southern Ocean. We discuss possible physical mechanisms underlying the spatial patterns of warming and highlight implications of these results on strategies for forcing ice-sheet mass balance projections.</t>
  </si>
  <si>
    <t>[Little, Christopher M.] Atmospher &amp; Environm Res Inc, Lexington, MA 02421 USA; [Urban, Nathan M.] Los Alamos Natl Lab, Computat Phys &amp; Methods CCS 2, Los Alamos, NM 87545 USA</t>
  </si>
  <si>
    <t>Atmospheric &amp; Environmental Research; United States Department of Energy (DOE); Los Alamos National Laboratory</t>
  </si>
  <si>
    <t>Little, CM (corresponding author), Atmospher &amp; Environm Res Inc, Lexington, MA 02421 USA.</t>
  </si>
  <si>
    <t>clittle@aer.com</t>
  </si>
  <si>
    <t>Urban, Nathan M/C-1455-2008</t>
  </si>
  <si>
    <t>Urban, Nathan/0000-0002-2264-3512</t>
  </si>
  <si>
    <t>Regional and Global Climate Modeling program of the US Department of Energy Office of Science</t>
  </si>
  <si>
    <t>C.M.L is grateful for discussions with Laurie Padman, and financial support from NSF-PLR Award # 1513396. This research was also supported by the Regional and Global Climate Modeling program of the US Department of Energy Office of Science, as a contribution to the HiLAT project. The authors would like to thank the BEDMAP2 project and the developers of the Bedmap2 Toolbox for Matlab, and the NOAA Geophysical Fluid Dynamics Laboratory for data and analysis tools. We acknowledge the World Climate Research Programme's Working Group on Coupled Modeling, which is responsible for CMIP, and we thank the climate modeling groups (listed in Table 1) for producing and making available their model output. The U.S. Department of Energy's Program for Climate Model Diagnosis and Intercomparison provides coordinating support for CMIP and led development of software infrastructure in partnership with the Global Organization for Earth System Science Portals.</t>
  </si>
  <si>
    <t>10.1017/aog.2016.25</t>
  </si>
  <si>
    <t>WOS:000388953800009</t>
  </si>
  <si>
    <t>Wang, TT; Sun, B; Tang, XY; Pang, XP; Cui, XB; Guo, JX; Wang, H</t>
  </si>
  <si>
    <t>Wang, Tiantian; Sun, Bo; Tang, Xueyuan; Pang, Xiaoping; Cui, Xiangbin; Guo, Jingxue; Wang, Hui</t>
  </si>
  <si>
    <t>Spatio-temporal variability of past accumulation rates inferred from isochronous layers at Dome A, East Antarctica</t>
  </si>
  <si>
    <t>Dome A; isochrones; past accumulation rate; radio-echo sounding</t>
  </si>
  <si>
    <t>DRONNING MAUD-LAND; ZHONGSHAN STATION; SNOW ACCUMULATION; WEST ANTARCTICA; ICE-SHEET; PROFILE; CORE</t>
  </si>
  <si>
    <t>Studies of palaeo-accumulation rates at Dome A, East Antarctica, are entirely absent. Here, spatio-temporal variations in ice accumulation rates for the past similar to 161 ka are calculated from isochronous internal layering, traced from radio-echo sounding (RES) data collected by the Polar Research Institute of China (PRIC) during the 21st CHINARE. The layers are dated by linking them to the site of Vostok ice core along an RES profile, which was flown by the Alfred-Wegener-Institut (AWI) in the Dome Connection East Antarctica (DoCo) project. The Dansgaard-Johnsen model is used to determine the spatial and temporal pattern of ice accumulation in Dome A region. The results show that there is a slight increasing pattern of ice accumulation from south to north along the 216 km radar profile at Dome A. The lowest ice accumulation rates were calculated around the Dome A zone. In the past similar to 90 ka, there were relatively high accumulation rates during the time period 34-47 ka (Marine Isotope Stage 3) at Dome A.</t>
  </si>
  <si>
    <t>[Wang, Tiantian; Pang, Xiaoping] Wuhan Univ, Chinese Antarct Ctr Surveying &amp; Mapping, Wuhan, Peoples R China; [Wang, Tiantian; Sun, Bo; Tang, Xueyuan; Cui, Xiangbin; Guo, Jingxue; Wang, Hui] Polar Res Inst China, Shanghai, Peoples R China</t>
  </si>
  <si>
    <t>Wuhan University; Polar Research Institute of China</t>
  </si>
  <si>
    <t>Wang, TT (corresponding author), Wuhan Univ, Chinese Antarct Ctr Surveying &amp; Mapping, Wuhan, Peoples R China.;Wang, TT (corresponding author), Polar Res Inst China, Shanghai, Peoples R China.</t>
  </si>
  <si>
    <t>wangtian890320@163.com</t>
  </si>
  <si>
    <t>Cui, Xiangbin/Y-1551-2019; sun, bo/JFA-9978-2023</t>
  </si>
  <si>
    <t>Cui, Xiangbin/0000-0002-4269-8086;</t>
  </si>
  <si>
    <t>China's National Key Science Program [2012CB957702, 2013CBA01804]; National High-tech R&amp;D Program of China [2011AA040202]; Chinese Polar Environmental Comprehensive Investigation and Assessment Programs [CHINARE-02-02]; Foreign Cooperation Support of Chinese Arctic and Antarctic Administration, SOA, China [IC201214]; National Science Foundation of Shanghai, China [13ZR1445300]; National Natural Science Foundation of China [41376192]</t>
  </si>
  <si>
    <t>China's National Key Science Program; National High-tech R&amp;D Program of China(National High Technology Research and Development Program of China); Chinese Polar Environmental Comprehensive Investigation and Assessment Programs; Foreign Cooperation Support of Chinese Arctic and Antarctic Administration, SOA, China; National Science Foundation of Shanghai, China; National Natural Science Foundation of China(National Natural Science Foundation of China (NSFC))</t>
  </si>
  <si>
    <t>Work was supported by China's National Key Science Program (2012CB957702, 2013CBA01804), the National High-tech R&amp;D Program of China (2011AA040202) and the Chinese Polar Environmental Comprehensive Investigation and Assessment Programs (CHINARE-02-02), Foreign Cooperation Support of Chinese Arctic and Antarctic Administration, SOA, China (IC201214), National Science Foundation of Shanghai, China (13ZR1445300), National Natural Science Foundation of China (41376192).</t>
  </si>
  <si>
    <t>10.1017/aog.2016.28</t>
  </si>
  <si>
    <t>WOS:000388953800011</t>
  </si>
  <si>
    <t>Shuman, C; Scambos, T; Berthier, E</t>
  </si>
  <si>
    <t>Shuman, Christopher; Scambos, Ted; Berthier, Etienne</t>
  </si>
  <si>
    <t>Ice loss processes in the Seal Nunataks ice shelf region from satellite altimetry and imagery</t>
  </si>
  <si>
    <t>Antarctic glaciology; ice shelves; remote sensing</t>
  </si>
  <si>
    <t>ANTARCTIC PENINSULA; MASS-BALANCE; LARSEN; ELEVATION; SHEET; DISINTEGRATION; DISCHARGE; GLACIERS; COLLAPSE; TRIBUTARY</t>
  </si>
  <si>
    <t>The Seal Nunataks ice shelf (SNIS, similar to 743 km(2) in 2013) is an unofficial name for a remnant area between the former Larsen A and Larsen B ice shelves off the northeastern Antarctic Peninsula. Analyses using Landsat 7 ETM+ and Terra ASTER images from 2001 to 13 and ICESat altimetry from 2003 to 09 show it has retreated and thinned following the Larsen A (1995) and Larsen B (2002) disintegrations. Despite some regional cooling and more fast ice since 2008, SNIS continues to lose ice along its margins and may be losing contact with some nunataks. Detailed analysis of data from four ICESat tracks indicates that ice shelf thinning rates range between 1.9 and 2.7 m a(-1), and generally increase from west to east. An ICESat repeat track crossing the adjacent Robertson Island shows a mean elevation loss of 1.8 m a(-1). Two tracks crossing the SNIS's remaining tributary, Rogosh Glacier, show sub-meter elevation losses. Comparing shelf remnant and grounded ice thinning rates implies that basal ocean melting augments SNIS thinning by similar to 1 m a(-1), a rate that is consistent with other estimates of ocean-driven shelf thinning in the region.</t>
  </si>
  <si>
    <t>[Shuman, Christopher] NASA, Goddard Space Flight Ctr, UMBC, JCET, Greenbelt, MD USA; [Scambos, Ted] Univ Colorado Boulder, CIRES, NSIDC, Boulder, CO USA; [Berthier, Etienne] Univ Toulouse, UPS, CNRS, CNES,IRD,LEGOS, Toulouse, France</t>
  </si>
  <si>
    <t>National Aeronautics &amp; Space Administration (NASA); NASA Goddard Space Flight Center; University System of Maryland; University of Maryland Baltimore County; University of Colorado System; University of Colorado Boulder; Universite de Toulouse; Universite Toulouse III - Paul Sabatier; Centre National de la Recherche Scientifique (CNRS); Institut de Recherche pour le Developpement (IRD); Laboratoire d'Etudes en Geophysique et oceanographie spatiales</t>
  </si>
  <si>
    <t>Shuman, C (corresponding author), NASA, Goddard Space Flight Ctr, UMBC, JCET, Greenbelt, MD USA.</t>
  </si>
  <si>
    <t>Christopher.A.Shuman@nasa.gov</t>
  </si>
  <si>
    <t>Berthier, Etienne/B-8900-2009</t>
  </si>
  <si>
    <t>Berthier, Etienne/0000-0001-5978-9155; SCAMBOS, Ted A./0000-0003-4268-6322</t>
  </si>
  <si>
    <t>NSF [NSF ANT-0732921]; NASA [NASA NNX10AR76G]; TOSCA program of the French Space Agency (CNES); ISIS program of the French Space Agency (CNES); NASA</t>
  </si>
  <si>
    <t>NSF(National Science Foundation (NSF)); NASA(National Aeronautics &amp; Space Administration (NASA)); TOSCA program of the French Space Agency (CNES); ISIS program of the French Space Agency (CNES); NASA(National Aeronautics &amp; Space Administration (NASA))</t>
  </si>
  <si>
    <t>The authors would like to acknowledge the support of H. Pritchard for additional insights on a previously published analysis for the area (Pritchard and others, 2012). The authors would also like to thank J. Bohlander, K. Melocik, V. Suchdeo, and P. Vornberger for help with aspects of the imagery analysis. This project also benefitted from the help of M. Siegfried and L. Padman regarding the best available ocean tide model for the ICESat data. The ICESat data for this paper are available at the NASA Distributed Active Archive Center at the National Snow and Ice Data Center (GLA12 - GLAS/ICESat L2 Antarctic and Greenland Ice Sheet Altimetry Data). The Landsat data were acquired at no cost via the Earth Explorer website from the US Geological Survey's Earth Resource Observation and Science Center (EROS), home of the national archive for Landsat imagery. The ASTER data were provided at no cost through the Global Land Ice Measurements from Space (GLIMS) project. This work was supported by NSF and NASA grants to T. Scambos (NSF ANT-0732921; NASA NNX10AR76G), the TOSCA and ISIS programs of the French Space Agency (CNES) to E. Berthier, and NASA Cryospheric Sciences Program funds to C. Shuman. The final paper benefitted from the many helpful comments provided by two anonymous reviewers.</t>
  </si>
  <si>
    <t>10.1017/aog.2016.29</t>
  </si>
  <si>
    <t>WOS:000388953800012</t>
  </si>
  <si>
    <t>Gwyther, DE; Cougnon, EA; Galton-Fenzi, BK; Roberts, JL; Hunter, JR; Dinniman, MS</t>
  </si>
  <si>
    <t>Gwyther, David E.; Cougnon, Eva A.; Galton-Fenzi, Benjamin K.; Roberts, Jason L.; Hunter, John R.; Dinniman, Michael S.</t>
  </si>
  <si>
    <t>Modelling the response of ice shelf basal melting to different ocean cavity environmental regimes</t>
  </si>
  <si>
    <t>ice shelves; ice/ocean interactions; melt - basal</t>
  </si>
  <si>
    <t>BOUNDARY-LAYER; THERMOHALINE CIRCULATION; ANTARCTICA; RATES; PARAMETERIZATION; FRICTION; SURFACE; BENEATH; SYSTEM; SEA</t>
  </si>
  <si>
    <t>We present simulation results from a version of the Regional Ocean Modeling System modified for ice shelf/ocean interaction, including the parameterisation of basal melting by molecular diffusion alone. Simulations investigate the differences in melting for an idealised ice shelf experiencing a range of cold to hot ocean cavity conditions. Both the pattern of melt and the location of maximum melt shift due to changes in the buoyancy-driven circulation, in a different way to previous studies. Tidal forcing increases both the circulation strength and melting, with the strongest impact on the cold cavity case. Our results highlight the importance of including a complete melt parameterisation and tidal forcing. In response to the 2.4 degrees C ocean warming initially applied to a cold cavity ice shelf, we find that melting will increase by about an order of magnitude (24 x with tides and 41 x without tides).</t>
  </si>
  <si>
    <t>[Gwyther, David E.; Cougnon, Eva A.] Univ Tasmania, Inst Marine &amp; Antarctic Studies, Private Bag 129, Hobart, Tas 7001, Australia; [Gwyther, David E.; Cougnon, Eva A.; Galton-Fenzi, Benjamin K.; Roberts, Jason L.; Hunter, John R.] Univ Tasmania, Antarctic Climate &amp; Ecosyst Cooperat Res Ctr, Private Bag 80, Hobart, Tas 7001, Australia; [Cougnon, Eva A.] CSIRO, Marine &amp; Atmospher Res, Hobart, Tas, Australia; [Galton-Fenzi, Benjamin K.; Roberts, Jason L.] Australian Antarctic Div, Channel Highway, Kingston, Tas 7050, Australia; [Dinniman, Michael S.] Old Dominion Univ, Ctr Coastal Phys Oceanog, Norfolk, VA USA</t>
  </si>
  <si>
    <t>University of Tasmania; University of Tasmania; Antarctic Climate &amp; Ecosystems Cooperative Research Centre (ACE CRC); Commonwealth Scientific &amp; Industrial Research Organisation (CSIRO); Australian Antarctic Division; Old Dominion University</t>
  </si>
  <si>
    <t>Gwyther, DE (corresponding author), Univ Tasmania, Inst Marine &amp; Antarctic Studies, Private Bag 129, Hobart, Tas 7001, Australia.;Gwyther, DE (corresponding author), Univ Tasmania, Antarctic Climate &amp; Ecosyst Cooperat Res Ctr, Private Bag 80, Hobart, Tas 7001, Australia.</t>
  </si>
  <si>
    <t>david.gwyther@gmail.com</t>
  </si>
  <si>
    <t>Gwyther, David E/Q-2987-2018; Roberts, Jason L/B-2235-2012; Gwyther, David E/O-4880-2017; Cougnon, Eva/C-4110-2014</t>
  </si>
  <si>
    <t>Gwyther, David E/0000-0002-7218-2785; Roberts, Jason L/0000-0002-3477-4069; Gwyther, David E/0000-0002-7218-2785; Dinniman, Michael/0000-0001-7519-9278; Cougnon, Eva/0000-0002-8691-5935; Galton-Fenzi, Benjamin Keith/0000-0003-1404-4103</t>
  </si>
  <si>
    <t>Australian Government's Cooperative Research Centre Programme through Antarctic Climate &amp; Ecosystems Cooperative Research Centre; Australian Research Council's Special Research Initiative for Antarctic Gateway Partnership [SR140300001]; Australian Government CSIRO; University of Tasmania; National Computational Infrastructure [m68]</t>
  </si>
  <si>
    <t>Australian Government's Cooperative Research Centre Programme through Antarctic Climate &amp; Ecosystems Cooperative Research Centre(Australian GovernmentDepartment of Industry, Innovation and ScienceCooperative Research Centres (CRC) Programme); Australian Research Council's Special Research Initiative for Antarctic Gateway Partnership(Australian Research Council); Australian Government CSIRO(Australian Government); University of Tasmania; National Computational Infrastructure</t>
  </si>
  <si>
    <t>The authors acknowledge and thank Dr Laurie Padman and an anonymous reviewer as well as editors Dr Christopher Little and Dr Tony Payne for critique and suggestions. This work was supported through the Australian Government's Cooperative Research Centre Programme through the Antarctic Climate &amp; Ecosystems Cooperative Research Centre and through the Australian Research Council's Special Research Initiative for Antarctic Gateway Partnership (Project ID SR140300001). David Gwyther was supported by the Australian Government CSIRO and University of Tasmania through the Quantitative Marine Science PhD program. Computing resources were provided by both the Tasmanian Partnership for Advanced Computing and the National Computational Infrastructure under grant m68.</t>
  </si>
  <si>
    <t>10.1017/aog.2016.31</t>
  </si>
  <si>
    <t>gold, Green Published, Green Accepted</t>
  </si>
  <si>
    <t>WOS:000388953800015</t>
  </si>
  <si>
    <t>Gangloff, MM; Edgar, GJ; Wilson, B</t>
  </si>
  <si>
    <t>Gangloff, Michael M.; Edgar, Graham J.; Wilson, Ben</t>
  </si>
  <si>
    <t>Imperilled species in aquatic ecosystems: emerging threats, management and future prognoses</t>
  </si>
  <si>
    <t>AQUATIC CONSERVATION-MARINE AND FRESHWATER ECOSYSTEMS</t>
  </si>
  <si>
    <t>conservation; endangered species; lake; ocean; stream; restoration; wetland</t>
  </si>
  <si>
    <t>KEY BIODIVERSITY AREAS; MARINE PROTECTED AREAS; CLIMATE-CHANGE; ACOUSTIC DISTURBANCE; ENVIRONMENTAL DNA; LIGHT POLLUTION; REEF FISHES; CONSERVATION; WATER; RESTORATION</t>
  </si>
  <si>
    <t>1. Earth's aquatic habitats are some of its most important ecosystems and support populations of many of its most imperilled species. The future demands of Earth's growing human populations will increasingly stress its aquatic resources on multiple spatial and temporal scales, as highlighted by numerous authors when predicting trends in biodiversity in many key aquatic hotspots. 2. Identifying key stressors and understanding potential linkages between these stressors are important first steps to mitigating human impacts on at-risk aquatic resources. Here, an overview is provided of the established and emerging threats to aquatic biodiversity at local, regional and global scales, including emerging diseases, expanding influence of invasive species, new industries, and the accelerating trajectory of climate change, as well as perspectives on potential management strategies. Copyright (C) 2016 John Wiley &amp; Sons, Ltd.</t>
  </si>
  <si>
    <t>[Gangloff, Michael M.] Appalachian State Univ, Dept Biol, 527 Rivers St, Boone, NC 28608 USA; [Edgar, Graham J.] Univ Tasmania, Inst Marine &amp; Antarctic Studies, Hobart, Tas, Australia; [Wilson, Ben] Univ Highlands &amp; Isl, Scottish Assoc Marine Sci, Oban, Argyll, Scotland</t>
  </si>
  <si>
    <t>University of North Carolina; Appalachian State University; University of Tasmania; UHI Millennium Institute</t>
  </si>
  <si>
    <t>Gangloff, MM (corresponding author), Appalachian State Univ, Dept Biol, 527 Rivers St, Boone, NC 28608 USA.</t>
  </si>
  <si>
    <t>gangloffmm@appstate.edu</t>
  </si>
  <si>
    <t>Edgar, Graham/AAY-3797-2020</t>
  </si>
  <si>
    <t>Edgar, Graham/0000-0003-0833-9001</t>
  </si>
  <si>
    <t>1052-7613</t>
  </si>
  <si>
    <t>1099-0755</t>
  </si>
  <si>
    <t>AQUAT CONSERV</t>
  </si>
  <si>
    <t>Aquat. Conserv.-Mar. Freshw. Ecosyst.</t>
  </si>
  <si>
    <t>10.1002/aqc.2707</t>
  </si>
  <si>
    <t>Environmental Sciences; Marine &amp; Freshwater Biology; Water Resources</t>
  </si>
  <si>
    <t>Environmental Sciences &amp; Ecology; Marine &amp; Freshwater Biology; Water Resources</t>
  </si>
  <si>
    <t>EC9DU</t>
  </si>
  <si>
    <t>WOS:000388445200004</t>
  </si>
  <si>
    <t>Taha; Siddiqui, KS; Campanaro, S; Najnin, T; Deshpande, N; Williams, TJ; Aldrich-Wright, J; Wilkins, M; Curmi, PMG; Cavicchioli, R</t>
  </si>
  <si>
    <t>Taha; Siddiqui, K. S.; Campanaro, S.; Najnin, T.; Deshpande, N.; Williams, T. J.; Aldrich-Wright, J.; Wilkins, M.; Curmi, P. M. G.; Cavicchioli, R.</t>
  </si>
  <si>
    <t>Single TRAM domain RNA-binding proteins in Archaea: functional insight from Ctr3 from the Antarctic methanogen Methanococcoides burtonii</t>
  </si>
  <si>
    <t>ENVIRONMENTAL MICROBIOLOGY</t>
  </si>
  <si>
    <t>COLD-SHOCK PROTEIN; ESCHERICHIA-COLI; BACILLUS-SUBTILIS; CRYSTAL-STRUCTURE; GENE-EXPRESSION; UNTRANSLATED REGION; MUTATIONAL ANALYSIS; LOW-TEMPERATURE; MESSENGER-RNA; CSPA-FAMILY</t>
  </si>
  <si>
    <t>TRAM domain proteins present in Archaea and Bacteria have a beta-barrel shape with anti-parallel beta-sheets that form a nucleic acid binding surface; a structure also present in cold shock proteins (Csps). Aside from protein structures, experimental data defining the function of TRAM domains is lacking. Here, we explore the possible functional properties of a single TRAM domain protein, Ctr3 (cold-responsive TRAM domain protein 3) from the Antarctic archaeon Methanococcoides burtonii that has increased abundance during low temperature growth. Ribonucleic acid (RNA) bound by Ctr3 in vitro was determined using RNA-seq. Ctr3-bound M. burtonii RNA with a preference for transfer (t) RNA and 5S ribosomal RNA, and a potential binding motif was identified. In tRNA, the motif represented the C loop; a region that is conserved in tRNA from all domains of life and appears to be solvent exposed, potentially providing access for Ctr3 to bind. Ctr3 and Csps are structurally similar and are both inferred to function in low temperature translation. The broad representation of single TRAM domain proteins within Archaea compared with their apparent absence in Bacteria, and scarcity of Csps in Archaea but prevalence in Bacteria, suggests they represent distinct evolutionary lineages of functionally equivalent RNA-binding proteins.</t>
  </si>
  <si>
    <t>[Taha; Najnin, T.; Deshpande, N.; Williams, T. J.; Wilkins, M.; Cavicchioli, R.] Univ New South Wales, Sch Biotechnol &amp; Biomol Sci, Sydney, NSW 2052, Australia; [Siddiqui, K. S.] King Fahd Univ Petr &amp; Minerals, Dept Life Sci, Dhahran, Saudi Arabia; [Campanaro, S.] Univ Padua, Dept Biol, Via U Bassi 58-B, I-35121 Padua, Italy; [Aldrich-Wright, J.] Univ Western Sydney, Sch Sci &amp; Hlth, Nanoscale Org &amp; Dynam Grp, Penrith, NSW 2560, Australia; [Curmi, P. M. G.] Univ New South Wales, Sch Phys, Sydney, NSW 2052, Australia</t>
  </si>
  <si>
    <t>University of New South Wales Sydney; King Fahd University of Petroleum &amp; Minerals; University of Padua; Western Sydney University; University of New South Wales Sydney</t>
  </si>
  <si>
    <t>Cavicchioli, R (corresponding author), Univ New South Wales, Sch Biotechnol &amp; Biomol Sci, Sydney, NSW 2052, Australia.;Curmi, PMG (corresponding author), Univ New South Wales, Sch Phys, Sydney, NSW 2052, Australia.</t>
  </si>
  <si>
    <t>p.curmi@unsw.edu.au; r.cavicchioli@unsw.edu.au</t>
  </si>
  <si>
    <t>Campanaro, Stefano/I-5657-2019; Curmi, Paul/G-7185-2011; Aldrich-Wright, Janice/E-3376-2016; Cavicchioli, Ricardo/D-4341-2013</t>
  </si>
  <si>
    <t>Siddiqui, Khawar/0000-0001-8574-3177; Aldrich-Wright, Janice/0000-0002-6943-6908; CAMPANARO, STEFANO/0000-0002-9431-1648; Cavicchioli, Ricardo/0000-0001-8989-6402; Williams, Timothy/0000-0002-2738-3019</t>
  </si>
  <si>
    <t>Australian Research Council [DP110103232]; Federal Government Collaborative Research Infrastructure Scheme; Australian Research Council</t>
  </si>
  <si>
    <t>Australian Research Council(Australian Research Council); Federal Government Collaborative Research Infrastructure Scheme; Australian Research Council(Australian Research Council)</t>
  </si>
  <si>
    <t>This work was supported by the Australian Research Council [DP110103232]. N.P. Deshpande was supported by funds awarded to M.R. Wilkins from the Federal Government Collaborative Research Infrastructure Scheme. Funding for open access charge: Australian Research Council. We thank Cuong Nguyen and Haluk Ertan for helpful advice regarding protein purification and biophysical analyses.</t>
  </si>
  <si>
    <t>1462-2912</t>
  </si>
  <si>
    <t>1462-2920</t>
  </si>
  <si>
    <t>ENVIRON MICROBIOL</t>
  </si>
  <si>
    <t>Environ. Microbiol.</t>
  </si>
  <si>
    <t>10.1111/1462-2920.13229</t>
  </si>
  <si>
    <t>EB7FB</t>
  </si>
  <si>
    <t>WOS:000387550700006</t>
  </si>
  <si>
    <t>Lee, S; Im, J; Kim, J; Kim, M; Shin, M; Kim, HC; Quackenbush, LJ</t>
  </si>
  <si>
    <t>Lee, Sanggyun; Im, Jungho; Kim, Jinwoo; Kim, Miae; Shin, Minso; Kim, Hyun-cheol; Quackenbush, Lindi J.</t>
  </si>
  <si>
    <t>Arctic Sea Ice Thickness Estimation from CryoSat-2 Satellite Data Using Machine Learning-Based Lead Detection</t>
  </si>
  <si>
    <t>CryoSat-2; lead detection; sea ice thickness; machine learning</t>
  </si>
  <si>
    <t>LAND-COVER CLASSIFICATION; SURFACE-TEMPERATURE; ELEVATION CHANGE; IN-SITU; FREEBOARD; OCEAN; ALGORITHM; FOREST; RETRACKING; RETRIEVAL</t>
  </si>
  <si>
    <t>Satellite altimeters have been used to monitor Arctic sea ice thickness since the early 2000s. In order to estimate sea ice thickness from satellite altimeter data, leads (i.e., cracks between ice floes) should first be identified for the calculation of sea ice freeboard. In this study, we proposed novel approaches for lead detection using two machine learning algorithms: decision trees and random forest. CryoSat-2 satellite data collected in March and April of 2011-2014 over the Arctic region were used to extract waveform parameters that show the characteristics of leads, ice floes and ocean, including stack standard deviation, stack skewness, stack kurtosis, pulse peakiness and backscatter sigma-0. The parameters were used to identify leads in the machine learning models. Results show that the proposed approaches, with overall accuracy &gt;90%, produced much better performance than existing lead detection methods based on simple thresholding approaches. Sea ice thickness estimated based on the machine learning-detected leads was compared to the averaged Airborne Electromagnetic (AEM)-bird data collected over two days during the CryoSat Validation experiment (CryoVex) field campaign in April 2011. This comparison showed that the proposed machine learning methods had better performance (up to r = 0.83 and Root Mean Square Error (RMSE) = 0.29 m) compared to thickness estimation based on existing lead detection methods (RMSE = 0.86-0.93 m). Sea ice thickness based on the machine learning approaches showed a consistent decline from 2011-2013 and rebounded in 2014.</t>
  </si>
  <si>
    <t>[Lee, Sanggyun; Im, Jungho; Kim, Jinwoo; Kim, Miae; Shin, Minso] Ulsan Natl Inst Sci &amp; Technol, Sch Urban &amp; Environm Engn, Ulsan 44919, South Korea; [Kim, Jinwoo] LIG Nex1 Co Ltd, Space Imaging R&amp;D Lab, Yongin 16911, South Korea; [Kim, Hyun-cheol] Korea Polar Res Inst, Div Polar Ocean Environm, Inchon 21990, South Korea; [Quackenbush, Lindi J.] SUNY Coll Environm Sci &amp; Forestry, Dept Environm Resources Engn, Syracuse, NY 13210 USA</t>
  </si>
  <si>
    <t>Ulsan National Institute of Science &amp; Technology (UNIST); LIG Nex1 Co., Ltd.; Korea Polar Research Institute (KOPRI); State University of New York (SUNY) System; State University of New York (SUNY) College of Environmental Science &amp; Forestry</t>
  </si>
  <si>
    <t>Im, J (corresponding author), Ulsan Natl Inst Sci &amp; Technol, Sch Urban &amp; Environm Engn, Ulsan 44919, South Korea.</t>
  </si>
  <si>
    <t>sglee@unist.ac.kr; ersgis@unist.ac.kr; modone79@gmail.com; miaekim@unist.ac.kr; msshin1125@unist.ac.kr; kimhc@kopri.re.kr; ljquack@esf.edu</t>
  </si>
  <si>
    <t>Kim, Hyun-Cheol/AAP-1250-2020; Quackenbush, Lindi J./AAZ-4209-2021; Im, Jungho/K-6257-2017</t>
  </si>
  <si>
    <t>Kim, Hyun-Cheol/0000-0002-6831-9291; Im, Jungho/0000-0002-4506-6877; Kim, Miae/0000-0002-9805-7261</t>
  </si>
  <si>
    <t>Ministry of Oceans and Fisheries, Korea [PM13020]; SaTellite remote sensing on set Antarctic ocean Research (STAR) project (KOPRI) [PE15040]; Korea Polar Research Institute, South Korea</t>
  </si>
  <si>
    <t>Ministry of Oceans and Fisheries, Korea; SaTellite remote sensing on set Antarctic ocean Research (STAR) project (KOPRI)(Korea Polar Research Institute of Marine Research Placement (KOPRI)); Korea Polar Research Institute, South Korea(Korea Polar Research Institute of Marine Research Placement (KOPRI))</t>
  </si>
  <si>
    <t>This research was a part of the project titled 'Korea-Polar Ocean in Rapid Transition (KOPRI, PM13020)', funded by the Ministry of Oceans and Fisheries, Korea. This research was also supported by the SaTellite remote sensing on set Antarctic ocean Research (STAR) project (KOPRI, PE15040), funded by the Korea Polar Research Institute, South Korea.</t>
  </si>
  <si>
    <t>10.3390/rs8090698</t>
  </si>
  <si>
    <t>DY9XB</t>
  </si>
  <si>
    <t>WOS:000385488000008</t>
  </si>
  <si>
    <t>Pivan, X; Krug, M; Herbette, S</t>
  </si>
  <si>
    <t>Pivan, Xavier; Krug, Marjolaine; Herbette, Steven</t>
  </si>
  <si>
    <t>Observations of the vertical and temporal evolution of a Natal Pulse along the Eastern Agulhas Bank</t>
  </si>
  <si>
    <t>Agulhas Current; Natal Pulse; Lagrangian floats</t>
  </si>
  <si>
    <t>SOUTH-AFRICA; OCEAN CIRCULATION; NORTH-ATLANTIC; CAPE PROVINCE; RAFOS FLOATS; WATER MASSES; TRANSPORT; VARIABILITY; INSTABILITY; VORTICES</t>
  </si>
  <si>
    <t>This study reinvestigates the work of Lutjeharms et al. (2001, 2003) who documented the properties of a Natal Pulse using isopycnal Lagrangian floats. We combined Lagrangian analyses and Eulerian maps derived from objective analysis to better describe the evolution of a Natal Pulse along three density surfaces referred to as the surface (satellite-observed), shallow (isopycnal 1026.8 kg m(-3)), and deep (isopycnal 1027.2 kg m(-3)) layer. Our observations show that this Natal Pulse extended to a depth of 1000 m and was associated with cyclonic relative vorticity values of about 6.5-8.5 x 10(-5) s(-1) in the surface and shallow layer and 4 x 10(-5) s(-1) in the deep layer. This Natal Pulse contributed to cross-shelf exchange through the offshore advection of Eastern Agulhas Bank water near the surface, onshore advection of South Indian Central Water and/or Indian Equatorial Water in the shallow layer, and Antarctic Intermediate Water in the deep layer. Sea surface temperature maps showed that the downstream progression of the Natal Pulse along the 3000 m isobath was related to a readjustment of its rotation axis. This readjustment advected Eastern Agulhas Bank water into the Natal Pulse eddy and triggered a SST cooling of about 3 degrees C in the cyclonic area. The importance of a warm recirculating Agulhas plume originating from the Natal Pulse was highlighted. This warm water plume extended to a depth of 700 m and was associated with onshore velocities exceeding those experienced within the Natal Pulse eddy by a factor of 2. Our observations indicate that the June/July 1998 Natal Pulse and its associated plumes enhanced cross-shelf exchanges.</t>
  </si>
  <si>
    <t>[Pivan, Xavier] Univ Western Australia, Sch Earth &amp; Environm, Crawley, WA, Australia; [Krug, Marjolaine] CSIR, Ecosyst Earth Observat, Cape Town, South Africa; [Krug, Marjolaine; Herbette, Steven] Univ Cape Town, Dept Oceanog, Cape Town, South Africa; [Krug, Marjolaine] Univ Cape Town, Nansen Tutu Ctr Marine Environm Res, Cape Town, South Africa; [Herbette, Steven] IUEM, IFREMER, IRD, Lab Oceanog Phys &amp; Spatiale,UBO,CNRS, Plouzane, France; [Herbette, Steven] Univ Cape Town, Dept Oceanog, ICEMASA, Cape Town, South Africa</t>
  </si>
  <si>
    <t>University of Western Australia; Council for Scientific &amp; Industrial Research (CSIR) - South Africa; University of Cape Town; University of Cape Town; Centre National de la Recherche Scientifique (CNRS); Ifremer; Institut de Recherche pour le Developpement (IRD); Universite de Bretagne Occidentale; Institut Universitaire Europeen de la Mer (IUEM); University of Cape Town</t>
  </si>
  <si>
    <t>Pivan, X (corresponding author), Univ Western Australia, Sch Earth &amp; Environm, Crawley, WA, Australia.</t>
  </si>
  <si>
    <t>xavier.pivan@hotmail.fr</t>
  </si>
  <si>
    <t>Herbette, Steven/L-4140-2015</t>
  </si>
  <si>
    <t>Herbette, Steven/0000-0002-7349-5572; Krug, Marjolaine/0000-0002-5719-3240</t>
  </si>
  <si>
    <t>ICEMASA; Nansen-Tutu center; CSIR Ecosystem Earth Observation group [PG EEEO023]</t>
  </si>
  <si>
    <t>ICEMASA; Nansen-Tutu center; CSIR Ecosystem Earth Observation group</t>
  </si>
  <si>
    <t>We would like thanks ICEMASA and Nansen-Tutu center for their financial support for this study. We are especially grateful to Mathieu Rouault for supporting this study. The KAPEX float data set can be downloaded from ftp://ftp.whoi.edu/pub/users/wocessfdac/. Although we did not make use of any data from the Agulhas Current Timeseries (ACT) array, we would like to acknowledge Lisa Beal for providing some hydrographic data, even though this data were not used in this study. Krug research was funded by the CSIR Ecosystem Earth Observation group (PG EEEO023).</t>
  </si>
  <si>
    <t>10.1002/2015JC011582</t>
  </si>
  <si>
    <t>EA8TZ</t>
  </si>
  <si>
    <t>WOS:000386913200031</t>
  </si>
  <si>
    <t>Wisnieski, E; Ceschim, LMM; Martins, CC</t>
  </si>
  <si>
    <t>Wisnieski, Edna; Ceschim, Liziane M. M.; Martins, Cesar C.</t>
  </si>
  <si>
    <t>VALIDATION OF AN ANALYTICAL METHOD FOR GEOCHEMICAL ORGANIC MARKERS DETERMINATION IN MARINE SEDIMENTS</t>
  </si>
  <si>
    <t>QUIMICA NOVA</t>
  </si>
  <si>
    <t>Portuguese</t>
  </si>
  <si>
    <t>organic markers; sediments; gas chromatography; Antarctica</t>
  </si>
  <si>
    <t>POLYCYCLIC AROMATIC-HYDROCARBONS; KING GEORGE ISLAND; PRESSURIZED LIQUID EXTRACTION; WESTERN ARCTIC-OCEAN; ADMIRALTY BAY; PETROLEUM-HYDROCARBONS; QUANTITATIVE-ANALYSIS; GAS CHROMATOGRAPHY; SURFACE SEDIMENTS; STEROLS</t>
  </si>
  <si>
    <t>This paper describes the validation of an alternative method for determination of n-alkanes, sterols (OLs) and n-alkanols (ALCs) in marine sediments, through adaptation of clean up. The method reduced the material consumption, the discards produced and working time. The recovery percentages were 60-129% for n-alkanes, 52-67% for OLs and 43-141% for ALCs, acceptable values compared to other studies. The application in Antarctic marine sediments presented satisfactory results indicating contribution of planktonic organisms, higher animals and a little contribution from vegetation.</t>
  </si>
  <si>
    <t>[Wisnieski, Edna; Ceschim, Liziane M. M.; Martins, Cesar C.] Univ Fed Parana, Ctr Estudos Mar, Caixa Postal 61, BR-83255976 Pontal Do Parana, PR, Brazil; [Wisnieski, Edna] Univ Fed Parana, Programa Posgrad Sistemas Costeiros &amp; Ocean PGSIS, Caixa Postal 61, BR-83255976 Pontal Do Parana, PR, Brazil</t>
  </si>
  <si>
    <t>Universidade Federal do Parana; Universidade Federal do Parana</t>
  </si>
  <si>
    <t>Martins, CC (corresponding author), Univ Fed Parana, Ctr Estudos Mar, Caixa Postal 61, BR-83255976 Pontal Do Parana, PR, Brazil.</t>
  </si>
  <si>
    <t>ccmart@ufpr.br</t>
  </si>
  <si>
    <t>de Castro Martins, Cesar C/I-1086-2012</t>
  </si>
  <si>
    <t>de Castro Martins, Cesar/0000-0002-2515-5565</t>
  </si>
  <si>
    <t>SOC BRASILEIRA QUIMICA</t>
  </si>
  <si>
    <t>SAO PAULO</t>
  </si>
  <si>
    <t>CAIXA POSTAL 26037, 05599-970 SAO PAULO, BRAZIL</t>
  </si>
  <si>
    <t>0100-4042</t>
  </si>
  <si>
    <t>1678-7064</t>
  </si>
  <si>
    <t>QUIM NOVA</t>
  </si>
  <si>
    <t>Quim. Nova</t>
  </si>
  <si>
    <t>10.5935/0100-4042.20160103</t>
  </si>
  <si>
    <t>Chemistry, Multidisciplinary</t>
  </si>
  <si>
    <t>EB2AE</t>
  </si>
  <si>
    <t>WOS:000387157800018</t>
  </si>
  <si>
    <t>Lukianova, R</t>
  </si>
  <si>
    <t>Lukianova, Renata</t>
  </si>
  <si>
    <t>Thermal and dynamic perturbations in the winter polar upper atmosphere associated with a major sudden stratospheric warming</t>
  </si>
  <si>
    <t>RUSSIAN JOURNAL OF EARTH SCIENCES</t>
  </si>
  <si>
    <t>Polar stratosphere; mesosphere; atmospheric circulation; sudden stratospheric warming.</t>
  </si>
  <si>
    <t>During a major sudden stratospheric warming occurred in 2009 specific signatures of atmosphere -ionosphere coupling is observed in the vicinity the stratospheric polar night jet. Wind reversal from eastward to westward occurred at 80-100 km altitude. The magnitude of mesospheric cooling is comparable with the stratospheric warming (50 K) but the former decay faster than the latter. Deepening of the thermal inversion layer at the menopause is observed during the peak of the mesospheric cooling. A shorter period atmospheric gravity wave occurrence in the ionosphere decays just after the mesospheric temperature reaches its minimum. The effect may be explained by selective filtering and increased turbulence near the menopause.</t>
  </si>
  <si>
    <t>[Lukianova, Renata] Russian Acad Sci, Geophys Ctr, 3 Molodezhnaya Str, Moscow 119296, Russia; [Lukianova, Renata] Arctic &amp; Antarctic Res Inst, St Petersburg, Russia</t>
  </si>
  <si>
    <t>Russian Academy of Sciences; Geophysical Center of the Russian Academy of Sciences; Arctic &amp; Antarctic Research Institute</t>
  </si>
  <si>
    <t>Lukianova, R (corresponding author), Russian Acad Sci, Geophys Ctr, 3 Molodezhnaya Str, Moscow 119296, Russia.;Lukianova, R (corresponding author), Arctic &amp; Antarctic Res Inst, St Petersburg, Russia.</t>
  </si>
  <si>
    <t>r.lukianova@gcras.ru</t>
  </si>
  <si>
    <t>Lukianova, Renata/K-3293-2012</t>
  </si>
  <si>
    <t>Lukianova, Renata/0000-0003-2343-9174</t>
  </si>
  <si>
    <t>GEOPHYSICAL CENTER RAS</t>
  </si>
  <si>
    <t>MOSCOW</t>
  </si>
  <si>
    <t>MOLODEZHNAYA ST 3, MOSCOW, 119296, RUSSIA</t>
  </si>
  <si>
    <t>1681-1208</t>
  </si>
  <si>
    <t>RUSS J EARTH SCI</t>
  </si>
  <si>
    <t>Russ. J. Earth Sci.</t>
  </si>
  <si>
    <t>ES4003</t>
  </si>
  <si>
    <t>10.2205/2016ES000575</t>
  </si>
  <si>
    <t>EB6EA</t>
  </si>
  <si>
    <t>WOS:000387472800003</t>
  </si>
  <si>
    <t>Laparie, M; Vernon, P; Cozic, Y; Frenot, Y; Renault, D; Debat, V</t>
  </si>
  <si>
    <t>Laparie, Mathieu; Vernon, Philippe; Cozic, Yann; Frenot, Yves; Renault, David; Debat, Vincent</t>
  </si>
  <si>
    <t>Wing morphology of the active flyer Calliphora vicina (Diptera: Calliphoridae) during its invasion of a sub-Antarctic archipelago where insect flightlessness is the rule</t>
  </si>
  <si>
    <t>BIOLOGICAL JOURNAL OF THE LINNEAN SOCIETY</t>
  </si>
  <si>
    <t>allochronic change; blue blowfly; geometric morphometrics; invasive insect; Kerguelen Islands; local adaptation; phenotypic plasticity; procrustes superimposition</t>
  </si>
  <si>
    <t>SOUTHERN-OCEAN ISLANDS; PHENOTYPIC PLASTICITY; DROSOPHILA-MELANOGASTER; GEOGRAPHIC-VARIATION; BODY-SIZE; SHAPE; EVOLUTION; POPULATIONS; KERGUELEN; LIFE</t>
  </si>
  <si>
    <t>The cosmopolitan blowfly Calliphora vicina became established in the sub-Antarctic Kerguelen Islands in the late 1970s, following a warming period that allowed its full development. Although temperature and wind may limit flight activity, the fly invaded the archipelago, reaching sites remote from the introduction point. Most native competitors have converged to flightlessness as a response to stringent environmental conditions and therefore the flight strategy of C. vicina might be either a handicap or a competitive advantage under ongoing climate change. Using geometric morphometrics, we investigated whether the wing had changed over time in C. vicina within the archipelago (1998 vs. 2009) and compared its morphology with that of a continental population from a temperate area (1983 vs. 2009). Wing shape plasticity to temperature was also experimentally investigated. We found no clues of relaxed selection on flight morphology in the range invaded. However, rapid changes of wing shape occurred over time in females from the Kerguelen Islands compared with both males and females of the continental population, despite a shorter time-lag between samples in the former. The thermal reaction norms for wing shape found for C. vicina from Kerguelen were also different from those of the continental population, but it remains unknown whether this resulted from or preceded the introduction. These combined findings are consistent with a fingerprint of local adaptation in the invasive population. However, the adaptive significance of the changes, in terms of their aerodynamic consequences and the future evolution of C. vicina in the Kerguelen Islands, requires further investigation. From an evolutionary standpoint, sustaining flight capability under the novel sub-Antarctic conditions might be critical to the invasive success of C. vicina as most competitors are flightless. (C) 2016 The Linnean Society of London</t>
  </si>
  <si>
    <t>[Laparie, Mathieu] INRA, Unite Rech Zool Forestiere URZF UR0633, 2163 Ave Pomme Pin,CS 40001 Ardon, F-45075 Orleans, France; [Laparie, Mathieu; Vernon, Philippe; Cozic, Yann; Frenot, Yves; Renault, David] Univ Rennes 1, UMR CNRS Ecobio 6553, Stn Biol Paimpont, F-35380 Paimpont, France; [Frenot, Yves] Inst Polaire Francais Paul Emile Victor, Technopole Brest Iroise, F-29280 Plouzane, France; [Renault, David] Univ Rennes 1, UMR CNRS Ecobio 6553, 263 Ave Gal Leclerc,CS 74205, F-35042 Rennes, France; [Debat, Vincent] Museum Natl Hist Nat, UMR CNRS OSEB 7205, 45 Rue Buffon Entomol, F-75005 Paris, France</t>
  </si>
  <si>
    <t>INRAE; Universite de Rennes; Universite de Rennes; Museum National d'Histoire Naturelle (MNHN); Sorbonne Universite</t>
  </si>
  <si>
    <t>Laparie, M (corresponding author), INRA, Unite Rech Zool Forestiere URZF UR0633, 2163 Ave Pomme Pin,CS 40001 Ardon, F-45075 Orleans, France.;Laparie, M (corresponding author), Univ Rennes 1, UMR CNRS Ecobio 6553, Stn Biol Paimpont, F-35380 Paimpont, France.</t>
  </si>
  <si>
    <t>mathieu.laparie@orleans.inra.fr</t>
  </si>
  <si>
    <t>Vernon, Philippe/A-9019-2010; Debat, Vincent/H-9610-2019</t>
  </si>
  <si>
    <t>Vernon, Philippe/0000-0002-6237-7511; Debat, Vincent/0000-0003-0040-1181; RENAULT, David/0000-0003-3644-1759</t>
  </si>
  <si>
    <t>'Institut Polaire Francais' [IPEV 136]; CNRS (Zone Atelier de Recherches sur l'Environnement Antarctique et Subantarctique); 'Agence Nationale de la Recherche' (EVINCE) [ANR-07-VULN-004]; programme EVINCE of the 'Agence Nationale de la Recherche'</t>
  </si>
  <si>
    <t>'Institut Polaire Francais'; CNRS (Zone Atelier de Recherches sur l'Environnement Antarctique et Subantarctique)(Centre National de la Recherche Scientifique (CNRS)); 'Agence Nationale de la Recherche' (EVINCE)(Agence Nationale de la Recherche (ANR)); programme EVINCE of the 'Agence Nationale de la Recherche'(Agence Nationale de la Recherche (ANR))</t>
  </si>
  <si>
    <t>This research was supported by the 'Institut Polaire Francais' (IPEV 136), the CNRS (Zone Atelier de Recherches sur l'Environnement Antarctique et Subantarctique), and the 'Agence Nationale de la Recherche' (ANR-07-VULN-004, EVINCE). This research is linked with the SCAR Evolution and Biodiversity in the Antarctic research programme. Yann Cozic was funded by the programme EVINCE of the 'Agence Nationale de la Recherche'. We thank two anonymous referees for constructive comments on the manuscript. The authors declare that there are no conflicts of interest.</t>
  </si>
  <si>
    <t>0024-4066</t>
  </si>
  <si>
    <t>1095-8312</t>
  </si>
  <si>
    <t>BIOL J LINN SOC</t>
  </si>
  <si>
    <t>Biol. J. Linnean Soc.</t>
  </si>
  <si>
    <t>10.1111/bij.12815</t>
  </si>
  <si>
    <t>Evolutionary Biology</t>
  </si>
  <si>
    <t>EA8VU</t>
  </si>
  <si>
    <t>WOS:000386918500014</t>
  </si>
  <si>
    <t>D'Elia, M; Warren, JD; Rodriguez-Pinto, I; Sutton, TT; Cook, A; Boswell, KM</t>
  </si>
  <si>
    <t>D'Elia, Marta; Warren, Joseph D.; Rodriguez-Pinto, Ivan; Sutton, Tracey T.; Cook, April; Boswell, Kevin M.</t>
  </si>
  <si>
    <t>Diel variation in the vertical distribution of deep-water scattering layers in the Gulf of Mexico</t>
  </si>
  <si>
    <t>DEEP-SEA RESEARCH PART I-OCEANOGRAPHIC RESEARCH PAPERS</t>
  </si>
  <si>
    <t>Gulf of Mexico; Deep scattering layers; Acoustic backscatter; Multifrequency acoustics; Diel vertical migration</t>
  </si>
  <si>
    <t>WESTERN NORTH PACIFIC; KRILL TARGET STRENGTH; IN-SITU MEASUREMENTS; EASTERN GULF; SPECIES COMPOSITION; MESOPELAGIC FISH; ACOUSTIC BACKSCATTER; ANTARCTIC KRILL; MEGANYCTIPHANES-NORVEGICA; LANTERNFISHES MYCTOPHIDAE</t>
  </si>
  <si>
    <t>Sound scattering layers (SSLs) are important components of oceanic ecosystems with ubiquitous distribution throughout the world's oceans. This vertical movement is an important mechanism for exchanging organic matter from the surface to the deep ocean, as many of the organisms comprising SSLs serve as prey resources for linking the lower trophic levels to larger predators. Variations in abundance and taxonomic composition of mesopelagic organisms were quantified using repeated discrete net sampling and acoustics over a 30-h survey, performed during 26-27 June 2011 at single site (27 degrees 28'51 '' N and 88 degrees 27'54 '' W) in the northern Gulf of Mexico. We acoustically classified the mesopelagic SSL into four broad taxonomic categories, crustacean and small non-swimbladdered fish (CSNSBF), large non-swimbladdered fish (LNSBF), swimbladdered fish (SBF) and unclassified and we quantified the abundance of mesopelagic organisms over three discrete depth intervals; epipelagic (0-200 m); upper mesopelagic (200-600 m) and lower mesopelagic (600-1000 m). Irrespective of the acoustic categories at dusk part of the acoustic energy redistributed from the mesopelagic into the upper epipelagic (shallower than 100 m) remaining however below the thermocline depth. At night higher variability in species composition was observed between 100 and 200 m suggested that a redistribution of organisms may also occur within the upper portion of the water column. Along the upper mesopelagic backscatter spectra from CSNSBF migrated between 400 and 460 m while spectra from the other categories moved to shallower depths (300 and 350 m), resulting in habitat separation from CSNSBF. Relatively small vertical changes in both acoustic backscatter and center of mass metrics of the deep mesopelagic were observed for CNSBF and LNSBF suggesting that these animals may be tightly connected to deeper (below 1000 m) mesopelagic habitats, and do not routinely migrate into the epipelagic. (C) 2016 Elsevier Ltd. All rights reserved.</t>
  </si>
  <si>
    <t>[D'Elia, Marta; Rodriguez-Pinto, Ivan; Boswell, Kevin M.] Florida Int Univ, Marine Sci Program, Dept Biol Sci, Miami, FL 33199 USA; [Warren, Joseph D.] SUNY Stony Brook, Sch Marine &amp; Atmospher Sci, Stony Brook, NY 11794 USA; [Sutton, Tracey T.; Cook, April] Nova Southeastern Univ, Oceanog Ctr, Ft Lauderdale, FL USA</t>
  </si>
  <si>
    <t>State University System of Florida; Florida International University; State University of New York (SUNY) System; State University of New York (SUNY) Stony Brook; Nova Southeastern University</t>
  </si>
  <si>
    <t>Boswell, KM (corresponding author), Florida Int Univ, Marine Sci Program, Dept Biol Sci, Miami, FL 33199 USA.</t>
  </si>
  <si>
    <t>Kevin.boswell@fiu.edu</t>
  </si>
  <si>
    <t>Boswell, Kevin M./B-6380-2016; Sutton, Tracey/AAW-7644-2021; Warren, Joseph/Y-4078-2019</t>
  </si>
  <si>
    <t>Boswell, Kevin M./0000-0002-2037-1541; Sutton, Tracey/0000-0002-5280-7071;</t>
  </si>
  <si>
    <t>NOAA</t>
  </si>
  <si>
    <t>NOAA(National Oceanic Atmospheric Admin (NOAA) - USA)</t>
  </si>
  <si>
    <t>Data were collected as part of a NOAA-supported Natural Resource Damage Assessment for the Deepwater Horizon Oil Spill. We offer thanks to the crews of the FSV Pisces and M/V Meg Skansi for their assistance with the data collection and gear handling while at sea. Many thanks to Cristina Antonio for her assistance with data organization and processing. A. De Robertis, J.M. Jech and T. Weber offered valuable insight when configuring the acoustic collection parameters and analysis settings. This is contribution No. 7 from the Marine Education and Research Center in the Institute for Water and the Environment at Florida International University.</t>
  </si>
  <si>
    <t>0967-0637</t>
  </si>
  <si>
    <t>1879-0119</t>
  </si>
  <si>
    <t>DEEP-SEA RES PT I</t>
  </si>
  <si>
    <t>Deep-Sea Res. Part I-Oceanogr. Res. Pap.</t>
  </si>
  <si>
    <t>10.1016/j.dsr.2016.05.014</t>
  </si>
  <si>
    <t>EA9SE</t>
  </si>
  <si>
    <t>WOS:000386984200007</t>
  </si>
  <si>
    <t>Rosso, I; Hogg, AM; Matear, R; Strutton, PG</t>
  </si>
  <si>
    <t>Rosso, Isabella; Hogg, Andrew McC.; Matear, Richard; Strutton, Peter G.</t>
  </si>
  <si>
    <t>Quantifying the influence of sub-mesoscale dynamics on the supply of iron to Southern Ocean phytoplankton blooms</t>
  </si>
  <si>
    <t>KERGUELEN PLATEAU REGION; OVERTURNING CIRCULATION; FERTILIZATION; ISLANDS; MODEL; CLOSURE; IMPACT; WATERS; CYCLE</t>
  </si>
  <si>
    <t>Southern Ocean phytoplankton growth is limited by iron. Episodes of natural iron fertilisation are pivotal to triggering phytoplankton blooms in this region, the Kerguelen Plateau bloom being one prominent example. Numerous physical mechanisms that may supply iron to the euphotic zone in the Kerguelen Plateau region, and hence trigger a phytoplankton bloom, have been identified. However, the impact of sub-mesoscale flows in delivering iron has been omitted. With a scale of order 10 km, sub-mesoscale filaments and fronts can dramatically increase vertical velocities and iron transport. An innovative technique is developed to investigate the role of vertical advection associated with sub-mesoscale features on the supply of iron to the photic zone. First, Lagrangian trajectories are calculated using three dimensional velocity fields from high resolution numerical simulations; iron concentration is then computed along these Lagrangian trajectories. The contribution of mesoscale- (1/20 degrees resolution) and sub-mesoscale-resolving models (1/80 degrees resolution) is compared, thereby revealing the sensitivity of iron supply to horizontal resolution. Iron fluxes are clearly enhanced by a factor of 2 with the resolution, thus showing that the vertical motion induced by the sub-mesoscales represents a previously neglected process to drive iron into the photic waters of the Kerguelen Plateau. (C) 2016 Elsevier Ltd. All rights reserved.</t>
  </si>
  <si>
    <t>[Rosso, Isabella] Scripps Inst Oceanog, La Jolla, CA 92037 USA; [Hogg, Andrew McC.] Australian Natl Univ, Res Sch Earth Sci, Canberra, ACT, Australia; [Matear, Richard] CSIRO Marine &amp; Atmospher Res, Ctr Australian Weather &amp; Climate Res, Hobart, Tas, Australia; [Strutton, Peter G.] Univ Tasmania, Inst Marine &amp; Antarctic Studies, Hobart, Tas, Australia; [Hogg, Andrew McC.; Matear, Richard; Strutton, Peter G.] ARC Ctr Excellence Climate Syst Sci, Sydney, NSW, Australia</t>
  </si>
  <si>
    <t>University of California System; University of California San Diego; Scripps Institution of Oceanography; Australian National University; Commonwealth Scientific &amp; Industrial Research Organisation (CSIRO); University of Tasmania; ARC Centre of Excellence for Climate System Science</t>
  </si>
  <si>
    <t>Rosso, I (corresponding author), Scripps Inst Oceanog, La Jolla, CA 92037 USA.</t>
  </si>
  <si>
    <t>irosso@ucsd.edu</t>
  </si>
  <si>
    <t>Hogg, Andy McC./A-7553-2011; Hogg, Andy/AAZ-8733-2021; Strutton, Peter/C-4466-2011; matear, richard/C-5133-2011</t>
  </si>
  <si>
    <t>Hogg, Andy McC./0000-0001-5898-7635; Hogg, Andy/0000-0001-5898-7635; Strutton, Peter/0000-0002-2395-9471; rosso, isabella/0000-0002-6761-7297; matear, richard/0000-0002-3225-0800</t>
  </si>
  <si>
    <t>Australian Research Council Future Fellowship [FT120100842]</t>
  </si>
  <si>
    <t>Australian Research Council Future Fellowship(Australian Research Council)</t>
  </si>
  <si>
    <t>A. Hogg was supported by Australian Research Council Future Fellowship FT120100842. We want to express our thanks to A. Bowie for constructive discussions.</t>
  </si>
  <si>
    <t>10.1016/j.dsr.2016.06.009</t>
  </si>
  <si>
    <t>WOS:000386984200016</t>
  </si>
  <si>
    <t>Krasheninnikov, IV; Popov, AV; Stakhanova, IG</t>
  </si>
  <si>
    <t>Krasheninnikov, I. V.; Popov, A. V.; Stakhanova, I. G.</t>
  </si>
  <si>
    <t>Analysis of the wave field mode structure on the Moscow-Akademik Vernadskii Antarctic station superlong path</t>
  </si>
  <si>
    <t>GEOMAGNETISM AND AERONOMY</t>
  </si>
  <si>
    <t>IONOSPHERE; PROPAGATION</t>
  </si>
  <si>
    <t>The Doppler spectrum of an exact time harmonic radio signal for the frequency of 5 MHz on the Moscow-Akademik Vernadskii Ukrainian Antarctic station radio path in November 2002, which had two clearly defined spectral groups, has been analyzed. It is shown that an insignificant frequency shift corresponds to a standard radio wave propagation in a short direct direction. The assumption that the formation of a spectral group with a considerable frequency shift is refraction is theoretically justified based on a simplified model of the morning terminator transition region. The field strength, signal-to-noise ratio, and Doppler frequency shift obtained in the scope of the IRI-2001 extended global ionospheric model for the classical radio wave propagation modes on a superlong radio path are estimated.</t>
  </si>
  <si>
    <t>[Krasheninnikov, I. V.; Popov, A. V.; Stakhanova, I. G.] Russian Acad Sci IZMIRAN, Pushkov Inst Terr Magnetism Ionosphere &amp; Radiowav, Troitsk 142190, Moscow Oblast, Russia</t>
  </si>
  <si>
    <t>Russian Academy of Sciences; Pushkov Institute of Terrestrial Magnetism, Ionosphere &amp; Radio Wave Propagation</t>
  </si>
  <si>
    <t>Krasheninnikov, IV (corresponding author), Russian Acad Sci IZMIRAN, Pushkov Inst Terr Magnetism Ionosphere &amp; Radiowav, Troitsk 142190, Moscow Oblast, Russia.</t>
  </si>
  <si>
    <t>krash@izmiran.ru</t>
  </si>
  <si>
    <t>Popov, Alexei V./ABC-1719-2021; Крашенинников, Игорь/HKF-1750-2023</t>
  </si>
  <si>
    <t>Russian Foundation for Basic Research [15-29-06052]</t>
  </si>
  <si>
    <t>Russian Foundation for Basic Research(Russian Foundation for Basic Research (RFBR)Spanish Government)</t>
  </si>
  <si>
    <t>This work was partially supported by the Russian Foundation for Basic Research, project no. 15-29-06052.</t>
  </si>
  <si>
    <t>MAIK NAUKA/INTERPERIODICA/SPRINGER</t>
  </si>
  <si>
    <t>233 SPRING ST, NEW YORK, NY 10013-1578 USA</t>
  </si>
  <si>
    <t>0016-7932</t>
  </si>
  <si>
    <t>1555-645X</t>
  </si>
  <si>
    <t>GEOMAGN AERONOMY+</t>
  </si>
  <si>
    <t>Geomagn. Aeron.</t>
  </si>
  <si>
    <t>10.1134/S0016793216050078</t>
  </si>
  <si>
    <t>EA3QA</t>
  </si>
  <si>
    <t>WOS:000386517600014</t>
  </si>
  <si>
    <t>Stap, LB; van de Wal, RSW; De Boer, B; Bintanja, R; Lourens, LJ</t>
  </si>
  <si>
    <t>Stap, Lennert B.; van de Wal, Roderik S. W.; De Boer, Bas; Bintanja, Richard; Lourens, Lucas J.</t>
  </si>
  <si>
    <t>The MMCO-EOT conundrum: Same benthic δ18O, different CO2</t>
  </si>
  <si>
    <t>paleoclimate; carbon dioxide; global climate; global ice volume; sea level; benthic oxygen isotopes</t>
  </si>
  <si>
    <t>ANTARCTIC ICE-SHEET; DEEP-SEA-TEMPERATURE; CARBON-DIOXIDE; MIDDLE MIOCENE; CLIMATE; EVOLUTION; VOLUME; TOPOGRAPHY; GLACIATION; IMPACT</t>
  </si>
  <si>
    <t>Knowledge on climate change during the Cenozoic largely stems from benthic O-18 records, which document combined effects of deep-sea temperature and ice volume. Information on CO2 is expanding but remains uncertain and intermittent. Attempts to reconcile O-18, sea level, and CO2 by studying proxy data suffer from paucity of data and apparent inconsistencies among different records. One outstanding issue is the difference suggested by proxy CO2 data between the Eocene-Oligocene boundary (EOT) and the Middle-Miocene Climatic Optimum (MMCO), while similar levels of O-18 are shown during these times. This conundrum implies changing relations between O-18, CO2, and temperature over time. Here we use a coupled climate-ice sheet model, forced by two different benthic O-18 records, to obtain continuous and mutually consistent records of O-18, CO2, temperature, and sea level over the period 38 to 10Myr ago. We show that the different CO2 levels between the EOT and MMCO can be explained neither by the standard configuration of our model nor by altering the uncertain ablation parametrization on the East Antarctic Ice Sheet. However, we offer an explanation for the MMCO-EOT conundrum by considering erosion and/or tectonic movement of Antarctica, letting the topography evolve over time. A decreasing height of the Antarctic continent leads to higher surface temperatures, reducing the CO2 needed to maintain the same ice volume. This also leads to an increasing contribution of ice volume to the O-18 signal. This result is, however, dependent on how the topographic changes are implemented in our ice sheet model.</t>
  </si>
  <si>
    <t>[Stap, Lennert B.; van de Wal, Roderik S. W.] Univ Utrecht, Inst Marine &amp; Atmospher Res Utrecht, Utrecht, Netherlands; [De Boer, Bas] Univ Leeds, Sch Earth &amp; Environm, Fac Environm, Leeds, W Yorkshire, England; [Bintanja, Richard] Royal Netherlands Meteorol Inst KNMI, De Bilt, Netherlands; [Lourens, Lucas J.] Univ Utrecht, Fac Geosci, Dept Earth Sci, Utrecht, Netherlands</t>
  </si>
  <si>
    <t>Utrecht University; University of Leeds; Royal Netherlands Meteorological Institute; Utrecht University</t>
  </si>
  <si>
    <t>Stap, LB (corresponding author), Univ Utrecht, Inst Marine &amp; Atmospher Res Utrecht, Utrecht, Netherlands.</t>
  </si>
  <si>
    <t>L.B.Stap@uu.nl</t>
  </si>
  <si>
    <t>van de wal, roderik/D-1705-2011</t>
  </si>
  <si>
    <t>van de wal, roderik/0000-0003-2543-3892; de Boer, Bas/0000-0002-3696-6654; Bintanja, Richard/0000-0002-0465-5923; Stap, Lennert/0000-0002-2108-3533</t>
  </si>
  <si>
    <t>Netherlands Organisation of Scientific Research NWO-ALW grant; European Union's Horizon research and innovation program under the Marie Sklodowska-Curie [660814]; Marie Curie Actions (MSCA) [660814] Funding Source: Marie Curie Actions (MSCA)</t>
  </si>
  <si>
    <t>Netherlands Organisation of Scientific Research NWO-ALW grant; European Union's Horizon research and innovation program under the Marie Sklodowska-Curie(European Union (EU)); Marie Curie Actions (MSCA)(Marie Curie Actions)</t>
  </si>
  <si>
    <t>The results presented in this paper are available online at doi: 10.5281/zenodo.56676. We thank two anonymous referees, who have given constructive and clear comments that have helped to improve the paper substantially. Furthermore, we thank Stewart Jamieson for providing information on the reconstruction of Antarctic topography. Financial support for L.B. Stap was provided by the Netherlands Organisation of Scientific Research NWO-ALW grant. B. de Boer receives funding from the European Union's Horizon 2020 research and innovation program under the Marie Sklodowska-Curie grant agreement 660814.</t>
  </si>
  <si>
    <t>10.1002/2016PA002958</t>
  </si>
  <si>
    <t>DZ3JI</t>
  </si>
  <si>
    <t>WOS:000385742500008</t>
  </si>
  <si>
    <t>Coplen, TB; Qi, HP</t>
  </si>
  <si>
    <t>Coplen, Tyler B.; Qi, Haiping</t>
  </si>
  <si>
    <t>A revision in hydrogen isotopic composition of USGS42 and USGS43 human-hair stable isotopic reference materials for forensic science</t>
  </si>
  <si>
    <t>FORENSIC SCIENCE INTERNATIONAL</t>
  </si>
  <si>
    <t>Hydrogen isotopes; Keratin</t>
  </si>
  <si>
    <t>RATIO MASS-SPECTROMETRY; NONEXCHANGEABLE HYDROGEN; OXYGEN; KERATIN; DELTA-H-2</t>
  </si>
  <si>
    <t>The hydrogen isotopic composition (delta H-2(VSMOW-SLAP)) of USGS42 and USGS43 human hair stable isotopic reference materials, normalized to the VSMOW (Vienna-Standard Mean Ocean Water)-SLAP (Standard Light Antarctic Precipitation) scale, was originally determined with a high temperature conversion technique using an elemental analyzer (TC/EA) with a glassy carbon tube and glassy carbon filling and analysis by isotope-ratio mass spectrometer (IRMS). However, the TC/EA IRMS method can produce inaccurate delta H-2(VSMOW-SLAP) results when analyzing nitrogen-bearing organic substances owing to the formation of hydrogen cyanide (HCN), leading to non-quantitative conversion of a sample intomolecular hydrogen (H-2) for IRMS analysis. A single-oven, chromium-filled, elemental analyzer (Cr-EA) coupled to an IRMS substantially improves the measurement quality and reliability of hydrogen isotopic analysis of hydrogen-and nitrogen-bearing organic material because hot chromium scavenges all reactive elements except hydrogen. USGS42 and USGS43 human hair isotopic reference materials have been analyzed with the Cr-EA IRMS method, and the delta H-2(VSMOW-SLAP) values of their non-exchangeable hydrogen fractions have been revised: USGS42(Tibetan Hair) delta H-2(VSMOW-SLAP) = -72.9 +/- 2.2mUr (n=6) USGS43(Indian Hair) delta H-2(VSMOW-SLAP) = -44.4 +/- 2.0mUr (n=6) where mUr = 0.001 = %. On average, these revised d2HVSMOW-SLAP values are 5.7 mUr more positive than those previously measured. It is critical that readers pay attention to the delta H-2(VSMOW-SLAP) of isotopic reference materials in publications as they may need to adjust the delta H-2(VSMOW-SLAP) measurement results of human hair in previous publications to ensure all results are on the same isotope-delta scale. Published by Elsevier Ireland Ltd.</t>
  </si>
  <si>
    <t>[Coplen, Tyler B.; Qi, Haiping] US Geol Survey, Natl Ctr 431, Reston, VA 20192 USA</t>
  </si>
  <si>
    <t>United States Department of the Interior; United States Geological Survey</t>
  </si>
  <si>
    <t>Coplen, TB (corresponding author), US Geol Survey, Natl Ctr 431, Reston, VA 20192 USA.</t>
  </si>
  <si>
    <t>tbcoplen@usgs.gov</t>
  </si>
  <si>
    <t>U.S. Geological Survey National Research Program</t>
  </si>
  <si>
    <t>U.S. Geological Survey National Research Program(United States Geological Survey)</t>
  </si>
  <si>
    <t>This manuscript has benefited from helpful reviews by Dr. Christine France (Smithsonian Museum Conservation Institute, Suitland, Maryland, USA) and two anonymous reviewers. We thank Drs. L. I. Wassenaar (International Atomic Energy Agency), K. Hobson (Environment Canada, Saskatoon, Saskatchewan, Canada), and G. Koehler (Environment Canada, Saskatoon, Saskatchewan, Canada) for helpful discussions about isotopic analysis of keratins. The support of the U.S. Geological Survey National Research Program made this report possible. Any use of trade, firm, or product names is for descriptive purposes only and does not imply endorsement by the U.S. Government.</t>
  </si>
  <si>
    <t>0379-0738</t>
  </si>
  <si>
    <t>1872-6283</t>
  </si>
  <si>
    <t>FORENSIC SCI INT</t>
  </si>
  <si>
    <t>Forensic Sci.Int.</t>
  </si>
  <si>
    <t>10.1016/j.forsciint.2016.05.029</t>
  </si>
  <si>
    <t>Medicine, Legal</t>
  </si>
  <si>
    <t>Legal Medicine</t>
  </si>
  <si>
    <t>EA1EF</t>
  </si>
  <si>
    <t>WOS:000386334600052</t>
  </si>
  <si>
    <t>Thompson, AF; Stewart, AL; Bischoff, T</t>
  </si>
  <si>
    <t>Thompson, Andrew F.; Stewart, Andrew L.; Bischoff, Tobias</t>
  </si>
  <si>
    <t>A Multibasin Residual-Mean Model for the Global Overturning Circulation</t>
  </si>
  <si>
    <t>ANTARCTIC CIRCUMPOLAR CURRENT; SOUTHERN-OCEAN; BOTTOM WATER; TRANSPORT; PACIFIC; STRATIFICATION; SUBDUCTION; ATLANTIC; CLOSURE; TRACER</t>
  </si>
  <si>
    <t>The ocean's overturning circulation is inherently three-dimensional, yet modern quantitative estimates of the overturning typically represent the subsurface circulation as a two-dimensional, two-cell streamfunction that varies with latitude and depth only. This approach suppresses information about zonal mass and tracer transport. In this article, the authors extend earlier, zonally averaged overturning theory to explore the dynamics of a figure-eight'' circulation that cycles through multiple basins. Athree-dimensional residual-mean model of the overturning circulation is derived and then simplified to a multibasin isopycnal box model to explore how stratification and diabatic water mass transformations in each basin depend on the basin widths and on deep and bottom-water formation in both hemispheres. The idealization to multiple, two-dimensional basins permits zonal mass transport along isopycnals in a Southern Ocean-like channel, while retaining the dynamical framework of residual-mean theory. The model qualitatively reproduces the deeper isopycnal surfaces in the Pacific Basin relative to the Atlantic. This supports a transfer of Antarctic Bottom Water from the Atlantic sector to the Pacific sector via the Southern Ocean, which subsequently upwells in the northern Pacific Basin. A solution for the full isopycnal structure in the Southern Ocean reproduces observed stratification differences between Atlantic and Pacific Basins and provides a scaling for the diffusive boundary layer in which the zonal mass transport occurs. These results are consistent with observational indications that North Atlantic Deep Water is preferentially transformed into Antarctic Bottom Water, which undermines the importance of an adiabatic, upper overturning cell in the modern ocean.</t>
  </si>
  <si>
    <t>[Thompson, Andrew F.; Bischoff, Tobias] CALTECH, Environm Sci &amp; Engn, 1200 E Calif Blvd,MC 131-24, Pasadena, CA 91125 USA; [Stewart, Andrew L.] Univ Calif Los Angeles, Dept Atmospher &amp; Ocean Sci, Los Angeles, CA USA</t>
  </si>
  <si>
    <t>California Institute of Technology; University of California System; University of California Los Angeles</t>
  </si>
  <si>
    <t>Thompson, AF (corresponding author), CALTECH, Environm Sci &amp; Engn, 1200 E Calif Blvd,MC 131-24, Pasadena, CA 91125 USA.</t>
  </si>
  <si>
    <t>andrewt@caltech.edu</t>
  </si>
  <si>
    <t>Stewart, Andrew/0000-0001-5861-4070</t>
  </si>
  <si>
    <t>NSF [OCE-1235488, OCE-1538702]; Directorate For Geosciences; Division Of Ocean Sciences [1538702] Funding Source: National Science Foundation; Division Of Ocean Sciences; Directorate For Geosciences [1235488] Funding Source: National Science Foundation</t>
  </si>
  <si>
    <t>NSF(National Science Foundation (NSF)); Directorate For Geosciences; Division Of Ocean Sciences(National Science Foundation (NSF)NSF - Directorate for Geosciences (GEO)); Division Of Ocean Sciences; Directorate For Geosciences(National Science Foundation (NSF)NSF - Directorate for Geosciences (GEO))</t>
  </si>
  <si>
    <t>We acknowledge helpful discussions with Jess Adkins, Paola Cessi, Raffaele Ferrari, Malte Jansen, C. Spencer Jones, John Marshall, Louis-Phillipe Nadeau, and Lynne Talley. AFT gratefully acknowledges support from NSF Grant OCE-1235488. ALS acknowledges support from NSF Grant OCE-1538702.</t>
  </si>
  <si>
    <t>10.1175/JPO-D-15-0204.1</t>
  </si>
  <si>
    <t>DX0AW</t>
  </si>
  <si>
    <t>WOS:000384024900002</t>
  </si>
  <si>
    <t>Sinha, A; Abernathey, RP</t>
  </si>
  <si>
    <t>Sinha, Anirban; Abernathey, Ryan P.</t>
  </si>
  <si>
    <t>Time Scales of Southern Ocean Eddy Equilibration</t>
  </si>
  <si>
    <t>ANTARCTIC CIRCUMPOLAR CURRENT; MERIDIONAL OVERTURNING CIRCULATION; WIND STRESS; MESOSCALE EDDIES; CLIMATE-CHANGE; DRAKE PASSAGE; ANNULAR MODE; TRANSPORT; VARIABILITY; TRENDS</t>
  </si>
  <si>
    <t>Stratification in the Southern Ocean is determined primarily by a competition between westerly wind-driven upwelling and baroclinic eddy transport. This study investigates the time scales of equilibration of the Southern Ocean in response to changing winds through an idealized channel model. An analytical framework describing the energetic pathways between wind input, available potential energy (APE), eddy kinetic energy (EKE), and dissipation provides a simple theory of the phase and amplitude response to oscillating wind stress. The transient ocean response to variable winds lies between the two limits of Ekman response (high frequency), characterized by the isopycnal slope responding directly to wind stress, and eddy saturation'' (low frequency), wherein a large fraction of the anomalous wind work goes into mesoscale eddies. The crossover time scale is the time scale of meridional eddy diffusive transport across the Antarctic Circumpolar Current (ACC) front. For wind variability with a period of 3 months (high-frequency forcing), the relative conversion of wind work to APE/EKE is 11, while for a period of 16 years (low-frequency forcing), the relative conversion to APE/EKE reduces to 3. The system's frequency response is characterized by a complex transfer function. Both the phase and amplitude response of EKE and APE predicted by the linear analytic framework are verified using multiple ensemble experiments in an eddy-resolving (4-km horizontal resolution) isopycnal coordinate model. The results from the numerical experiments show agreement with the linear theory and can be used to explain certain features observed in previous modeling studies and observations.</t>
  </si>
  <si>
    <t>[Sinha, Anirban] Columbia Univ, Appl Phys &amp; Appl Math Dept, 200 SW Mudd Bldg,MC 4701,500 W 120th St, New York, NY 10027 USA; [Abernathey, Ryan P.] Columbia Univ, Dept Earth &amp; Environm Sci, New York, NY USA</t>
  </si>
  <si>
    <t>Columbia University; Columbia University</t>
  </si>
  <si>
    <t>Sinha, A (corresponding author), Columbia Univ, Appl Phys &amp; Appl Math Dept, 200 SW Mudd Bldg,MC 4701,500 W 120th St, New York, NY 10027 USA.</t>
  </si>
  <si>
    <t>as4479@columbia.edu</t>
  </si>
  <si>
    <t>Sinha, Anirban/AEZ-5498-2022; Sinha, Anirban/ABA-8612-2021</t>
  </si>
  <si>
    <t>Sinha, Anirban/0000-0002-7122-3549; Sinha, Anirban/0000-0002-4146-9687</t>
  </si>
  <si>
    <t>National Science Foundation [OCE 1553593]; NSF Frontiers in Earth System Dynamics (FESD) Grant [OCE 1338814]</t>
  </si>
  <si>
    <t>National Science Foundation(National Science Foundation (NSF)); NSF Frontiers in Earth System Dynamics (FESD) Grant</t>
  </si>
  <si>
    <t>This work was supported by National Science Foundation Award OCE 1553593. A. S. received additional support from an NSF Frontiers in Earth System Dynamics (FESD) Grant OCE 1338814. The computations were carried out with high-performance computing support provided by NCAR's Computational and Information Systems Laboratory (CISL) and with Columbia University Information Technology (CUIT)'s Yeti High-Performance Computing (HPC) cluster service. Comments by Lorenzo Polvani and two anonymous reviewers greatly improved the manuscript.</t>
  </si>
  <si>
    <t>10.1175/JPO-D-16-0041.1</t>
  </si>
  <si>
    <t>WOS:000384024900012</t>
  </si>
  <si>
    <t>Chen, R; Thompson, AF; Flierl, GR</t>
  </si>
  <si>
    <t>Chen, Ru; Thompson, Andrew F.; Flierl, Glenn R.</t>
  </si>
  <si>
    <t>Time-Dependent Eddy-Mean Energy Diagrams and Their Application to the Ocean</t>
  </si>
  <si>
    <t>AVAILABLE POTENTIAL-ENERGY; ANTARCTIC CIRCUMPOLAR CURRENT; ATMOSPHERIC LOCAL ENERGETICS; GENERAL-CIRCULATION; KINETIC-ENERGY; GEOSTROPHIC TURBULENCE; WORLD OCEAN; BAROCLINIC INSTABILITY; MESOSCALE EDDIES; GULF-STREAM</t>
  </si>
  <si>
    <t>Insight into the global ocean energy cycle and its relationship to climate variability can be gained by examining the temporal variability of eddy-mean flow interactions. A time-dependent version of the Lorenz energy diagram is formulated and applied to energetic ocean regions from a global, eddying state estimate. The total energy in each snapshot is partitioned into three components: energy in the mean flow, energy in eddies, and energy temporal anomaly residual, whose time mean is zero. These three terms represent, respectively, correlations between mean quantities, correlations between eddy quantities, and eddy-mean correlations. Eddy-mean flow interactions involve energy exchange among these three components. The temporal coherence about energy exchange during eddy-mean flow interactions is assessed. In the Kuroshio and Gulf Stream Extension regions, a suppression relation is manifested by a reduction in the baroclinic energy pathway to the eddy kinetic energy (EKE) reservoir following a strengthening of the barotropic energy pathway to EKE; the baroclinic pathway strengthens when the barotropic pathway weakens. In the subtropical gyre and Southern Ocean, a delay in energy transfer between different reservoirs occurs during baroclinic instability. The delay mechanism is identified using a quasigeostrophic, two-layer model; part of the potential energy in large-scale eddies, gained from the mean flow, cascades to smaller scales through eddy stirring before converting to EKE. The delay time is related to this forward cascade and scales linearly with the eddy turnover time. The relation between temporal variations in wind power input and eddy-mean flow interactions is also assessed.</t>
  </si>
  <si>
    <t>[Chen, Ru] Univ Calif San Diego, Scripps Inst Oceanog, 9500 Gilman Dr,Mail Code 0230, La Jolla, CA 92093 USA; [Thompson, Andrew F.] CALTECH, Pasadena, CA 91125 USA; [Flierl, Glenn R.] MIT, 77 Massachusetts Ave, Cambridge, MA 02139 USA</t>
  </si>
  <si>
    <t>University of California System; University of California San Diego; Scripps Institution of Oceanography; California Institute of Technology; Massachusetts Institute of Technology (MIT)</t>
  </si>
  <si>
    <t>Chen, R (corresponding author), Univ Calif San Diego, Scripps Inst Oceanog, 9500 Gilman Dr,Mail Code 0230, La Jolla, CA 92093 USA.</t>
  </si>
  <si>
    <t>ruchen@alum.mit.edu</t>
  </si>
  <si>
    <t>Chen, Ru/A-5681-2015</t>
  </si>
  <si>
    <t>Chen, Ru/0000-0002-5017-029X; Chen, Ru/0009-0007-6025-6867</t>
  </si>
  <si>
    <t>NASA [NNX09AI87G, NNX08AR33G, NNX15AG42G]; NSF [OCE-1459702]; NASA [NNX08AR33G, 95400, NNX15AG42G, 803355, 115867, NNX09AI87G] Funding Source: Federal RePORTER</t>
  </si>
  <si>
    <t>NASA(National Aeronautics &amp; Space Administration (NASA)); NSF(National Science Foundation (NSF)); NASA(National Aeronautics &amp; Space Administration (NASA))</t>
  </si>
  <si>
    <t>R. Chen thanks the support by NASA (NNX09AI87G and NNX08AR33G) and acknowledges C. Wunsch for providing insightful suggestions during the preparation of the work. A. F. Thompson is supported by NASA (NNX15AG42G), and G. R. Flierl is supported by NSF (OCE-1459702). Three anonymous reviewers provided comments, which substantially improved the work. R. X. Huang suggested the possible delay between potential and kinetic energy reservoirs. M. A. Spall provided helpful suggestions about section 4. Many thanks to J.-M. Campin, C. Hill, D. Menemenlis, and H. Zhang for discussion about the ECCO2 state estimate.</t>
  </si>
  <si>
    <t>10.1175/JPO-D-16-0012.1</t>
  </si>
  <si>
    <t>WOS:000384024900014</t>
  </si>
  <si>
    <t>Södergren, AH; Bodeker, GE; Kremser, S; Meinshausen, M; McDonald, AJ</t>
  </si>
  <si>
    <t>Sodergren, A. Helena; Bodeker, Gregory E.; Kremser, Stefanie; Meinshausen, Malte; McDonald, Adrian J.</t>
  </si>
  <si>
    <t>A probabilistic study of the return of stratospheric ozone to 1960 levels</t>
  </si>
  <si>
    <t>stratospheric ozone; simple climate model; ozone projection uncertainties; MAGICC</t>
  </si>
  <si>
    <t>CARBON-CYCLE MODELS; ATMOSPHERE-OCEAN; SIMPLER MODEL; CLIMATE; FEEDBACK; DATES</t>
  </si>
  <si>
    <t>Anthropogenic emissions of greenhouse gases and ozone-depleting substances are expected to continue to affect concentrations of ozone in the stratosphere through the 21st century. While a range of estimates for when stratospheric ozone is expected to return to unperturbed levels is available in the literature, quantification of the spread in results is sparse. Here we present the first probabilistic study of latitudinally resolved years of return of stratospheric ozone to 1960 levels. Results from our 180-member ensemble, simulated with a newly developed simple climate model, suggest that the spread in return years of ozone is largest around 40 degrees N/S and in the southern high latitudes and decreases with increasing greenhouse gas emissions. The spread in projections of ozone is larger for higher greenhouse gas scenarios and is larger in the polar regions than in the midlatitudes, while the spread in ozone radiative forcing is smallest in the polar regions.</t>
  </si>
  <si>
    <t>[Sodergren, A. Helena; Bodeker, Gregory E.; Kremser, Stefanie] Bodeker Sci, Alexandra, New Zealand; [Sodergren, A. Helena; McDonald, Adrian J.] Univ Canterbury, Dept Phys &amp; Astron, Christchurch, New Zealand; [Meinshausen, Malte] Univ Melbourne, Sch Earth Sci, Parkville, Vic, Australia; [Meinshausen, Malte] Potsdam Inst Climate Impact Res, Earth Syst Anal, Potsdam, Germany</t>
  </si>
  <si>
    <t>University of Canterbury; University of Melbourne; Potsdam Institut fur Klimafolgenforschung</t>
  </si>
  <si>
    <t>Södergren, AH (corresponding author), Bodeker Sci, Alexandra, New Zealand.;Södergren, AH (corresponding author), Univ Canterbury, Dept Phys &amp; Astron, Christchurch, New Zealand.</t>
  </si>
  <si>
    <t>helena@bodekerscientific.com</t>
  </si>
  <si>
    <t>Bodeker, Greg E/A-8870-2008; Meinshausen, Malte/AAG-7985-2019; Meinshausen, Malte/AAG-6505-2019; Meinshausen, Malte/A-7037-2011</t>
  </si>
  <si>
    <t>Meinshausen, Malte/0000-0003-4048-3521; Meinshausen, Malte/0000-0003-4048-3521; McDonald, Adrian/0000-0002-1456-6254; /0000-0002-3573-7083; Bodeker, Gregory/0000-0003-1094-5852</t>
  </si>
  <si>
    <t>New Zealand Antarctic Research Institute</t>
  </si>
  <si>
    <t>We would like to thank the New Zealand Antarctic Research Institute for funding this project. We would also like to thank Stefanie Meul for EMAC output data, Irene Cionni for contributing the ozone data from the CMIP5 ozone database, David Stevenson for radiative forcing data, and Alexandru Rap for helpful discussions regarding radiative forcing. MAGICC can be downloaded from the following website: http://www.magicc.org/.</t>
  </si>
  <si>
    <t>10.1002/2016GL069700</t>
  </si>
  <si>
    <t>DY8CX</t>
  </si>
  <si>
    <t>WOS:000385357200056</t>
  </si>
  <si>
    <t>Righter, K; Cosca, MA; Morgan, LE</t>
  </si>
  <si>
    <t>Righter, K.; Cosca, M. A.; Morgan, L. E.</t>
  </si>
  <si>
    <t>Preservation of ancient impact ages on the R chondrite parent body: 40Ar/39Ar age of hornblende-bearing R chondrite LAP 04840</t>
  </si>
  <si>
    <t>INNER SOLAR-SYSTEM; RUMURUTI CHONDRITE; EXPOSURE AGES; MINERALOGY; METEORITE; AMPHIBOLE; HISTORY; SHOCK; CHRONOLOGY; ACCRETION</t>
  </si>
  <si>
    <t>The hornblende- and biotite-bearing R chondrite LAP 04840 is a rare kind of meteorite possibly containing outer solar system water stored during metamorphism or postshock annealing deep within an asteroid. Because little is known regarding its age and origin, we determined 40Ar/39Ar ages on hornblende-rich separates of the meteorite, and obtained plateau ages of 4340(+/- 40) to 4380(+/- 30) Ma. These well-defined plateau ages, coupled with evidence for postshock annealing, indicate this meteorite records an ancient shock event and subsequent annealing. The age of 4340-4380Ma (or 4.34-4.38Ga) for this and other previously dated R chondrites is much older than most impact events recorded by ordinary chondrites and points to an ancient event or events that predated the late heavy bombardment that is recorded in so many meteorites and lunar samples.</t>
  </si>
  <si>
    <t>[Righter, K.] NASA, Johnson Space Ctr, Mailcode XI2,2101 NASA Pkwy, Houston, TX 77058 USA; [Cosca, M. A.; Morgan, L. E.] US Geol Survey, Denver Fed Ctr, MS 963, Denver, CO 80225 USA</t>
  </si>
  <si>
    <t>National Aeronautics &amp; Space Administration (NASA); NASA Johnson Space Center; United States Department of the Interior; United States Geological Survey</t>
  </si>
  <si>
    <t>Righter, K (corresponding author), NASA, Johnson Space Ctr, Mailcode XI2,2101 NASA Pkwy, Houston, TX 77058 USA.</t>
  </si>
  <si>
    <t>kevin.righter-1@nasa.gov</t>
  </si>
  <si>
    <t>Righter, Kevin/0000-0002-6075-7908</t>
  </si>
  <si>
    <t>RTOP from NASA Cosmochemistry program; NSF; NASA</t>
  </si>
  <si>
    <t>RTOP from NASA Cosmochemistry program; NSF(National Science Foundation (NSF)); NASA(National Aeronautics &amp; Space Administration (NASA))</t>
  </si>
  <si>
    <t>Funding for this study was provided by an RTOP to KR from the NASA Cosmochemistry program.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Any use of trade, product, or firm names is for descriptive purposes only and does not imply endorsement by the U.S. government. Reviews by J. Park, M. McCanta, and comments of AE Yamaguchi helped to improve presentation of our results.</t>
  </si>
  <si>
    <t>10.1111/maps.12692</t>
  </si>
  <si>
    <t>DW4QX</t>
  </si>
  <si>
    <t>WOS:000383629200008</t>
  </si>
  <si>
    <t>Scherer, RP; DeConto, RM; Pollard, D; Alley, RB</t>
  </si>
  <si>
    <t>Scherer, Reed P.; DeConto, Robert M.; Pollard, David; Alley, Richard B.</t>
  </si>
  <si>
    <t>Windblown Pliocene diatoms and East Antarctic Ice Sheet retreat</t>
  </si>
  <si>
    <t>CENOZOIC GLACIAL HISTORY; SIRIUS GROUP; TRANSANTARCTIC-MOUNTAINS; DRY-VALLEYS; SEA-LEVEL; MARINE PRODUCTIVITY; ROSS EMBAYMENT; VICTORIA LAND; MINERAL DUST; PALEOCLIMATE</t>
  </si>
  <si>
    <t>Marine diatoms in tillites along the Transantarctic Mountains (TAMs) have been used to suggest a diminished East Antarctic Ice Sheet (EAIS) during Pliocene warm periods. Updated ice-sheet modelling shows significant Pliocene EAIS retreat, creating marine embayments into the Wilkes and Aurora basins that were conducive to high diatom productivity and rapid accumulation of diatomaceous sediments. Here we show that subsequent isostatic uplift exposed accumulated unconsolidated marine deposits to wind erosion. We report new atmospheric modelling utilizing Pliocene climate and derived Antarctic landscapes indicating that prevailing mid-altitude winds transported diatoms towards the TAMs, dominantly from extensive emerged coastal deposits of the Aurora Basin. This result unifies leading ideas from competing sides of a contentious debate about the origin of the diatoms in the TAMs and their link to EAIS history, supporting the view that parts of the EAIS are vulnerable to relatively modest warming, with possible implications for future sea-level rise.</t>
  </si>
  <si>
    <t>[Scherer, Reed P.] Northern Illinois Univ, Dept Geol &amp; Environm Geosci, De Kalb, IL 60115 USA; [DeConto, Robert M.] Univ Massachusetts, Dept Geosci, Amherst, MA 01003 USA; [Pollard, David; Alley, Richard B.] Penn State Univ, Earth &amp; Environm Syst Inst, University Pk, PA 16802 USA</t>
  </si>
  <si>
    <t>Northern Illinois University; University of Massachusetts System; University of Massachusetts Amherst; Pennsylvania Commonwealth System of Higher Education (PCSHE); Pennsylvania State University; Pennsylvania State University - University Park</t>
  </si>
  <si>
    <t>Scherer, RP (corresponding author), Northern Illinois Univ, Dept Geol &amp; Environm Geosci, De Kalb, IL 60115 USA.</t>
  </si>
  <si>
    <t>reed@niu.edu</t>
  </si>
  <si>
    <t>National Science Foundation [ANT0839059/ANT0839107, ANT1043018, ATM1203910, OCE1202632, AGS1203910/1203792, ANT0424589, PLR0424589, AGS1338832]; Directorate For Geosciences; Div Atmospheric &amp; Geospace Sciences [1338832] Funding Source: National Science Foundation</t>
  </si>
  <si>
    <t>National Science Foundation(National Science Foundation (NSF)); Directorate For Geosciences; Div Atmospheric &amp; Geospace Sciences(National Science Foundation (NSF)NSF - Directorate for Geosciences (GEO))</t>
  </si>
  <si>
    <t>This research was supported by the National Science Foundation under awards ANT0839059/ANT0839107 (R.P.S.), ANT1043018 (D.P.), ATM1203910 (R.M.D.), OCE1202632, AGS1203910/1203792 (R.M.D. and D.P.), ANT0424589 (R.B.A. and D.P.), PLR0424589, AGS1338832 (R.B.A.). We thank Professor Peter Barrett for incisive discussion and named and anonymous reviewers for thoughtful input.</t>
  </si>
  <si>
    <t>10.1038/ncomms12957</t>
  </si>
  <si>
    <t>DY9HU</t>
  </si>
  <si>
    <t>WOS:000385445300003</t>
  </si>
  <si>
    <t>Lavín, P; Atala, C; Gallardo-Cerda, J; Gonzalez-Aravena, M; De la Iglesia, R; Oses, R; Torres-Díaz, C; Trefault, N; Molina-Montenegro, MA; Laughinghouse, HD</t>
  </si>
  <si>
    <t>Lavin, Paris; Atala, Cristian; Gallardo-Cerda, Jorge; Gonzalez-Aravena, Marcelo; De la Iglesia, Rodrigo; Oses, Romulo; Torres-Diaz, Cristian; Trefault, Nicole; Molina-Montenegro, Marco A.; Dail Laughinghouse, H.</t>
  </si>
  <si>
    <t>Isolation and characterization of an Antarctic Flavobacterium strain with agarase and alginate lyase activities</t>
  </si>
  <si>
    <t>POLISH POLAR RESEARCH</t>
  </si>
  <si>
    <t>Antarctic; King George Island; Flavobacterium; agarase; alginate-lyase</t>
  </si>
  <si>
    <t>SP-NOV.; MOLECULAR CHARACTERIZATION; ENZYME CHARACTERISTICS; MARINE BACTERIUM; MAJOR SOURCES; PURIFICATION; PSYCHROPHILE; DIVERSITY; ALIGNMENT; SEQUENCE</t>
  </si>
  <si>
    <t>Several bacteria that are associated with macroalgae can use phycocolloids as a carbon source. Strain INACH002, isolated from decomposing Porphyra (Rhodophyta), in King George Island, Antarctica, was screened and characterized for the ability to produce agarase and alginate-lyase enzymatic activities. Our strain INACH002 was identified as a member of the genus Flavobacterium, closely related to Flavobacterium faecale, using 16S rRNA gene analysis. The INACH002 strain was characterized as psychrotrophic due to its optimal temperature (17 degrees C) and maximum temperature (20 degrees C) of growth. Agarase and alginate-lyase displayed enzymatic activities within a range of 10 degrees C to 50 degrees C, with differences in the optimal temperature to hydrolyze agar (50 degrees C), agarose (50 degrees C) and alginate (30 degrees C) during the first 30 min of activity. Strain Flavobacterium INACH002 is a promising Antarctic biotechnological resource; however, further research is required to illustrate the structural and functional bases of the enzymatic performance observed during the degradation of different substrates at different temperatures.</t>
  </si>
  <si>
    <t>[Lavin, Paris; Gallardo-Cerda, Jorge; Gonzalez-Aravena, Marcelo] Inst Antartico Chileno INACH, Dept Cient, Punta Arenas, Chile; [Atala, Cristian] Pontificia Univ Catolica Valparaiso, Fac Ciencias, Lab Anat &amp; Ecol Func Plantas, Campus Curauma, Valparaiso, Chile; [De la Iglesia, Rodrigo] Pontificia Univ Catolica Chile, Fac Ciencias Biol, Dept Genet Mol &amp; Microbiol, Santiago, Chile; [Oses, Romulo; Molina-Montenegro, Marco A.] Univ Catolica Norte, Fac Ciencias Mar, CEAZA, Coquimbo, Chile; [Torres-Diaz, Cristian] Univ Bio Bio, Fac Ciencias, Dept Ciencias Basicas, Chillan, Chile; [Trefault, Nicole] Univ Mayor, Fac Ciencias, Ctr Genom &amp; Bioinformat, Santiago, Chile; [Molina-Montenegro, Marco A.] Univ Talca, Inst Ciencias Biol, Avda Lircay S-N, Talca, Chile; [Dail Laughinghouse, H.] IBBR, Rockville, MD USA</t>
  </si>
  <si>
    <t>Pontificia Universidad Catolica de Valparaiso; Pontificia Universidad Catolica de Chile; Universidad Catolica del Norte; Universidad del Bio-Bio; Universidad Mayor; Universidad de Talca</t>
  </si>
  <si>
    <t>Lavín, P (corresponding author), Inst Antartico Chileno INACH, Dept Cient, Punta Arenas, Chile.</t>
  </si>
  <si>
    <t>palavin@gmail.com</t>
  </si>
  <si>
    <t>González, Marcelo/ABF-1450-2020; Lavin, Paris/AAI-9053-2020; Laughinghouse, Haywood Dail/M-5836-2016</t>
  </si>
  <si>
    <t>Laughinghouse, Haywood Dail/0000-0003-1018-6948; Lavin, Paris/0000-0002-8893-526X; Oses-Pedraza, Romulo/0000-0003-2310-3339; Atala, Cristian/0000-0003-1337-9534; Molina-Montenegro, Marco/0000-0001-6801-8942; Gonzalez, Marcelo/0000-0001-9986-9504; Torres Diaz, Cristian/0000-0002-5741-5288</t>
  </si>
  <si>
    <t>Insercion de Capital humano - CONICYT, Instituto Antartico Chileno (INACH), Chile [78111301]</t>
  </si>
  <si>
    <t>Insercion de Capital humano - CONICYT, Instituto Antartico Chileno (INACH), Chile</t>
  </si>
  <si>
    <t>Paris Lavin was supported by the grant No 78111301 from Insercion de Capital humano - CONICYT, Instituto Antartico Chileno (INACH), Chile. The authors would like to thank personnel at INACH for their logistic support in Antarctica.</t>
  </si>
  <si>
    <t>POLSKA AKAD NAUK, POLISH ACAD SCIENCES</t>
  </si>
  <si>
    <t>WARSZAWA</t>
  </si>
  <si>
    <t>PL DEFILAD 1, WARSZAWA, 00-901, POLAND</t>
  </si>
  <si>
    <t>0138-0338</t>
  </si>
  <si>
    <t>2081-8262</t>
  </si>
  <si>
    <t>POL POLAR RES</t>
  </si>
  <si>
    <t>Pol. Polar. Res.</t>
  </si>
  <si>
    <t>10.1515/popore-2016-0021</t>
  </si>
  <si>
    <t>Ecology; Geosciences, Multidisciplinary</t>
  </si>
  <si>
    <t>Environmental Sciences &amp; Ecology; Geology</t>
  </si>
  <si>
    <t>DY8KI</t>
  </si>
  <si>
    <t>WOS:000385378400004</t>
  </si>
  <si>
    <t>Simkins, LM; DeWitt, R; Simms, AR; Briggs, S; Shapiro, RS</t>
  </si>
  <si>
    <t>Simkins, Lauren M.; DeWitt, Regina; Simms, Alexander R.; Briggs, Sophie; Shapiro, Russell S.</t>
  </si>
  <si>
    <t>Investigation of optically stimulated luminescence behavior of quartz from crystalline rock surfaces: A look forward</t>
  </si>
  <si>
    <t>QUATERNARY GEOCHRONOLOGY</t>
  </si>
  <si>
    <t>Optically stimulated luminescence; Cathodoluminescence; Microdosimetry; Antarctic beaches; Crystalline rocks; Rock surfaces</t>
  </si>
  <si>
    <t>ANTARCTIC PENINSULA; OSL-THERMOCHRONOMETRY; DOSE DISTRIBUTION; RAISED BEACHES; SEA-LEVEL; SINGLE; GRAINS; GEOTHERMOMETER; INTENSITY; SEDIMENTS</t>
  </si>
  <si>
    <t>Optically stimulated luminescence (OSL) dating has recently been applied to crystalline (i.e. igneous and metamorphic) rock surfaces. With the advent of this technique, early studies can guide improvements to the methodology that will lead to more robust age constraints. Low OSL sensitivity, poor measurement reliability, and equivalent dose scatter are common problems with dating quartz from crystalline rock surfaces. We investigate OSL characteristics of quartz extracted from crystalline Antarctic beach cobbles. Comparison of OSL behavior with cathodoluminescene characteristics and mineral composition and texture does not show a distinct relationship, suggesting luminescence behavior results from the natural radiation environment and post-crystallization transport history, rather than provenance source and the nature of crystal defects. Elemental composition of processed samples used for OSL measurements indicates standard methods of chemical preparation are not always suitable to extract pure quartz samples. Additionally, heterogeneous radiation production and attenuation poses a problem for estimating dose rates, in particular regarding beta contributions that dominate effective dose rates. We determine the sensitivity of effective dose rates to water content parameters and crystal size needed to calculate dose rates for crystalline rock surfaces. An increase in the value of all modelled parameters serves to reduce effective dose rates and, thus increase OSL ages. Dose rates are most sensitive to crystal size, which can introduce large uncertainty in burial ages from crystalline rocks due to heterogeneous crystal morphology (i.e. size and shape). This study provides a step forward in understanding the challenges and improving the methodology of luminescence dating of quartz from crystalline rock surfaces. (C) 2016 Elsevier B.V. All rights reserved.</t>
  </si>
  <si>
    <t>[Simkins, Lauren M.; Simms, Alexander R.; Briggs, Sophie] Univ Calif Santa Barbara, Dept Earth Sci, Santa Barbara, CA 93106 USA; [DeWitt, Regina] East Carolina Univ, Dept Phys, Greenville, NC 27858 USA; [Shapiro, Russell S.] Calif State Univ Chico, Dept Geol &amp; Environm Sci, Chico, CA 95929 USA</t>
  </si>
  <si>
    <t>University of California System; University of California Santa Barbara; University of North Carolina; East Carolina University; California State University System; California State University Chico</t>
  </si>
  <si>
    <t>Simkins, LM (corresponding author), Rice Univ, Dept Earth Sci, 6100 Main St, Houston, TX 77005 USA.</t>
  </si>
  <si>
    <t>lsimkins@rice.edu</t>
  </si>
  <si>
    <t>Briggs, Sophie/AAE-3291-2021; Simms, Alexander R/E-5609-2012; Briggs, Sophie/JDD-3460-2023</t>
  </si>
  <si>
    <t>Simms, Alexander/0000-0001-5034-2189; Briggs, Sophie/0000-0003-4286-8740; DeWitt, Regina/0000-0003-2876-5489; Miller, Lauren/0000-0002-9075-5196</t>
  </si>
  <si>
    <t>NSF [OPP-0838781]</t>
  </si>
  <si>
    <t>Authors thank Gareth Seward from the University of California Santa Barbara for running EDS measurements. This project was funded by NSF grant OPP-0838781 to ARS and RD. The manuscript was greatly improved by the comments of two anonymous reviewers.</t>
  </si>
  <si>
    <t>1871-1014</t>
  </si>
  <si>
    <t>1878-0350</t>
  </si>
  <si>
    <t>QUAT GEOCHRONOL</t>
  </si>
  <si>
    <t>Quat. Geochronol.</t>
  </si>
  <si>
    <t>10.1016/j.quageo.2016.09.002</t>
  </si>
  <si>
    <t>DZ1NL</t>
  </si>
  <si>
    <t>WOS:000385605000014</t>
  </si>
  <si>
    <t>Machín, FJ; Pelegrí, JL</t>
  </si>
  <si>
    <t>Jose Machin, Francisco; Pelegri, Josep L.</t>
  </si>
  <si>
    <t>Interaction of Mediterranean Water lenses with Antarctic Intermediate Water off Northwest Africa</t>
  </si>
  <si>
    <t>SCIENTIA MARINA</t>
  </si>
  <si>
    <t>32nd Scientific Meetings of the Mediterranean - Josep Miquel Vidal</t>
  </si>
  <si>
    <t>OCT 05-07, 2016</t>
  </si>
  <si>
    <t>SPAIN</t>
  </si>
  <si>
    <t>meddies; Antarctic Intermediate Water; eastern North Atlantic</t>
  </si>
  <si>
    <t>CANARY-ISLANDS; SALT LENS; ATLANTIC; MASS; DISTRIBUTIONS; MEDDIES; TRACER; OCEAN; BASIN; EDDY</t>
  </si>
  <si>
    <t>Mediterranean Water lenses (meddies) in the eastern North Atlantic, north of the Canary Islands, appear to often have their salty and nutrient-poor core accompanied by relatively fresh and nutrient-rich waters on top. We describe several occurrences of freshwater halos and berets for meddies sampled north of the Canary Islands-with instrumented moorings, Argo floats and oceanographic cruises-and identify the source of these fresh anomalies as diluted Antarctic Intermediate Water (AAIW). We propose that this capping takes place off Northwest Africa, as the southward-advected meddy interacts with the northward-advected AAIW. This interpretation is consistent with a simple analysis of the relevant advective-diffusive time scales associated with the passage of meddies under a layer of AAIW, and suggests that meddies may be a mechanism for AAIW export far into the North Atlantic Ocean.</t>
  </si>
  <si>
    <t>[Jose Machin, Francisco] Univ Las Palmas Gran Canaria, Dept Phys, Las Palmas De Gran Cana, Las Palmas, Spain; [Pelegri, Josep L.] CSIC, Inst Ciencies Mar, Barcelona, Spain</t>
  </si>
  <si>
    <t>Universidad de Las Palmas de Gran Canaria; Consejo Superior de Investigaciones Cientificas (CSIC); CSIC - Centro Mediterraneo de Investigaciones Marinas y Ambientales (CMIMA); CSIC - Instituto de Ciencias del Mar (ICM)</t>
  </si>
  <si>
    <t>Machín, FJ (corresponding author), Univ Las Palmas Gran Canaria, Dept Phys, Las Palmas De Gran Cana, Las Palmas, Spain.</t>
  </si>
  <si>
    <t>francisco.machin@ulpgc.es; pelegri@icm.csic.es</t>
  </si>
  <si>
    <t>Pelegrí, Josep L/L-5815-2014; Machin, Francisco/A-9287-2009</t>
  </si>
  <si>
    <t>Pelegrí, Josep L/0000-0003-0661-2190; Machin, Francisco/0000-0002-4281-6804</t>
  </si>
  <si>
    <t>CONSEJO SUPERIOR INVESTIGACIONES CIENTIFICAS-CSIC</t>
  </si>
  <si>
    <t>MADRID</t>
  </si>
  <si>
    <t>VITRUVIO 8, 28006 MADRID, SPAIN</t>
  </si>
  <si>
    <t>0214-8358</t>
  </si>
  <si>
    <t>1886-8134</t>
  </si>
  <si>
    <t>SCI MAR</t>
  </si>
  <si>
    <t>Sci. Mar.</t>
  </si>
  <si>
    <t>10.3989/scimar.04289.06A</t>
  </si>
  <si>
    <t>DZ1QI</t>
  </si>
  <si>
    <t>WOS:000385612500019</t>
  </si>
  <si>
    <t>Papetti, C; Lucassen, M; Pörtner, HO</t>
  </si>
  <si>
    <t>Papetti, Chiara; Lucassen, Magnus; Poertner, Hans-Otto</t>
  </si>
  <si>
    <t>Integrated studies of organismal plasticity through physiological and transcriptomic approaches: examples from marine polar regions</t>
  </si>
  <si>
    <t>BRIEFINGS IN FUNCTIONAL GENOMICS</t>
  </si>
  <si>
    <t>cold adaptation; ecophysiology; genomics; non-model organisms; Antarctic fish; OCLTT</t>
  </si>
  <si>
    <t>TEMPERATURE-DEPENDENT BIOGEOGRAPHY; ANTARCTIC NOTOTHENIOID FISH; ZEBRAFISH DANIO-RERIO; ECOLOGICAL FUNCTIONAL GENOMICS; GENE-EXPRESSION; TREMATOMUS-BERNACCHII; NEXT-GENERATION; LEPIDONOTOTHEN-NUDIFRONS; PAGOTHENIA-BORCHGREVINKI; MITOCHONDRIAL-FUNCTION</t>
  </si>
  <si>
    <t>Transcriptomic methods are now widely used in functional genomic research. The vast amount of information received from these studies comes along with the challenge of developing a precise picture of the functional consequences and the characteristic regulatory mechanisms. Here we assess recent studies in marine species and their adaptation to polar (and seasonal) cold and explore how they have been able to draw reliable conclusions from transcriptomic patterns on functional consequences in the organisms. Our analysis indicates that the interpretation of transcriptomic data suffers from insufficient understanding of the consequences for whole organism performance and fitness and comes with the risk of supporting only preliminary and superficial statements. We propose that the functional understanding of transcriptomic data may be improved by their tighter integration into overarching physiological concepts that support the more specific interpretation of the 'omics' data and, at the same time, can be developed further through embedding the transcriptomic phenomena observed. Such possibilities have not been fully exploited. In the context of thermal adaptation and limitation, we explore preliminary evidence that the concept of oxygen and capacity limited thermal tolerance (OCLTT) may provide sufficient complexity to guide the integration of such data and the development of associated functional hypotheses. At the same time, we identify a lack of methodological approaches linking genes and function to higher levels of integration, in terms of organism and ecosystem functioning, at temporal and geographical scales, to support more reliable conclusions and be predictive with respect to the effects of global changes.</t>
  </si>
  <si>
    <t>[Papetti, Chiara; Lucassen, Magnus] Alfred Wegener Inst, Bremerhaven, Germany; [Poertner, Hans-Otto] Alfred Wegener Inst, Dept Integrat Ecophysiol, Bremerhaven, Germany</t>
  </si>
  <si>
    <t>Helmholtz Association; Alfred Wegener Institute, Helmholtz Centre for Polar &amp; Marine Research; Helmholtz Association; Alfred Wegener Institute, Helmholtz Centre for Polar &amp; Marine Research</t>
  </si>
  <si>
    <t>Papetti, C (corresponding author), Helmholtz Ctr Polar &amp; Marine Res, Alfred Wegener Inst, Sect Integrat Ecophysiol, Handelshafen 12, D-27570 Bremerhaven, Germany.</t>
  </si>
  <si>
    <t>chiara.papetti@awi.de</t>
  </si>
  <si>
    <t>Pörtner, Hans-O./K-9429-2016; Lucassen, Magnus/E-8433-2011; Lucassen, Magnus/ABA-8396-2021; Pörtner, Hans-O./ISU-9397-2023</t>
  </si>
  <si>
    <t>Pörtner, Hans-O./0000-0001-6535-6575; Lucassen, Magnus/0000-0003-4276-4781; Papetti, Chiara/0000-0002-4567-459X</t>
  </si>
  <si>
    <t>European Marie Curie project 'Polarexpress' grant [622320]; German Ministry for Education and Research (BMBF) [FKZ 03F0608B]</t>
  </si>
  <si>
    <t>European Marie Curie project 'Polarexpress' grant; German Ministry for Education and Research (BMBF)(Federal Ministry of Education &amp; Research (BMBF))</t>
  </si>
  <si>
    <t>C.P. acknowledges the contribution by the European Marie Curie project 'Polarexpress' grant n. 622320. This work was supported by the joint project BIOACID (Biological Impacts of Ocean Acidification, FKZ 03F0608B) of the German Ministry for Education and Research (BMBF). This article is a contribution to the research programme 'Polar regions and coasts in a changing earth system' (PACES) of the Alfred-Wegener-Institute Helmholtz Centre for Polar and Marine Research.</t>
  </si>
  <si>
    <t>2041-2649</t>
  </si>
  <si>
    <t>2041-2657</t>
  </si>
  <si>
    <t>BRIEF FUNCT GENOMICS</t>
  </si>
  <si>
    <t>Brief. Funct. Genomics</t>
  </si>
  <si>
    <t>10.1093/bfgp/elw024</t>
  </si>
  <si>
    <t>Biotechnology &amp; Applied Microbiology; Genetics &amp; Heredity</t>
  </si>
  <si>
    <t>DY5GQ</t>
  </si>
  <si>
    <t>WOS:000385127800006</t>
  </si>
  <si>
    <t>Smith, TM; York, PH; Macreadie, PI; Keough, MJ; Ross, DJ; Sherman, CDH</t>
  </si>
  <si>
    <t>Smith, Timothy M.; York, Paul H.; Macreadie, Peter I.; Keough, Michael J.; Ross, D. Jeff; Sherman, Craig D. H.</t>
  </si>
  <si>
    <t>Spatial variation in reproductive effort of a southern Australian seagrass</t>
  </si>
  <si>
    <t>Flowering; Reproductive investment; Seed bank; Sexual reproduction; Vegetative growth; Seagrass; Heterozostera tasmanica</t>
  </si>
  <si>
    <t>EELGRASS ZOSTERA-MARINA; PORT PHILLIP BAY; SMALL-SCALE DISTURBANCES; DEEP-WATER SEAGRASS; HETEROZOSTERA-TASMANICA; POSIDONIA-AUSTRALIS; POPULATION-DYNAMICS; SEXUAL REPRODUCTION; WESTERN AUSTRALIA; COCKBURN SOUND</t>
  </si>
  <si>
    <t>In marine environments characterised by habitat-forming plants, the relative allocation of resources into vegetative growth and flowering is an important indicator of plant condition and hence ecosystem health. In addition, the production and abundance of seeds can give clues to local resilience. Flowering density, seed bank, biomass and epiphyte levels were recorded for the temperate seagrass Zostera nigricaulis in Port Phillip Bay, south east Australia at 14 sites chosen to represent several regions with different physicochemical conditions. Strong regional differences were found within the large bay. Spathe and seed density were very low in the north of the bay (3 sites), low in the centre of the bay (2 sites) intermediate in the Outer Geelong Arm (2 sites), high in Swan Bay (2 sites) and very high in the Inner Geelong Arm (3 sites). In the south (2 sites) seed density was low and spathe density was high. These regional patterns were largely consistent for the 5 sites sampled over the three year period. Timing of flowering was consistent across sites, occurring from August until December with peak production in October, except during the third year of monitoring when overall densities were lower and peaked in November. Seagrass biomass, epiphyte load, canopy height and stem density showed few consistent spatial and temporal patterns. Variation in spathe and seed density and morphology across Port Phillip Bay reflects varying environmental conditions and suggests that northern sites may be restricted in their ability to recover from disturbance through sexual reproduction. In contrast, sites in the west and south of the bay have greater potential to recover from disturbances due to a larger seed bank and these sites could act as source populations for sites where seed production is low. (C) 2016 Elsevier Ltd. All rights reserved.</t>
  </si>
  <si>
    <t>[Smith, Timothy M.; York, Paul H.; Macreadie, Peter I.; Sherman, Craig D. H.] Deakin Univ, Sch Life &amp; Environm Sci, Ctr Integrat Ecol, Waurn Ponds, Vic 3217, Australia; [York, Paul H.] James Cook Univ, Ctr Trop Water &amp; Aquat Ecosyst Res TropWATER, Cairns, Qld 4870, Australia; [York, Paul H.; Keough, Michael J.] Univ Melbourne, Sch BioSci, Parkville, Vic 3010, Australia; [Macreadie, Peter I.] Univ Technol Sydney, Sch Environm, Plant Funct Biol &amp; Climate Change Cluster C3, Broadway, Broadway, NSW 2007, Australia; [Ross, D. Jeff] Univ Tasmania, Inst Marine &amp; Antarctic Studies, Taroona, Tas 7053, Australia</t>
  </si>
  <si>
    <t>Deakin University; James Cook University; University of Melbourne; University of Technology Sydney; University of Tasmania</t>
  </si>
  <si>
    <t>Smith, TM (corresponding author), Deakin Univ, Sch Life &amp; Environm Sci, Ctr Integrat Ecol, Waurn Ponds, Vic 3217, Australia.</t>
  </si>
  <si>
    <t>tim.smith@deakin.edu.au</t>
  </si>
  <si>
    <t>Smith, Timothy/C-9283-2013; York, Paul H./C-4120-2009; Sherman, Craig/A-2484-2010; Ross, Donald/F-7607-2012</t>
  </si>
  <si>
    <t>Smith, Timothy/0000-0001-8612-8600; York, Paul H./0000-0003-3530-4146; Keough, Michael/0000-0002-3382-3068; Sherman, Craig/0000-0003-2099-0462; Ross, Donald/0000-0002-8659-3833</t>
  </si>
  <si>
    <t>Department of Environment, Land, Water and Planing Victoria</t>
  </si>
  <si>
    <t>This project was financially supported by the Department of Environment, Land, Water and Planing Victoria (formerly Department of Primary Industries) and undertaken at the Victorian Marine Science Consortium Queenscliff. We would like to acknowledge E. Cumming, A. Wayman, R. Watson, D. Lees and P. Ho for their assistance in the field and laboratory and L. McGrath and B. Womersley for assisting with GIS and manuscript development.</t>
  </si>
  <si>
    <t>10.1016/j.marenvres.2016.08.010</t>
  </si>
  <si>
    <t>DY1KC</t>
  </si>
  <si>
    <t>WOS:000384852900022</t>
  </si>
  <si>
    <t>Ladant, JB; Donnadieu, Y</t>
  </si>
  <si>
    <t>Ladant, Jean-Baptiste; Donnadieu, Yannick</t>
  </si>
  <si>
    <t>Palaeogeographic regulation of glacial events during the Cretaceous supergreenhouse</t>
  </si>
  <si>
    <t>GLASSY FORAMINIFERAL CALCITE; ATMOSPHERIC CARBON-DIOXIDE; STABLE ISOTOPIC EVIDENCE; OCEAN HEAT-TRANSPORT; CLIMATE-CHANGE; ICE-SHEET; NEW-JERSEY; GREENHOUSE; EOCENE; WARM</t>
  </si>
  <si>
    <t>The historical view of a uniformly warm Cretaceous is being increasingly challenged by the accumulation of new data hinting at the possibility of glacial events, even during the Cenomanian-Turonian (similar to 95 Myr ago), the warmest interval of the Cretaceous. Here we show that the palaeogeography typifying the Cenomanian-Turonian renders the Earth System resilient to glaciation with no perennial ice accumulation occurring under prescribed CO2 levels as low as 420 p.p.m. Conversely, late Aptian (similar to 115 Myr ago) and Maastrichtian (similar to 70 Myr ago) continental configurations set the stage for cooler climatic conditions, favouring possible inception of Antarctic ice sheets under CO2 concentrations, respectively, about 400 and 300 p.p.m. higher than for the Cenomanian-Turonian. Our simulations notably emphasize that palaeogeography can crucially impact global climate by modulating the CO2 threshold for ice sheet inception and make the possibility of glacial events during the Cenomanian-Turonian unlikely.</t>
  </si>
  <si>
    <t>[Ladant, Jean-Baptiste; Donnadieu, Yannick] Univ Paris Saclay, CEA CNRS UVSQ, IPSL, LSCE, F-91191 Gif Sur Yvette, France; [Donnadieu, Yannick] Aix Marseille Univ, CNRS, IRD, CEREGE,UM34, F-13545 Aix En Provence, France</t>
  </si>
  <si>
    <t>Universite Paris Cite; CEA; Centre National de la Recherche Scientifique (CNRS); Universite Paris Saclay; Aix-Marseille Universite; Centre National de la Recherche Scientifique (CNRS); Institut de Recherche pour le Developpement (IRD)</t>
  </si>
  <si>
    <t>Ladant, JB (corresponding author), Univ Paris Saclay, CEA CNRS UVSQ, IPSL, LSCE, F-91191 Gif Sur Yvette, France.</t>
  </si>
  <si>
    <t>jean-baptiste.ladant@lsce.ipsl.fr</t>
  </si>
  <si>
    <t>donnadieu, yannick/G-7546-2016</t>
  </si>
  <si>
    <t>donnadieu, yannick/0000-0002-7315-2684</t>
  </si>
  <si>
    <t>Anox-Sea project - ANR [ANR-12-BS06-0011-03]; Agence Nationale de la Recherche (ANR) [ANR-12-BS06-0011] Funding Source: Agence Nationale de la Recherche (ANR)</t>
  </si>
  <si>
    <t>Anox-Sea project - ANR(Agence Nationale de la Recherche (ANR)); Agence Nationale de la Recherche (ANR)(Agence Nationale de la Recherche (ANR))</t>
  </si>
  <si>
    <t>We are indebted to Christophe Dumas for assistance with the ice sheet model. Pierre Sepulchre, Alexandre Pohl, Didier Paillard, Masa Kageyama and Guillaume Dupont-Nivet are acknowledged for discussions and advice. We thank the two anonymous reviewers for the quality of their comments that greatly improved the manuscript. We thank the CEA/CCRT for providing access to the HPC resources of TGCC under the allocation 2014-012212 made by GENCI. We acknowledge support from the Anox-Sea project funded by the ANR under grant ANR-12-BS06-0011-03.</t>
  </si>
  <si>
    <t>10.1038/ncomms12771</t>
  </si>
  <si>
    <t>DY6RU</t>
  </si>
  <si>
    <t>Green Published, Green Submitted, gold</t>
  </si>
  <si>
    <t>WOS:000385256500001</t>
  </si>
  <si>
    <t>Peden, J; Tin, T; Pertierra, LR; Tejedo, P; Benayas, J</t>
  </si>
  <si>
    <t>Peden, John; Tin, Tina; Pertierra, Luis R.; Tejedo, Pablo; Benayas, Javier</t>
  </si>
  <si>
    <t>Perceptions of the Antarctic wilderness: views from emerging adults in Spain and the United States</t>
  </si>
  <si>
    <t>POLAR RECORD</t>
  </si>
  <si>
    <t>UNIVERSITY-STUDENTS; ENVIRONMENTAL ATTITUDES; YOUNG CITIZENS; BEHAVIOR; RECREATION; TOURISM; EUROPE</t>
  </si>
  <si>
    <t>The preambles of the 1959 Antarctic Treaty and the 1991 Protocol on Environmental Protection to the Antarctic state that Antarctica is to be managed in the interest of all mankind. However, key phrases such as 'interest of all mankind' and 'wilderness and aesthetic values' are subject to interpretation. The objective of this study is to gain a better understanding of public perceptions of the Antarctic wilderness, proceeding from the assumption that public views should be incorporated into the consultative parties' decision making process. The study expands on previous research by exploring whether perceptions of the Antarctic environment varied between students at two comparably sized public universities in Spain and the United States. Four hundred undergraduate students were asked about their values, beliefs and attitudes with respect to environmental management practices in Antarctica. After controlling for course type, responses showed little variation based on nationality. A large proportion of students valued Antarctica as a science laboratory for the benefit of mankind, as one of the world's last great wildernesses, and an important component of the climate system. Students did not support an increase in the number of people going to Antarctica, and favoured limitations on infrastructure development.</t>
  </si>
  <si>
    <t>[Peden, John] Georgia Southern Univ, Sch Human Ecol, POB 8034, Statesboro, GA 30460 USA; [Tin, Tina] 85 Rue St Michel, F-73190 Challes Les Eaux, France; [Pertierra, Luis R.; Tejedo, Pablo; Benayas, Javier] Univ Autonoma Madrid, Dept Ecol, C Darwin 2, ES-28049 Madrid, Spain</t>
  </si>
  <si>
    <t>University System of Georgia; Georgia Southern University; Autonomous University of Madrid</t>
  </si>
  <si>
    <t>Peden, J (corresponding author), Georgia Southern Univ, Sch Human Ecol, POB 8034, Statesboro, GA 30460 USA.</t>
  </si>
  <si>
    <t>jpeden@georgiasouthern.edu</t>
  </si>
  <si>
    <t>Pertierra, Luis R./K-3727-2017; Tejedo, Pablo/A-7163-2010; Benayas Del Alamo, Fco. Javier/E-5663-2017</t>
  </si>
  <si>
    <t>Pertierra, Luis R./0000-0002-2232-428X; Peden, John/0000-0002-1334-1619; Tejedo, Pablo/0000-0002-1865-0445; Benayas Del Alamo, Fco. Javier/0000-0002-5906-9569</t>
  </si>
  <si>
    <t>0032-2474</t>
  </si>
  <si>
    <t>1475-3057</t>
  </si>
  <si>
    <t>POLAR REC</t>
  </si>
  <si>
    <t>POLAR REC.</t>
  </si>
  <si>
    <t>10.1017/S0032247416000425</t>
  </si>
  <si>
    <t>Ecology; Environmental Sciences</t>
  </si>
  <si>
    <t>DX2XV</t>
  </si>
  <si>
    <t>WOS:000384237900004</t>
  </si>
  <si>
    <t>Mayer, J</t>
  </si>
  <si>
    <t>Mayer, Jim</t>
  </si>
  <si>
    <t>An examination, translation and analysis of pencil inscriptions made under the bunks in the hut at Cape Adare by members of Borchgrevink's British Antarctic Expedition, 1898-1900</t>
  </si>
  <si>
    <t>28 individual poems, notes, or drawings found and photographed under the bunks at Borchgrevink's hut at Cape Adare, Antarctica during two short visits on 1 February and 19 February 2015, are catalogued, translated and in many cases a source is identified. It has been possible to read and translate 24 of 28 markings. The relevance of a number of quotations, which express unhappiness with the leadership of the expedition and the emotional reaction of expedition members, are examined and placed in the context of the first over-wintering. Further targeted investigation, requiring specific permission, is suggested.</t>
  </si>
  <si>
    <t>[Mayer, Jim] 36a Arcot St, Penarth CF64 1EU, S Glam, Wales</t>
  </si>
  <si>
    <t>Mayer, J (corresponding author), 36a Arcot St, Penarth CF64 1EU, S Glam, Wales.</t>
  </si>
  <si>
    <t>j_mayer@talk21.com</t>
  </si>
  <si>
    <t>10.1017/S0032247416000279</t>
  </si>
  <si>
    <t>WOS:000384237900005</t>
  </si>
  <si>
    <t>Tammiksaar, E</t>
  </si>
  <si>
    <t>Tammiksaar, E.</t>
  </si>
  <si>
    <t>The Russian Antarctic Expedition under the command of Fabian Gottlieb von Bellingshausen and its reception in Russia and the world</t>
  </si>
  <si>
    <t>1ST; FLOTILLA; VOYAGE; SLAVA</t>
  </si>
  <si>
    <t>The existence of an icy continent around the South Pole is known to everybody today. But it is common to ascribe this kind of modern knowledge to navigators sailing in southern polar waters in the 19th century. A good illustration of this is the Russian Antarctic expedition (1819-1821) under the conduct of Fabian Gottlieb von Bellingshausen (Russian version Faddej Faddeevich Bellinsgauzen), the reception of which in Russian society of the 19th and 20th centuries is analysed in this article. During the cold war, beginning at the end of the 1940s, the question of who discovered Antarctica turned from being a scientific problem into a subject of political struggle between the United States of America, Great Britain and the Soviet Union. This article provides an analysis of the Russian discovery in the area, while at the same time, attempting to give an answer to the main question of the history of Antarctic exploration which is: is it well-justified to establish the first discoverer of Antarctica? All the dates in the text are according to the Gregorian calendar.</t>
  </si>
  <si>
    <t>[Tammiksaar, E.] Univ Tartu, Dept Geog, Vanemuise 46, Tartu, Estonia; [Tammiksaar, E.] Estonian Univ Life Sci, Ctr Sci Studies, Baer House,Veski 4, Tartu, Estonia</t>
  </si>
  <si>
    <t>University of Tartu; Estonian University of Life Sciences</t>
  </si>
  <si>
    <t>Tammiksaar, E (corresponding author), Univ Tartu, Dept Geog, Vanemuise 46, Tartu, Estonia.;Tammiksaar, E (corresponding author), Estonian Univ Life Sci, Ctr Sci Studies, Baer House,Veski 4, Tartu, Estonia.</t>
  </si>
  <si>
    <t>Erki.Tammiksaar@emu.ee</t>
  </si>
  <si>
    <t>Tammiksaar, Erki/H-3465-2016</t>
  </si>
  <si>
    <t>Estonian Ministry of Education [IUT 02-16]; Estonian University of Life Sciences [13005SPTL]; Grant of European Union [KESTA No 3.2.0801.12-0044]</t>
  </si>
  <si>
    <t>Estonian Ministry of Education; Estonian University of Life Sciences; Grant of European Union</t>
  </si>
  <si>
    <t>This article was supported by Estonian Ministry of Education Grants No IUT 02-16, by Estonian University of Life Sciences 13005SPTL and from the Grant of European Union KESTA No 3.2.0801.12-0044. Many thanks to my good friends Natal'ya Sukhova, Cornelia Ludecke, Stephane Schmitt, Vello Paatsi and especially Rip Bulkeley for valuable comments and help with literature sources. For English revision of the text my thanks are due to Maie Roos and Marielle Dado. Also grateful thanks to Olga Stone for reviewing the Russian texts in this paper.</t>
  </si>
  <si>
    <t>10.1017/S0032247416000449</t>
  </si>
  <si>
    <t>Science Citation Index Expanded (SCI-EXPANDED); Arts &amp; Humanities Citation Index (A&amp;HCI)</t>
  </si>
  <si>
    <t>WOS:000384237900007</t>
  </si>
  <si>
    <t>Majaneva, S; Hamon, G; Fugmann, G; Lisowska, M; Baeseman, J</t>
  </si>
  <si>
    <t>Majaneva, Sanna; Hamon, Gwenaelle; Fugmann, Gerlis; Lisowska, Maja; Baeseman, Jenny</t>
  </si>
  <si>
    <t>Where are they now? - A case study of the impact of international travel support for early career Arctic researchers</t>
  </si>
  <si>
    <t>POLAR SCIENCE</t>
  </si>
  <si>
    <t>4th International Symposium for Arctic Science (ISAR) / 3rd International Conference for Arctic Research Planning (ICARP) held as the Science Symposium of the Arctic Science Summit Week</t>
  </si>
  <si>
    <t>APR 27-30, 2015</t>
  </si>
  <si>
    <t>Toyama, JAPAN</t>
  </si>
  <si>
    <t>Early career researcher; Support; Survey; Next generation; Arctic</t>
  </si>
  <si>
    <t>FUTURE</t>
  </si>
  <si>
    <t>Supporting and training the next generation of researchers is crucial to continuous knowledge and leadership in Arctic research. An increasing number of Arctic organizations have developed initiatives to provide travel support for Early Career Researchers (ECRs) to participate in workshops, conferences and meetings and to network with internationally renowned scientific leaders. However, there has been little evaluation of the effectiveness of these initiatives. As a contribution to the 3rd International Conference on Arctic Research Planning, a study was conducted to analyze the career paths of ECRs who received travel funding from the International Arctic Science Committee between the start of the International Polar Year (2007-2008) and 2013. Two surveys were used: one sent to ECRs who received IASC travel support and one as a specific event study to those unsuccessfully applied for IASC travel support to the IPY 2010 Conference. The results of the surveys indicate that travel support was beneficial to both the research and careers of the respondents, especially if the ECR was engaged with a task or responsibility at the event. Survey responses also included suggestions on how funds could be better used to support the next generation of Arctic researchers. (C) 2016 The Authors. Published by Elsevier B.V.</t>
  </si>
  <si>
    <t>[Majaneva, Sanna] Linnaeus Univ, Ctr Ecol &amp; Evolut Microbial Model Syst EEMiS, S-39182 Kalmar, Sweden; [Majaneva, Sanna] UiT Arctic Univ Norway, Fac Biosci Fisheries &amp; Econ, N-9037 Tromso, Norway; [Hamon, Gwenaelle; Baeseman, Jenny] Norwegian Polar Res Inst, Climate &amp; Cryosphere CIiC Project, N-9296 Tromso, Norway; [Fugmann, Gerlis] UiT Arctic Univ Norway, Assoc Polar Early Career Scientists, N-9037 Tromso, Norway; [Lisowska, Maja] Ctr Polar Studies, PL-41200 Sosnowiec, Poland; [Lisowska, Maja] Polish Polar Consortium, PL-41200 Sosnowiec, Poland; [Lisowska, Maja] Int Arctic Sci Comm Secretariat, D-14473 Potsdam, Germany; [Baeseman, Jenny] Scott Polar Res Inst, Sci Comm Antarctic Res, Cambridge CB2 1ER, England; [Baeseman, Jenny] Univ Alaska, Int Arctic Res Ctr, Fairbanks, AK 99701 USA</t>
  </si>
  <si>
    <t>Linnaeus University; UiT The Arctic University of Tromso; Norwegian Polar Institute; UiT The Arctic University of Tromso; University of Cambridge; University of Alaska System; University of Alaska Fairbanks</t>
  </si>
  <si>
    <t>Majaneva, S (corresponding author), Linnaeus Univ, Ctr Ecol &amp; Evolut Microbial Model Syst EEMiS, S-39182 Kalmar, Sweden.</t>
  </si>
  <si>
    <t>sanna.majaneva@gmail.com</t>
  </si>
  <si>
    <t>Lisowska, Maja/F-9773-2012</t>
  </si>
  <si>
    <t>Lisowska, Maja/0000-0003-1056-1779; Majaneva, Sanna/0000-0002-0183-2314</t>
  </si>
  <si>
    <t>1873-9652</t>
  </si>
  <si>
    <t>1876-4428</t>
  </si>
  <si>
    <t>POLAR SCI</t>
  </si>
  <si>
    <t>Polar Sci.</t>
  </si>
  <si>
    <t>10.1016/j.polar.2016.06.001</t>
  </si>
  <si>
    <t>DY1NN</t>
  </si>
  <si>
    <t>WOS:000384861800023</t>
  </si>
  <si>
    <t>Hacquebord, L; Avango, D</t>
  </si>
  <si>
    <t>Hacquebord, Louwrens; Avango, Dag</t>
  </si>
  <si>
    <t>Industrial heritage sites in Spitsbergen (Svalbard), South Georgia and the Antarctic Peninsula: Sources of historical information</t>
  </si>
  <si>
    <t>Historical archaeology; Industrial heritage; Natural resource extraction; Arctic; Antarctic</t>
  </si>
  <si>
    <t>SETTLEMENTS</t>
  </si>
  <si>
    <t>Industrial heritage sites in Polar Regions are very important as sources of historical information. Together with archival documents this information gives us the possibility to complete the picture of the exploitation of natural resources in those regions. Thirty years of historical-archaeological field research at whaling and mining sites in Spitsbergen (Svalbard), South Georgia and the Antarctic Peninsula has shown that these sites can provide unique evidence about the driving forces behind industrial development, the design of industrial technology, the structure of the settlements, strategies to control natural resources and achieve political influence, and the impact of resource extraction on the local environment. In this article we will give examples of the results of our research at these sites. (C) 2016 Elsevier B.V. and NIPR. All rights reserved.</t>
  </si>
  <si>
    <t>[Hacquebord, Louwrens] Univ Groningen, Arctic Ctr, Groningen, Netherlands; [Avango, Dag] Royal Inst Technol, Stockholm, Sweden</t>
  </si>
  <si>
    <t>University of Groningen; Royal Institute of Technology</t>
  </si>
  <si>
    <t>Hacquebord, L (corresponding author), Univ Groningen, Arctic Ctr, Groningen, Netherlands.</t>
  </si>
  <si>
    <t>l.hacquebord@rug.nl</t>
  </si>
  <si>
    <t>Avango, Dag J/D-1305-2017</t>
  </si>
  <si>
    <t>10.1016/j.polar.2016.06.005</t>
  </si>
  <si>
    <t>WOS:000384861800028</t>
  </si>
  <si>
    <t>Estrada, S; Läufer, A; Eckelmann, K; Hofmann, M; Gärtner, A; Linnemann, U</t>
  </si>
  <si>
    <t>Estrada, Solveig; Laeufer, Andreas; Eckelmann, Katja; Hofmann, Mandy; Gaertner, Andreas; Linnemann, Ulf</t>
  </si>
  <si>
    <t>Continuous Neoproterozoic to Ordovician sedimentation at the East Gondwana margin - Implications from detrital zircons of the Ross Orogen in northern Victoria Land, Antarctica</t>
  </si>
  <si>
    <t>Ross Orogen; Detrital zircon; Geochronology; Provenance; Geodynamic setting</t>
  </si>
  <si>
    <t>U-PB ZIRCON; PALEO-PACIFIC MARGIN; TRANSANTARCTIC MOUNTAINS; LANTERMAN RANGE; SOUTHEASTERN AUSTRALIA; PASSIVE-MARGIN; STRATIGRAPHIC IMPLICATIONS; RODINIA SUPERCONTINENT; SILICICLASTIC ROCKS; CAMBRIAN TRILOBITES</t>
  </si>
  <si>
    <t>The Ross-Delamerian orogenic belt was formed along the eastern side of the Australian-East Antarctic continent during west-directed subduction of the Palaeo-Pacific Ocean in the early Palaeozoic. Northern Victoria Land (NVL) in Antarctica was located at a central position of the Ross-Delamerian system. Its metamorphic basement is formed by three lithotectonic units formerly interpreted as terranes: the Wilson, Bowers and Robertson Bay terranes (from west to east). Dating of detrital zircons from 14 metasedimentary samples of these terranes combined with petrographical and whole-rock geochemical studies give new insights into the stratigraphic and tectonic evolution of NVL. All samples show very similar zircon age spectra with two main intervals, a Ross/Pan-African-age interval (470-700 Ma) and a Grenville-age interval (900-1300 Ma), as well as subordinate craton-related ages dispersed over the range of ca. 1600-3500 Ma. The Ross/Pan-African-age zircon population tends to get more dominant from the Priestley Formation of the Wilson Terrane to the Molar Formation of the Bowers Terrane, and finally to the Robertson Bay Group, whereas the number of craton-related ages diminishes in this direction. A common East Antarctic source area is indicated for all analyzed samples. The Priestley Formation was deposited on the Palaeo-Pacific passive continental margin of East Gondwana in the late Neoproterozoic after Rodinia breakup. The sequence was subsequently metamorphosed and intruded by the Granite Harbour Intrusives during the Ross Orogeny. The Molar Formation of the Bowers Terrane is interpreted as a turbiditic sequence deposited in an accretionary setting on the active continental margin in the Late Cambrian during and after accretion of the Glasgow island arc allochthon. The thick, homogeneous sequence of the Robertson Bay Group resulted from continuous turbiditic sedimentation in an accretionary wedge in front of the Ross Orogen after docking and imbrication of the Glasgow island arc in the Early Ordovician. (C) 2015 International Association for Gondwana Research. Published by Elsevier B.V. All rights reserved.</t>
  </si>
  <si>
    <t>[Estrada, Solveig; Laeufer, Andreas] Bundesanstalt Geowissensch &amp; Rohstoffe, Stilleweg 2, D-30655 Hannover, Germany; [Eckelmann, Katja; Hofmann, Mandy; Gaertner, Andreas; Linnemann, Ulf] Museum Mineral &amp; Geol, Senckenherg Nat Hist Sammlungen Dresden, Konigsbrucker Landstr 159, D-01109 Dresden, Germany</t>
  </si>
  <si>
    <t>Estrada, S (corresponding author), Bundesanstalt Geowissensch &amp; Rohstoffe, Stilleweg 2, D-30655 Hannover, Germany.</t>
  </si>
  <si>
    <t>solveig.estrada@bgr.de</t>
  </si>
  <si>
    <t>Gärtner, Andreas/AAE-9791-2020; Läufer, Andreas/ABC-1465-2020</t>
  </si>
  <si>
    <t>Gärtner, Andreas/0000-0002-1670-7305; Läufer, Andreas/0000-0003-2219-0450</t>
  </si>
  <si>
    <t>10.1016/j.gr.2015.10.006</t>
  </si>
  <si>
    <t>DX9HC</t>
  </si>
  <si>
    <t>WOS:000384703200027</t>
  </si>
  <si>
    <t>Zhang, WX; Haase, JS; Hertzog, A; Lou, YD; Vincent, R</t>
  </si>
  <si>
    <t>Zhang, Weixing; Haase, Jennifer S.; Hertzog, Albert; Lou, Yidong; Vincent, Robert</t>
  </si>
  <si>
    <t>Improvement of stratospheric balloon GPS positioning and the impact on gravity wave parameter estimation for the Concordiasi campaign in Antarctica</t>
  </si>
  <si>
    <t>SPB; GPS; GW; Concordiasi; GCM</t>
  </si>
  <si>
    <t>EQUATORIAL LOWER STRATOSPHERE; MOMENTUM FLUX; PHASE SPEEDS; CLIMATE; INTERMITTENCY; DYNAMICS; FLIGHTS; MODELS</t>
  </si>
  <si>
    <t>Gravity waves (GWs) play an important role in transferring energy and momentum from the troposphere to the middle atmosphere. However, shorter-scale GWs are generally not explicitly resolved in general circulation models but need to be parameterized instead. Super pressure balloons provide direct access to measure GW characteristics as a function of wave intrinsic frequency that are needed for these parameterizations. The 30s sampling rate of the GPS receivers carried on the balloons deployed in the 2010 Concordiasi campaign in the Antarctic is much higher compared to the previous campaigns and can cover the full range of the GW spectrum. Two among 19 balloons are also equipped with the dual-frequency GPS receivers initially developed for GPS radio occultation research in addition to the single-frequency receivers, which are expected to provide better positions for GW parameter estimations. Improvements of the positions are significant, from similar to 3-10m horizontal and similar to 5m vertical to similar to 0.1 and 0.2m, respectively, which makes it possible to resolve the Eulerian pressure independently of altitude for the intrinsic phase speed estimation. The lower position accuracy in the previous analysis of campaign results from the single-frequency GPS receiver was primarily due to a problem with the onboard clock that is not present in the new results. The impacts of the position improvements on the final GW parameters are highlighted, with larger difference in momentum flux for the shorter-scale GWs than for the longer scale GWs and significant difference in the distribution of the intrinsic phase speed.</t>
  </si>
  <si>
    <t>[Zhang, Weixing] Wuhan Univ, Sch Geodesy &amp; Geomat, Wuhan, Peoples R China; [Zhang, Weixing; Haase, Jennifer S.] Univ Calif San Diego, Scripps Inst Oceanog, La Jolla, CA 92093 USA; [Zhang, Weixing; Lou, Yidong] Wuhan Univ, GNSS Res Ctr, Wuhan, Peoples R China; [Hertzog, Albert] Univ Paris 06, CNRS, Lab Meteorol Dynam, IPSL, Palaiseau, France; [Vincent, Robert] Univ Adelaide, Dept Phys, Adelaide, SA, Australia</t>
  </si>
  <si>
    <t>Wuhan University; University of California System; University of California San Diego; Scripps Institution of Oceanography; Wuhan University; Centre National de la Recherche Scientifique (CNRS); Universite Paris Cite; Sorbonne Universite; University of Adelaide</t>
  </si>
  <si>
    <t>Zhang, WX (corresponding author), Wuhan Univ, Sch Geodesy &amp; Geomat, Wuhan, Peoples R China.;Zhang, WX (corresponding author), Univ Calif San Diego, Scripps Inst Oceanog, La Jolla, CA 92093 USA.;Zhang, WX (corresponding author), Wuhan Univ, GNSS Res Ctr, Wuhan, Peoples R China.</t>
  </si>
  <si>
    <t>zhangweixing89@whu.edu.cn</t>
  </si>
  <si>
    <t>Vincent, Robert A/E-5450-2013; Haase, Jennifer S./AAX-9735-2020</t>
  </si>
  <si>
    <t>Vincent, Robert A/0000-0001-6559-6544; Haase, Jennifer S./0000-0001-8468-2368; Lou, Yidong/0000-0002-2675-5677</t>
  </si>
  <si>
    <t>NSF [0814290, ANT-1043676, ANT-1261680]; China Scholarship Council [201406270066]; Meteo-France; CNES; CNRS/INSU; NSF; National Center for Atmospheric Research (NCAR); University of Wyoming; Scripps Institution of Oceanography; University of Colorado; Alfred Wegener Institute; Met Office; ECMWF; IPEV; PNRA; USAP; BAS</t>
  </si>
  <si>
    <t>NSF(National Science Foundation (NSF)); China Scholarship Council(China Scholarship Council); Meteo-France; CNES(Centre National D'etudes Spatiales); CNRS/INSU(Centre National de la Recherche Scientifique (CNRS)); NSF(National Science Foundation (NSF)); National Center for Atmospheric Research (NCAR)(National Science Foundation (NSF)NSF - Directorate for Geosciences (GEO)); University of Wyoming; Scripps Institution of Oceanography(University of California System); University of Colorado; Alfred Wegener Institute; Met Office; ECMWF; IPEV; PNRA; USAP; BAS</t>
  </si>
  <si>
    <t>This work was supported by NSF grants 0814290, ANT-1043676, and ANT-1261680. W. Zhang is supported by China Scholarship Council (201406270066). We thank the following people and organizations for their support: NSF Office of Polar Programs for the instrument deployment field support; F. Rabier at ECMWF and P. Cocquerez (CNES) for encouraging the integration of this research into the Concordiasi research program; P. Wyss, J. Zimmerman and M. Everly at the Purdue University AMY Chemistry Facility for assistance with receiver development; A. Johnson for assistance in data collection, P. Cocquerez, M. Minois, O. Gallien, J.-M. Nicot, and the team at CNES for assistance with the GPS ROC deployment. Concordiasi was built by an international scientific group supported by the following agencies: Meteo-France, CNES, CNRS/INSU, NSF, National Center for Atmospheric Research (NCAR), University of Wyoming, Scripps Institution of Oceanography, University of Colorado, the Alfred Wegener Institute, the Met Office, and ECMWF. Concordiasi also benefited from logistic or financial support of the operational polar agencies IPEV, PNRA, USAP, and BAS and from BSRN measurements at Concordia. Concordiasi is part of the THORPEX-IPY cluster within the International Polar Year effort. Data collected in the Concordiasi campaign are available on the website http://igpppublic.ucsd.edu/similar to jhaase/airborne_ro/2010.251_concordiasi/.</t>
  </si>
  <si>
    <t>10.1002/2015JD024596</t>
  </si>
  <si>
    <t>DY0YV</t>
  </si>
  <si>
    <t>WOS:000384823000028</t>
  </si>
  <si>
    <t>Ohishi, K; Bando, T; Abe, E; Kawai, Y; Fujise, Y; Maruyama, T</t>
  </si>
  <si>
    <t>Ohishi, Kazue; Bando, Takeharu; Abe, Erika; Kawai, Yasushi; Fujise, Yoshihiro; Maruyama, Tadashi</t>
  </si>
  <si>
    <t>Long-term and large-scale epidemiology of Brucella infection in baleen whales and sperm whales in the western North Pacific and Antarctic Oceans</t>
  </si>
  <si>
    <t>JOURNAL OF VETERINARY MEDICAL SCIENCE</t>
  </si>
  <si>
    <t>antibody; Brucella; testis; whale</t>
  </si>
  <si>
    <t>PORPOISE PHOCOENA-PHOCOENA; BOTTLE-NOSED DOLPHINS; HARBOR PORPOISE; MARINE MAMMALS; SEROLOGICAL EVIDENCE; TURSIOPS-TRUNCATUS; SPECIES INFECTION; SEA-MAMMALS; CETI; ANTIBODIES</t>
  </si>
  <si>
    <t>In a long-term, large-scale serologic study in the western North Pacific Ocean, anti-Brucella antibodies were detected in common minke whales (Balaenoptera acutorostrata) in the 1994-2010 offshore surveys (21%, 285/1353) and in the 2006-2010 Japanese coastal surveys (20%, 86/436), in Bryde's whales (B. edeni brydei) in the 2000-2010 offshore surveys (9%, 49/542), in sei whales (B. borealis) in the 2002-2010 offshore surveys (5%, 40/788) and in sperm whales (Physeter macrocephalus) in the 2000-2010 offshore surveys (8%, 4/50). Anti-Brucella antibodies were not detected in 739 Antarctic minke whales (B. bonaerensis) in the 2000-2010 Antarctic surveys. This suggests that Brucella was present in the four large whale populations inhabiting the western North Pacific, but not in the Antarctic minke whale population. By PCR targeting for genes of outer membrane protein 2, the Brucella infection was confirmed in tissue DNA samples from Bryde's whales (14%, 2/14), sei whales (11%, 1/9) and sperm whales (50%, 2/4). A placental tissue and an apparently healthy fetus from a sperm whale were found to be PCR-positive, indicating that placental transmission might have occurred and the newborn could act as a bacterial reservoir. Marked granulomatous testes were observed only in mature animals of the three species of baleen whales in the western North Pacific offshore surveys, especially in common minke whales, and 29% (307/1064) of total mature males had abnormal testes. This study provides an insight into the status of marine Brucella infection at a global level.</t>
  </si>
  <si>
    <t>[Ohishi, Kazue; Abe, Erika; Kawai, Yasushi; Maruyama, Tadashi] Japan Agcy Marine Earth Sci &amp; Technol JAMSTEC, 2-15 Natsushima Cho, Yokosuka, Kanagawa 2370061, Japan; [Bando, Takeharu; Fujise, Yoshihiro] Inst Cetacean Res, Cyuo Ku, 4-5 Toyomi Cho, Tokyo 1040055, Japan; [Ohishi, Kazue] Tokyo Polytech Univ, Iiyama 1583, Atsugi, Kanagawa 2430297, Japan</t>
  </si>
  <si>
    <t>Japan Agency for Marine-Earth Science &amp; Technology (JAMSTEC)</t>
  </si>
  <si>
    <t>Ohishi, K (corresponding author), Japan Agcy Marine Earth Sci &amp; Technol JAMSTEC, 2-15 Natsushima Cho, Yokosuka, Kanagawa 2370061, Japan.;Ohishi, K (corresponding author), Tokyo Polytech Univ, Iiyama 1583, Atsugi, Kanagawa 2430297, Japan.</t>
  </si>
  <si>
    <t>cie20910@syd.odn.ne.jp</t>
  </si>
  <si>
    <t>JAPAN SOC VET SCI</t>
  </si>
  <si>
    <t>TOKYO</t>
  </si>
  <si>
    <t>UNIV TOKYO, 1-1-1 YAYOI, BUNKYO-KU, TOKYO, 103, JAPAN</t>
  </si>
  <si>
    <t>0916-7250</t>
  </si>
  <si>
    <t>1347-7439</t>
  </si>
  <si>
    <t>J VET MED SCI</t>
  </si>
  <si>
    <t>J. Vet. Med. Sci.</t>
  </si>
  <si>
    <t>10.1292/jvms.16-0076</t>
  </si>
  <si>
    <t>DY0KB</t>
  </si>
  <si>
    <t>WOS:000384784600010</t>
  </si>
  <si>
    <t>Schaafsma, FL; David, C; Pakhomov, EA; Hunt, BPV; Lange, BA; Flores, H; van Franeker, JA</t>
  </si>
  <si>
    <t>Schaafsma, F. L.; David, C.; Pakhomov, E. A.; Hunt, B. P. V.; Lange, B. A.; Flores, H.; van Franeker, J. A.</t>
  </si>
  <si>
    <t>Size and stage composition of age class 0 Antarctic krill (Euphausia superba) in the ice-water interface layer during winter/early spring</t>
  </si>
  <si>
    <t>Antarctic krill; Furcilia; Juveniles; Under-ice habitat; Vertical distribution; Size distribution</t>
  </si>
  <si>
    <t>LARVAL KRILL; SEA-ICE; VERTICAL-DISTRIBUTION; SEASONAL DISTRIBUTION; SOUTHERN-OCEAN; INDIAN SECTOR; GROWTH; WEST; CONNECTIONS; RECRUITMENT</t>
  </si>
  <si>
    <t>The condition and survival of Antarctic krill (Euphausia superba) strongly depends on sea ice conditions during winter. How krill utilize sea ice depends on several factors such as region and developmental stage. A comprehensive understanding of sea ice habitat use by krill, however, remains largely unknown. The aim of this study was to improve the understanding of the krill's interaction with the sea ice habitat during winter/early spring by conducting large-scale sampling of the ice-water interface (0-2 m) and comparing the size and developmental stage composition of krill with the pelagic population (0-500 m). Results show that the population in the northern Weddell Sea consisted mainly of krill that were &lt;1 year old (age class 0; AC0), and that it was comprised of multiple cohorts. Size per developmental stage differed spatially, indicating that the krill likely were advected from various origins. The size distribution of krill differed between the two depth strata sampled. Larval stages with a relatively small size (mean 7-8 mm) dominated the upper two metre layer of the water column, while larger larvae and AC0 juveniles (mean 14-15 mm) were proportionally more abundant in the 0- to 500-m stratum. Our results show that, as krill mature, their vertical distribution and utilization of the sea ice appear to change gradually. This could be the result of changes in physiology and/or behaviour, as, e.g., the krill's energy demand and swimming capacity increase with size and age. The degree of sea ice association will have an effect on large-scale spatial distribution patterns of AC0 krill and on predictions of the consequences of sea ice decline on their survival over winter.</t>
  </si>
  <si>
    <t>[Schaafsma, F. L.; van Franeker, J. A.] Inst Marine Resources &amp; Ecosyst Studies IMARES Wa, POB 57, NL-1780 AB Den Helder, Netherlands; [David, C.; Lange, B. A.; Flores, H.] Alfred Wegener Inst Polar &amp; Marine Res, Handelshafen 12, D-27515 Bremerhaven, Germany; [David, C.; Lange, B. A.; Flores, H.] Univ Hamburg, Zool Museum, Bioctr Grindel, Ctr Nat Hist CeNak, Martin Luther King Pl 3, D-20146 Hamburg, Germany; [Pakhomov, E. A.; Hunt, B. P. V.] Univ British Columbia, Dept Earth Ocean &amp; Atmospher Sci, 2020-2207 Main Mall, Vancouver, BC V6T 1Z4, Canada</t>
  </si>
  <si>
    <t>Wageningen University &amp; Research; Helmholtz Association; Alfred Wegener Institute, Helmholtz Centre for Polar &amp; Marine Research; University of Hamburg; University of British Columbia</t>
  </si>
  <si>
    <t>Schaafsma, FL (corresponding author), Inst Marine Resources &amp; Ecosyst Studies IMARES Wa, POB 57, NL-1780 AB Den Helder, Netherlands.</t>
  </si>
  <si>
    <t>fokje.schaafsma@wur.nl</t>
  </si>
  <si>
    <t>Lange, Benjamin/H-4733-2017; Flores, Hauke/ABD-1888-2020</t>
  </si>
  <si>
    <t>Flores, Hauke/0000-0003-1617-5449; David, Carmen L/0000-0002-4241-1284; Schaafsma, Fokje/0000-0002-8945-2868; Lange, Benjamin Allen/0000-0003-4534-8978</t>
  </si>
  <si>
    <t>Netherlands Ministry of EZ [WOT-04-009-036]; Netherlands Polar Program [ALW 866.13.009]; Helmholtz research Programme PACES II, Topic 1.5. Expedition grant [AWI-PS81_01]</t>
  </si>
  <si>
    <t>Netherlands Ministry of EZ; Netherlands Polar Program; Helmholtz research Programme PACES II, Topic 1.5. Expedition grant</t>
  </si>
  <si>
    <t>We are very grateful for the support of Captain Stefan Schwarze, officers and crew of Polarstern during expedition ANT-XXIX/7. Special thanks go to Michiel van Dorssen (M. van Dorssen Metaalbewerking) for operational and technical support with SUIT, Martina Vortkamp (AWI) and Andre Meijboom (IMARES) for technical assistance, Santiago Alvarez-Fernandez (IMARES) for help with statistics, Troy Robertson (Australian Antarctic Division) for help using the CMIX software, Christine Klaas (AWI) for help calibrating chlorophyll a data, and Pascalle Jacobs (IMARES) and three anonymous reviewers for commenting on a previous version of the manuscript. This study was funded by the Netherlands Ministry of EZ (project WOT-04-009-036) and the Netherlands Polar Program (project ALW 866.13.009). The study is associated with the Helmholtz Association Young Investigators Group Iceflux: Ice-ecosystem carbon flux in polar oceans (VH-NG-800) and contributes to the Helmholtz research Programme PACES II, Topic 1.5. Expedition grant no: AWI-PS81_01 (WISKY).</t>
  </si>
  <si>
    <t>10.1007/s00300-015-1877-7</t>
  </si>
  <si>
    <t>DX7FH</t>
  </si>
  <si>
    <t>WOS:000384551500001</t>
  </si>
  <si>
    <t>Cunachi, AM; Fernández-Delgado, M; Suárez, P; Contreras, M; Michelangeli, F; García-Amado, MA</t>
  </si>
  <si>
    <t>Maria Cunachi, Ana; Fernandez-Delgado, Milagro; Suarez, Paula; Contreras, Monica; Michelangeli, Fabian; Alexandra Garcia-Amado, M.</t>
  </si>
  <si>
    <t>Detection of Helicobacter DNA in different water sources and penguin feces from Greenwich, Dee and Barrientos Islands, Antarctica</t>
  </si>
  <si>
    <t>Helicobacter spp. 16S rRNA; 23S rRNA; Waters; Feces; Penguins; Antarctica</t>
  </si>
  <si>
    <t>NON-INDIGENOUS MICROORGANISMS; SP-NOV; PYLORI; ENVIRONMENT; SPP.; IDENTIFICATION; CONTAMINATION; 16S</t>
  </si>
  <si>
    <t>Helicobacter spp. colonize the gastrointestinal tract of humans and animals and have been associated with gastrointestinal diseases. Antarctic habitats are considered pristine ecosystems, but the increase in human activity could be introducing human bacteria hosted into waters and wildlife. However, Helicobacter spp. occurrence has not been studied in Antarctica. The aim of our study was to detect the Helicobacter DNA in different water sources and penguin feces from Greenwich, Dee and Barrientos Islands during summer of 2012 and 2013. High Helicobacter proportion was observed in water sources amplifying the 16S rRNA (33/40) and 23S rRNA genes (37/40) by semi-nested PCR. Similar results were observed in feces from Gentoo penguins (16S rRNA: 32/39, and 23S rRNA: 28/39) and Chinstrap penguins (16S rRNA: 16/17, and 23S rRNA: 15/17) by PCR. The phylogenetic relationship of 16S rRNA and 23S rRNA sequences from penguin feces was closely related to Helicobacter brantae. Analyses of 16S rRNA sequences showed that the majority of water samples are related to penguin (3/6) and Helicobacter pylori (2/6) sequences, but the 23S rRNA sequences matched with Campylobacter and Arcobacter. These results show for the first time the presence of the genus Helicobacter in different Antarctica water sources and in Gentoo and Chinstrap penguin feces. A few 16S rRNA sequences are very closely related to H. pylori, but specific glmM and ureA H. pylori genes were not detected. More studies are needed to determine the Helicobacter species present in this ecosystem and to establish the human impact in these Antarctic Islands.</t>
  </si>
  <si>
    <t>[Maria Cunachi, Ana; Alexandra Garcia-Amado, M.] Inst Venezolano Invest Cient, COEA, Altos De Pipe, Miranda, Venezuela; [Fernandez-Delgado, Milagro; Contreras, Monica; Michelangeli, Fabian; Alexandra Garcia-Amado, M.] Inst Venezolano Invest Cient, Ctr Biofis &amp; Bioquim, Lab Fisiol Gastrointestinal, Altos De Pipe, Miranda, Venezuela; [Maria Cunachi, Ana] Escuela Super Politecn Chimborazo, Fac Recursos Nat, Lab Ciencias Biol, Riobamba, Ecuador; [Suarez, Paula] Univ Simon Bolivar, Dept Biol Organismos, Caracas, Venezuela</t>
  </si>
  <si>
    <t>Venezuelan Institute Science Research; Venezuelan Institute Science Research; Simon Bolivar University</t>
  </si>
  <si>
    <t>García-Amado, MA (corresponding author), Inst Venezolano Invest Cient, COEA, Altos De Pipe, Miranda, Venezuela.;García-Amado, MA (corresponding author), Inst Venezolano Invest Cient, Ctr Biofis &amp; Bioquim, Lab Fisiol Gastrointestinal, Altos De Pipe, Miranda, Venezuela.</t>
  </si>
  <si>
    <t>magarcia@ivic.gob.ve</t>
  </si>
  <si>
    <t>Garcia-Amado, Maria Alexandra/B-5297-2015</t>
  </si>
  <si>
    <t>Garcia-Amado, Maria Alexandra/0000-0001-6396-4681; Contreras Valero, Monica/0000-0003-4729-9559</t>
  </si>
  <si>
    <t>10.1007/s00300-015-1879-5</t>
  </si>
  <si>
    <t>WOS:000384551500003</t>
  </si>
  <si>
    <t>Lynch, HJ; White, R; Naveen, R; Black, A; Meixler, MS; Fagan, WF</t>
  </si>
  <si>
    <t>Lynch, Heather J.; White, Richard; Naveen, Ron; Black, Andy; Meixler, Marcia S.; Fagan, William F.</t>
  </si>
  <si>
    <t>In stark contrast to widespread declines along the Scotia Arc, a survey of the South Sandwich Islands finds a robust seabird community</t>
  </si>
  <si>
    <t>Population estimate; Zavodovski Island; Chinstrap Penguin; Macaroni Penguin; Adelie Penguin; King Penguin</t>
  </si>
  <si>
    <t>KRILL; POPULATION; SEA; CONNECTIONS; OCEAN; LINKS</t>
  </si>
  <si>
    <t>The South Sandwich Islands, in the South Atlantic Ocean, are a major biological hot spot for penguins and other seabirds, but their remoteness and challenging coastlines preclude regular biological censuses. Here we report on an extensive survey of the South Sandwich Islands, the first since the late 1990s, which was completed through a combination of direct counting, GPS mapping, and interpretation of high-resolution commercial satellite imagery. We find that the South Sandwich Islands host nearly half of the world's Chinstrap Penguin (Pygoscelis antarctica) population (1.3 million breeding pairs), as well as c. 95,000 breeding pairs of Macaroni Penguins (Eudyptes chrysolophus), and several thousand breeding pairs of Gentoo Penguins (Pygoscelis papua). Despite being at the northern edge of their breeding range, we found an unexpectedly large (&gt;= 125,000 breeding pairs) population of Adelie Penguins (Pygoscelis adeliae). Additionally, we report that nearly 1900 pairs of Southern Giant Petrels (Macronectes giganteus) breed in the South Sandwich Islands, 4 % of the global population, almost all of which are found on Candlemas Island. We find that the South Sandwich Islands have not experienced the same changes in penguin abundance and distribution as the rest of the Scotia Arc and associated portions of the western Antarctic Peninsula. This discovery adds important context to the larger conversation regarding changes to penguin populations in the Southern Ocean.</t>
  </si>
  <si>
    <t>[Lynch, Heather J.] SUNY Stony Brook, Dept Ecol &amp; Evolut, Stony Brook, NY 11794 USA; [White, Richard; Naveen, Ron] Oceanites Inc, Chevy Chase, MD USA; [Black, Andy] Govt South Georgia &amp; South Sandwich Isl, Govt House, Stanley, Falkland Island, England; [Meixler, Marcia S.] Rutgers State Univ, Dept Ecol Evolut &amp; Nat Resources, New Brunswick, NJ USA; [Fagan, William F.] Univ Maryland, Dept Biol, College Pk, MD 20742 USA</t>
  </si>
  <si>
    <t>State University of New York (SUNY) System; State University of New York (SUNY) Stony Brook; Rutgers University System; Rutgers University New Brunswick; University System of Maryland; University of Maryland College Park</t>
  </si>
  <si>
    <t>Lynch, HJ (corresponding author), SUNY Stony Brook, Dept Ecol &amp; Evolut, Stony Brook, NY 11794 USA.</t>
  </si>
  <si>
    <t>heather.lynch@stonybrook.edu</t>
  </si>
  <si>
    <t>Tinker Foundation; Jeniam Foundation; US National Science Foundation Office of Polar Programs and Geography and Spatial Sciences [07-39515, 12-55058]</t>
  </si>
  <si>
    <t>Tinker Foundation; Jeniam Foundation; US National Science Foundation Office of Polar Programs and Geography and Spatial Sciences(National Science Foundation (NSF))</t>
  </si>
  <si>
    <t>Thanks to the crew of the MS Golden Fleece for getting us there, getting us ashore and back again, and keeping us fed and watered along the way. It is hard to imagine that it would have been possible to get so much done without the experience of Jerome Poncet, who surely knows these islands better than anyone else. Thanks to Tom Hart who participated in the survey and provided notes and photographs, as well as to Thomas Hopper for help digitizing the coastline for GIS support. Many thanks are due to Dr. Keith Reid, Dr. Peter Convey, Dr. Jeroen Creuwels, and one anonymous reviewer, all of whom contributed significantly during the review process. HL and RN would like to acknowledge the Tinker Foundation and the Jeniam Foundation for financial support contributing to the expedition, and HL would like to acknowledge the US National Science Foundation Office of Polar Programs and Geography and Spatial Sciences (Award Nos. 07-39515 and 12-55058) for financial support of the data analysis.</t>
  </si>
  <si>
    <t>10.1007/s00300-015-1886-6</t>
  </si>
  <si>
    <t>WOS:000384551500010</t>
  </si>
  <si>
    <t>Colabuono, FI; Pol, SSV; Huncik, KM; Taniguchi, S; Petry, MV; Kucklick, JR; Montone, RC</t>
  </si>
  <si>
    <t>Colabuono, Fernanda I.; Pol, Stacy S. Vander; Huncik, Kevin M.; Taniguchi, Satie; Petry, Maria V.; Kucklick, John R.; Montone, Rosalinda C.</t>
  </si>
  <si>
    <t>Persistent organic pollutants in blood samples of Southern Giant Petrels (Macronectes giganteus) from the South Shetland Islands, Antarctica</t>
  </si>
  <si>
    <t>Procellariiformes; Polychlorinated biphenyls; Organochlorine pesticides; Seabirds; Elephant Island; Livingston Island</t>
  </si>
  <si>
    <t>POLYBROMINATED DIPHENYL ETHERS; GLAUCOUS GULLS; ORGANOCHLORINE CONTAMINANTS; LARUS-HYPERBOREUS; ORGANOHALOGEN CONTAMINANTS; TROPHIC SEGREGATION; TEMPORAL TRENDS; FEEDING ECOLOGY; ADELIE PENGUIN; FOOD-WEB</t>
  </si>
  <si>
    <t>Seabirds play an important role as top consumers in the food web and can be used as biomonitors of exposure to pollutants. Contamination studies involving non-destructive sampling methods are of considerable importance, allowing better evaluation of the levels of pollutants and their toxic effects. In the present study, organohalogen contaminants were analyzed in 113 blood samples from Southern Giant Petrel (Macronectes giganteus) adults and chicks collected in the austral summer of 2011/2012 and 2012/2013 from colonies on Elephant and Livingston Islands, South Shetland, Antarctica. Polychlorinated biphenyls (PCBs), hexachlorobenzene (HCB), pentachlorobenzene (PeCB), mirex, dichlorodiphenyltri-chloroetane and derivatives (DDTs) and chlordanes were detected in all birds, whereas polybrominated diphenyl ethers (PBDEs) were not detected in any blood samples. No significant differences were found in organochlorine levels between sampling events. Adults exhibited significantly higher levels than chicks, except for PeCB. PCBs, HCB, mirex and DDTs were statistically similar in males and females from Elephant Island. Females on Livingston Island exhibited higher HCB values than males, but no sex differences were found regarding other organochlorines. The similarity in organochlorine levels between sexes in birds with very marked sexual segregation in feeding habits during the breeding season may indicate that significant amounts of contaminants are acquired during migration to lower latitudes, when the diets of males and females are similar. Birds sampled on Livingston Island exhibited significantly lower levels of PCBs, HCB, DDTs, mirex and chlordanes in comparison to those on Elephant Island, which could be the result of distinct foraging patterns between the two colonies. Organochlorine levels were similar between years in birds captured in two consecutive breeding seasons. Blood samples from Southern Giant Petrels adults and chicks proved to be useful for the comparison of intraspecific contamination levels and appear to be adequate for the long-term assessment of organohalogen contaminants in antarctic top predators. Organochlorine contaminants in blood samples of Southern Giant Petrels reflected intra-specific differences and suggested distinct foraging patterns between colonies. (C) 2016 Elsevier Ltd. All rights reserved.</t>
  </si>
  <si>
    <t>[Colabuono, Fernanda I.; Taniguchi, Satie; Montone, Rosalinda C.] Univ Sao Paulo, Inst Oceanog, Lab Quim Organ Marinha, Praca Oceanog 191, BR-05508120 Sao Paulo, SP, Brazil; [Pol, Stacy S. Vander; Huncik, Kevin M.; Kucklick, John R.] NIST, Hollings Marine Lab, 331 Ft Johnson Rd, Charleston, SC 29412 USA; [Petry, Maria V.] Univ Vale Rio dos Sinos, Lab Ornitol &amp; Anim, Marinhos 950, BR-93022000 Sao Leopoldo, RS, Brazil</t>
  </si>
  <si>
    <t>Universidade de Sao Paulo; National Institute of Standards &amp; Technology (NIST) - USA; Universidade do Vale do Rio dos Sinos (Unisinos)</t>
  </si>
  <si>
    <t>Colabuono, FI (corresponding author), Univ Sao Paulo, Inst Oceanog, Lab Quim Organ Marinha, Praca Oceanog 191, BR-05508120 Sao Paulo, SP, Brazil.</t>
  </si>
  <si>
    <t>ficolabuono@gmail.com</t>
  </si>
  <si>
    <t>Petry, Maria Virginia/AAG-5333-2021; Colabuono, Fernanda Imperatrice/B-7197-2012; petry, maria/K-8410-2013; Taniguchi, Satie/D-2552-2013; Montone, Rosalinda/J-9110-2012</t>
  </si>
  <si>
    <t>Schuur, Stacy/0000-0001-5926-4631; petry, maria/0000-0002-7870-7394; Taniguchi, Satie/0000-0002-6825-6390; Montone, Rosalinda/0000-0002-9586-1000</t>
  </si>
  <si>
    <t>Brazilian Antarctic Program (PROANTAR) [CNPq 574018/2008-5, FAPERJ E-16/170023/2008]; Brazilian Secretary of the Inter-Ministry on Marine Resources (SECIRM); Sao Paulo Research Foundation (Fapesp) [2012/24218-2]; Fundacao de Amparo a Pesquisa do Estado de Sao Paulo (FAPESP) [12/24218-2] Funding Source: FAPESP</t>
  </si>
  <si>
    <t>Brazilian Antarctic Program (PROANTAR); Brazilian Secretary of the Inter-Ministry on Marine Resources (SECIRM); Sao Paulo Research Foundation (Fapesp)(Fundacao de Amparo a Pesquisa do Estado de Sao Paulo (FAPESP)); Fundacao de Amparo a Pesquisa do Estado de Sao Paulo (FAPESP)(Fundacao de Amparo a Pesquisa do Estado de Sao Paulo (FAPESP))</t>
  </si>
  <si>
    <t>This study is part of the National Science and Technology Institute on Antarctic Environmental Research (INCT-APA - CNPq 574018/2008-5 and FAPERJ E-16/170023/2008) funded by the Brazilian Antarctic Program (PROANTAR). Logistical support was provided by the Brazilian Secretary of the Inter-Ministry on Marine Resources (SECIRM). The authors are thankful to the Hollings Marine Laboratory [National Institute of Standards and Technology (NIST) Chemical Sciences Division] where the organic contaminant analyses of the blood samples of Southern Giant Petrels were performed. We also thank the team of Laboratory of Ornithology and Marine Animals (Universidade do Vale do Rio dos Sinos). F.I. Colabuono received a research grant from the Sao Paulo Research Foundation (Fapesp) (2012/24218-2).</t>
  </si>
  <si>
    <t>10.1016/j.envpol.2016.05.041</t>
  </si>
  <si>
    <t>DW8UH</t>
  </si>
  <si>
    <t>WOS:000383930500005</t>
  </si>
  <si>
    <t>Khairy, MA; Luek, JL; Dickhut, R; Lohmann, R</t>
  </si>
  <si>
    <t>Khairy, Mohammed A.; Luek, Jenna L.; Dickhut, Rebecca; Lohmann, Rainer</t>
  </si>
  <si>
    <t>Levels, sources and chemical fate of persistent organic pollutants in the atmosphere and snow along the western Antarctic Peninsula</t>
  </si>
  <si>
    <t>Antarctic; PDBEs; PCBs; Snow; Glacier</t>
  </si>
  <si>
    <t>LONG-RANGE TRANSPORT; POLYCYCLIC AROMATIC-HYDROCARBONS; POLYBROMINATED DIPHENYL ETHERS; KING GEORGE ISLAND; POLYCHLORINATED-BIPHENYLS; ORGANOCHLORINE PESTICIDES; PCB CONCENTRATIONS; ARCTIC ATMOSPHERE; MELTING GLACIERS; AIR</t>
  </si>
  <si>
    <t>The Antarctic continent is among the most pristine regions; yet various organic contaminants have been measured there routinely. Air and snow samples were collected during the austral spring (October November, 2010) along the western Antarctic Peninsula and analyzed for organochlorine pesticides (OCPs), polychlorinated biphenyls (PCBs) and polybrominated diphenyl ethers (PBDEs) to assess the relative importance of long-range transport versus local primary or secondary emissions. Highest concentrations of PCBs, PBDEs and DDTs were observed in the glacier's snow sample, highlighting the importance of melting glaciers as a possible secondary source of legacy pollutants to the Antarctic. In the atmosphere, contaminants were mainly found in the vapor phase (&gt;65%). Hexachlorobenzene (33.6 pg/m(3)), PCBs (11.6 pg/m(3)), heptachlor (5.64 pg/m(3)), PBDEs (4.22 pg/m(3)) and cis-chlordane (2.43 pg/m(3)) were the most abundant contaminants. In contrast to other compounds, PBDEs seem to have originated from local sources, possibly the research station itself. Gas-particle partitioning for analytes were better predicted using the adsorption partitioning model than an octanol-based absorption approach. Diffusive flux calculations indicated that net deposition is the dominant pathway for PBDEs and chlordanes, whereas re-volatilization from snow (during melting or metamorphosis) was observed for PCBs and some OCPs. (C) 2016 Elsevier Ltd. All rights reserved.</t>
  </si>
  <si>
    <t>[Khairy, Mohammed A.; Lohmann, Rainer] Univ Rhode Isl, Grad Sch Oceanog, Narragansett, RI 02882 USA; [Khairy, Mohammed A.] Univ Alexandria, Fac Sci, Dept Environm Sci, Alexandria 21511, Egypt; [Luek, Jenna L.; Dickhut, Rebecca] Virginia Inst Marine Sci, 1208 Great Rd, Gloucester Point, VA 23062 USA</t>
  </si>
  <si>
    <t>University of Rhode Island; Egyptian Knowledge Bank (EKB); Alexandria University; William &amp; Mary; Virginia Institute of Marine Science</t>
  </si>
  <si>
    <t>Lohmann, R (corresponding author), Univ Rhode Isl, Grad Sch Oceanog, Narragansett, RI 02882 USA.</t>
  </si>
  <si>
    <t>rlohmann@uri.edu</t>
  </si>
  <si>
    <t>Lohmann, Rainer/B-1511-2008</t>
  </si>
  <si>
    <t>Lohmann, Rainer/0000-0001-8796-3229</t>
  </si>
  <si>
    <t>National Science Foundation (NSF ARC) [1203486]; Office of Polar Programs (OPP); Directorate For Geosciences [1203486] Funding Source: National Science Foundation</t>
  </si>
  <si>
    <t>National Science Foundation (NSF ARC)(National Science Foundation (NSF)); Office of Polar Programs (OPP); Directorate For Geosciences(National Science Foundation (NSF)NSF - Directorate for Geosciences (GEO))</t>
  </si>
  <si>
    <t>We acknowledge funding from the National Science Foundation (NSF ARC 1203486) to study the transport of POPs into the Arctic Ocean. We acknowledge Hugh Ducklow (Lamont-Doherty Earth Observatory) and the Palmer LTER (NSF PLR 1440435) for intellectual and logistical support, and thank Rebecca Dickhut (VIMS) for her prior leadership on this grant.</t>
  </si>
  <si>
    <t>10.1016/j.envpol.2016.05.092</t>
  </si>
  <si>
    <t>hybrid, Green Submitted, Green Published</t>
  </si>
  <si>
    <t>WOS:000383930500033</t>
  </si>
  <si>
    <t>Möller, M; Navarro, F; Martín-Español, A</t>
  </si>
  <si>
    <t>Moller, Marco; Navarro, Francisco; Martin-Espanol, Alba</t>
  </si>
  <si>
    <t>Monte Carlo modelling projects the loss of most land-terminating glaciers on Svalbard in the 21st century under RCP 8.5 forcing</t>
  </si>
  <si>
    <t>climate change; glacier projections; arctic</t>
  </si>
  <si>
    <t>ARCTIC CLIMATE-CHANGE; SURFACE MASS-BALANCE; VESTFONNA ICE CAP; SEA-LEVEL RISE; ALBEDO FEEDBACK; ACCUMULATION; SENSITIVITY; SCENARIOS</t>
  </si>
  <si>
    <t>The high Arctic archipelagos around the globe are among the most strongly glacierized landscapes on Earth apart from the Greenland and Antarctic ice sheets. Over the past decades, the mass losses from land ice in the high Arctic regions have contributed substantially to global sea level rise. Among these regions, the archipelago of Svalbard showed the smallest mass losses. However, this could change in the coming decades, as Svalbard is expected to be exposed to strong climate warming over the 21st century. Here we present extensive Monte Carlo simulations of the future ice-mass evolution of 29 individual land-terminating glaciers on the Svalbard archipelago under an RCP 8.5 climate forcing. An extrapolation of the 29 sample glaciers to all land-terminating glaciers of the archipelago suggests an almost complete deglaciation of the region by 2100. Under RCP 8.5, 98% of the land-terminating glaciers will have declined to less than one tenth of their initial size, resulting in a loss of 7392 +/- 2481 km(2) of ice coverage.</t>
  </si>
  <si>
    <t>[Moller, Marco; Navarro, Francisco; Martin-Espanol, Alba] Univ Politecn Madrid, Dept Matemat Aplicada, ETSI Telecomunicac, Ave Complutense 30, E-28040 Madrid, Spain; [Moller, Marco] Rhein Westfal TH Aachen, Dept Geog, Wullnerstr 5b, D-52056 Aachen, Germany; [Martin-Espanol, Alba] Univ Bristol, Sch Geog Sci, Univ Rd, Bristol BS8 1SS, Avon, England</t>
  </si>
  <si>
    <t>Universidad Politecnica de Madrid; RWTH Aachen University; University of Bristol</t>
  </si>
  <si>
    <t>Möller, M (corresponding author), Univ Politecn Madrid, Dept Matemat Aplicada, ETSI Telecomunicac, Ave Complutense 30, E-28040 Madrid, Spain.;Möller, M (corresponding author), Rhein Westfal TH Aachen, Dept Geog, Wullnerstr 5b, D-52056 Aachen, Germany.</t>
  </si>
  <si>
    <t>marco.moeller@geo.rwth-aachen.de</t>
  </si>
  <si>
    <t>Möller, Marco/V-9131-2017; Navarro, Francisco/L-2941-2014</t>
  </si>
  <si>
    <t>Möller, Marco/0000-0002-4503-0989; Navarro, Francisco/0000-0002-5147-0067</t>
  </si>
  <si>
    <t>Spanish National Plan of RD [CTM2014-56473-R]; German Research Foundation (DFG) [MO2653/1-1]</t>
  </si>
  <si>
    <t>Spanish National Plan of RD(Spanish Government); German Research Foundation (DFG)(German Research Foundation (DFG))</t>
  </si>
  <si>
    <t>This study was financed by project CTM2014-56473-R from the Spanish National Plan of R&amp;D and through grant no. MO2653/1-1 of the German Research Foundation (DFG). Data belonging to the European Arctic Reanalysis product were provided by Roman Finkelnburg. Mass balance data for Middre Love-nbreen were provided by the World Glacier Monitoring Service.</t>
  </si>
  <si>
    <t>10.1088/1748-9326/11/9/094006</t>
  </si>
  <si>
    <t>DX0NQ</t>
  </si>
  <si>
    <t>WOS:000384060200002</t>
  </si>
  <si>
    <t>Castendyk, DN; Obryk, MK; Leidman, SZ; Gooseff, M; Hawes, I</t>
  </si>
  <si>
    <t>Castendyk, Devin N.; Obryk, Maciej K.; Leidman, Sasha Z.; Gooseff, Michael; Hawes, Ian</t>
  </si>
  <si>
    <t>Lake Vanda: A sentinel for climate change in the McMurdo Sound Region of Antarctica</t>
  </si>
  <si>
    <t>Lake level rise; Thermohaline convection; Limnology; Ecology; Bathymetry; McMurdo Dry Valleys; Wright Valley</t>
  </si>
  <si>
    <t>DRY VALLEYS; ROSS SEA; WRIGHT VALLEY; TRANSANTARCTIC MOUNTAINS; VICTORIA LAND; ICE COVER; TAYLOR VALLEY; NITROUS-OXIDE; SALINE LAKES; EVOLUTION</t>
  </si>
  <si>
    <t>Lake Vanda is a perennially ice-covered, meromictic, endorheic lake located in the McMurdo Dry Valleys of Antarctica, and an exceptional sentinel of climate change within the region. Lake levels rose 15 m over the past 68 years in response to climate-driven variability in ice-cover sublimation, meltwater production, and annual discharge of the Onyx River, the main source of water to the lake. Evidence from a new bathymetric map and water balance model combined with annual growth laminations in benthic mats suggest that the most recent filling trend began abruptly 80 years ago, in the early 1930s. This change increased lake volume by &gt;50%, triggered the formation of a new, upper, thermohaline convection cell, and cooled the lower convection cell by at least 2 degrees C and the bottom-most waters by at &gt;4 degrees C Additionally, the depth of the deep chlorophyll a maximum rose by &gt;2 m, and deep-growing benthic algal mats declined while shallow benthic mats colonized freshly inundated areas. We attribute changes in hydrology to regional variations in air flow related to the strength and position of the Amundsen Sea Low (ASL) pressure system which have increased the frequency of down-valley, fohn winds associated with surface air temperature warming in the McMurdo Dry Valleys. The ASL has also been implicated in the recent warming of the Antarctic Peninsula, and provides a common link for climate-related change on opposite sides of the continent. If this trend persists, Lake Vanda should continue to rise and cool over the next 200 years until a new equilibrium lake level is achieved. Most likely, future lake rise will lead to isothermal conditions not conducive to thermohaline convection, resulting in a drastically different physical, biogeochemical, and biological structure than observed today. (C) 2016 Elsevier B.V. All rights reserved.</t>
  </si>
  <si>
    <t>[Castendyk, Devin N.] Hatch, 143 Union Blvd,Suite 1000, Lakewood, CO 80228 USA; [Obryk, Maciej K.] Portland State Univ, Dept Geol, 1721 SW Broadway, Portland, OR 97201 USA; [Leidman, Sasha Z.] Univ Calif Davis, Dept Earth &amp; Planetary Sci, One Shields Ave, Davis, CA 95616 USA; [Gooseff, Michael] Univ Colorado, Inst Arctic &amp; Alpine Res, 1560 30th St, Boulder, CO 80303 USA; [Hawes, Ian] Univ Canterbury, Gateway Antarctica, Ilam Rd, Christchurch 8140, New Zealand</t>
  </si>
  <si>
    <t>Portland State University; University of California System; University of California Davis; University of Colorado System; University of Colorado Boulder; University of Canterbury</t>
  </si>
  <si>
    <t>Castendyk, DN (corresponding author), Hatch, 143 Union Blvd,Suite 1000, Lakewood, CO 80228 USA.</t>
  </si>
  <si>
    <t>devin.castendyk@hatch.com; mobryk@pdx.edu; szleidman@ucdavis.edu; michael.gooseff@colorado.edu; ian.hawes@canterbuly.ac.nz</t>
  </si>
  <si>
    <t>Gooseff, Michael N/N-6087-2015</t>
  </si>
  <si>
    <t>Gooseff, Michael N/0000-0003-4322-8315; Hawes, Ian/0000-0003-2471-6903; Leidman, Sasha/0000-0003-1453-521X; Obryk, Maciej/0000-0002-8182-8656</t>
  </si>
  <si>
    <t>US Antarctic Program; McMurdo LTER (National Science Foundation PLR grant) [1115245]; Antarctica New Zealand; New Zealand Ministry for Research, Science and Technology; New Zealand Antarctic Research Institute; Research Foundation of the State University of New York at Oneonta; Office of Polar Programs (OPP); Directorate For Geosciences [1115245] Funding Source: National Science Foundation</t>
  </si>
  <si>
    <t>US Antarctic Program; McMurdo LTER (National Science Foundation PLR grant); Antarctica New Zealand; New Zealand Ministry for Research, Science and Technology; New Zealand Antarctic Research Institute; Research Foundation of the State University of New York at Oneonta; Office of Polar Programs (OPP); Directorate For Geosciences(National Science Foundation (NSF)NSF - Directorate for Geosciences (GEO))</t>
  </si>
  <si>
    <t>We would like to thank the many colleagues with whom we have worked over the years whose multiple insights and hard work have led to most of the ideas expressed here. In particular, we thank all members of the MCM-LTER and the New Zealand field teams who have maintained exceptional records from the Wright Valley over the years. Specifically, we thank Hilary Dugan, John Priscu, Amy Chiuchiolo, Tyler Mackey and Dawn Sumner for sharing their data and expertise. In addition, we are grateful to the constructive feedback provided by an anonymous reviewer which significantly improved the manuscript Field support has been from the US Antarctic Program and Antarctica New Zealand. Funding for this work has been provided by the US Antarctic Program, the McMurdo LTER (National Science Foundation PLR grant 1115245), Antarctica New Zealand, the New Zealand Ministry for Research, Science and Technology, the New Zealand Antarctic Research Institute, and the Research Foundation of the State University of New York at Oneonta.</t>
  </si>
  <si>
    <t>10.1016/j.gloplacha.2016.06.007</t>
  </si>
  <si>
    <t>DW0EC</t>
  </si>
  <si>
    <t>WOS:000383312700017</t>
  </si>
  <si>
    <t>Duncan, B; Carter, L; Dunbar, G; Bostock, H; Neil, H; Scott, G; Hayward, BW; Sabaa, A</t>
  </si>
  <si>
    <t>Duncan, Bella; Carter, Lionel; Dunbar, Gavin; Bostock, Helen; Neil, Helen; Scott, George; Hayward, Bruce W.; Sabaa, Ashwaq</t>
  </si>
  <si>
    <t>Interglacial/glacial changes in coccolith-rich deposition in the SW Pacific Ocean: An analogue for a warmer world?</t>
  </si>
  <si>
    <t>Coccolithophores; Productivity; Interglacial/glacial change; Southwest Pacific Ocean</t>
  </si>
  <si>
    <t>CALCAREOUS NANNOPLANKTON ASSEMBLAGES; EMILIANIA-HUXLEYI PRYMNESIOPHYCEAE; SEA-SURFACE TEMPERATURES; NEW-ZEALAND; SOUTHWEST PACIFIC; SOUTHERN-OCEAN; CALCIUM-CARBONATE; SUBTROPICAL FRONT; CAMPBELL PLATEAU; ORGANIC-CARBON</t>
  </si>
  <si>
    <t>Satellite observations of middle to high latitudes show that modern ocean warming is accompanied by increased frequency and poleward expansion of coccolithophore blooms. However, the outcomes of such events and their causal processes are unclear. In this study, marine sediment cores are used to investigate past coccolithophore production north and south of the Subtropical Front. Calcareous pelagites from subtropical waters off northernmost New Zealand (site P71) and from subantarctic waters on Campbell Plateau (Ocean Drilling Program [ODP] site 1120C) record marked changes in pelagite deposition. At both locations, foraminiferal-rich sediments dominate glacial periods whereas coccolith-rich sediments characterise specific interglacial periods. Sediment grain size has been used to determine relative abundances of coccoliths and foraminifers. Results show coccoliths prevailed.around certain Marine Isotope Stage (MIS) transitions, at MIS 7b/a and MIS 2/1 at P71, and at MIS 6/5e at ODP 1120C. Palaeo-environmental proxies suggest that coccolithophore production and deposition at P71 reflect enhanced nutrient availability associated with intense winter mixing in the subtropical Tasman Sea. An increased inflow of that warm, micronutrient-bearing subtropical water in concert with upper ocean thermal stratification in late spring/summer, led to peak phytoplankton production. At ODP 1120C during MIS 6/5e, an increased inflow of subtropical water, warm sea surface temperatures and a thermally stratified upper ocean also favoured coccolithophore production. These palaeo-environmental reconstructions together with model simulations suggest that (i) future subtropical coccolithophore production at P71 is unlikely to reach abundances recorded during MIS 7b/a but (ii) future subantarctic production is likely to dominate sedimentation over Campbell Plateau as modern conditions trend towards those prevalent during MIS 5e. (C) 2016 Elsevier B.V. All rights reserved.</t>
  </si>
  <si>
    <t>[Duncan, Bella; Carter, Lionel; Dunbar, Gavin] Victoria Univ Wellington, Antarctic Res Ctr, POB 600, Wellington 6012, New Zealand; [Bostock, Helen; Neil, Helen] Natl Inst Water &amp; Atmospher Res, 301 Evans Bay Parade, Wellington 6021, New Zealand; [Scott, George] Geol &amp; Nucl Sci, POB 30-368, Lower Hutt 5040, New Zealand; [Hayward, Bruce W.; Sabaa, Ashwaq] Geomarine Res, 19 Debron Ave, Auckland 1050, New Zealand</t>
  </si>
  <si>
    <t>Victoria University Wellington; National Institute of Water &amp; Atmospheric Research (NIWA) - New Zealand; GNS Science - New Zealand</t>
  </si>
  <si>
    <t>Duncan, B (corresponding author), Victoria Univ Wellington, Antarctic Res Ctr, POB 600, Wellington 6012, New Zealand.</t>
  </si>
  <si>
    <t>Bella.Duncan@vuw.ac.nz</t>
  </si>
  <si>
    <t>HAYWARD, BRUCE W/AAG-2597-2019; Bostock, Helen/A-6834-2013; Duncan, Bella/IAR-0060-2023</t>
  </si>
  <si>
    <t>Bostock, Helen/0000-0002-8903-8958; Duncan, Bella/0000-0003-1108-6033; /0000-0002-2111-6817; Hayward, Bruce W./0000-0003-1302-7686</t>
  </si>
  <si>
    <t>Antarctic-New Zealand Interglacial Climate Extremes (ANZICE) program; MBIE Ocean Resources</t>
  </si>
  <si>
    <t>Antarctic-New Zealand Interglacial Climate Extremes (ANZICE) program; MBIE Ocean Resources(New Zealand Ministry of Business, Innovation and Employment (MBIE))</t>
  </si>
  <si>
    <t>The authors thank New Zealand Government Ministry of Business, Innovation and Employment (MBIE), which funded the Antarctic-New Zealand Interglacial Climate Extremes (ANZICE) program, the core funding for this project, with further funding from MBIE Ocean Resources. Thanks also goes to Giuseppe Cortese (GNS Science) and Denise Kulhanek (Texas A &amp; M) who helped with data acquisition and interpretation. NIWA allowed access to data and samples for P71, ODP 1120C and SO136-55, while the Ocean Drilling Program core repository at College Station in Texas, USA provided ODP 1120C samples. The authors thank the manuscript reviewers for their constructive critiques.</t>
  </si>
  <si>
    <t>10.1016/j.gloplacha.2016.08.001</t>
  </si>
  <si>
    <t>WOS:000383312700019</t>
  </si>
  <si>
    <t>Ovenden, JR; Tillett, BJ; Macbeth, M; Broderick, D; Filardo, F; Street, R; Tracey, SR; Semmens, J</t>
  </si>
  <si>
    <t>Ovenden, Jennifer R.; Tillett, Bree J.; Macbeth, Michael; Broderick, Damien; Filardo, Fiona; Street, Raewyn; Tracey, Sean R.; Semmens, Jayson</t>
  </si>
  <si>
    <t>Stirred but not shaken: population and recruitment genetics of the scallop (Pecten fumatus) in Bass Strait, Australia</t>
  </si>
  <si>
    <t>ICES JOURNAL OF MARINE SCIENCE</t>
  </si>
  <si>
    <t>Discriminant Analysis of Principal Components; microsatellite; fisheries management; self-recruitment</t>
  </si>
  <si>
    <t>MARINE BIOGEOGRAPHIC BARRIER; REEF FISH METAPOPULATION; MULTILOCUS GENOTYPE DATA; LIFE-HISTORY; DIVERSITY; INFERENCE; FLOW; CONNECTIVITY; DISPERSAL; PACIFIC</t>
  </si>
  <si>
    <t>We report population genetic structure and fine-scale recruitment processes for the scallop beds (Pecten fumatus) in Bass Strait and the eastern coastline of Tasmania in southern Australia. Conventional population pairwise F-ST analyses are compared with novel discriminant analysis of principal components (DAPC) to assess population genetic structure using allelic variation in 11 microsatellite loci. Fine-scale population connectivity was compared with oceanic features of the sampled area. Disjunct scallop beds were genetically distinct, but there was little population genetic structure between beds connected by tides and oceanic currents. To identify recruitment patterns among and within beds, pedigree analyses determined the distribution of parent-offspring and sibling relationships in the sampled populations. Beds in northeastern Bass Strait were genetically distinct to adjacent beds (F-ST 0.003-0.005) and may not contribute to wider recruitment based on biophysical models of larval movement. Unfortunately, pedigree analyses lacked power to further dissect fine-scale recruitment processes including self-recruitment. Our results support the management of disjunct populations as separate stocks and the protection of source populations among open water beds. The application of DAPC and parentage analyses in the current study provided valuable insight into their potential power to determine population connectivity in marine species with larval dispersal.</t>
  </si>
  <si>
    <t>[Ovenden, Jennifer R.; Macbeth, Michael; Broderick, Damien] Univ Queensland, Sch Biomed Sci, Mol Fisheries Lab, St Lucia, Qld 4072, Australia; [Tillett, Bree J.] Univ Melbourne, Inst Bio21, Dept Genet, Melbourne, Vic 3052, Australia; [Filardo, Fiona] Univ Queensland, Queensland Alliance Agr &amp; Food Innovat, Ecosci Precinct, Dutton Pk, Qld 4102, Australia; [Street, Raewyn] Univ Queensland, Australian Equine Genet Res Ctr, Brisbane, Qld 4072, Australia; [Tracey, Sean R.; Semmens, Jayson] Univ Tasmania, Inst Marine &amp; Antarctic Studies, Fisheries &amp; Aquaculture Ctr, Private Bag 49, Hobart, Tas 7001, Australia</t>
  </si>
  <si>
    <t>University of Queensland; University of Melbourne; Melbourne Genomics Health Alliance; University of Queensland; University of Queensland; University of Tasmania</t>
  </si>
  <si>
    <t>Tillett, BJ (corresponding author), Univ Melbourne, Inst Bio21, Dept Genet, Melbourne, Vic 3052, Australia.</t>
  </si>
  <si>
    <t>breetillett@hotmail.com</t>
  </si>
  <si>
    <t>Ovenden, Jennifer/A-3717-2010; Filardo, Fiona/G-8756-2013; broderick, damien/E-9999-2010; Tracey, Sean/J-7446-2014</t>
  </si>
  <si>
    <t>Ovenden, Jennifer/0000-0001-7538-1504; Semmens, Jayson/0000-0003-1742-6692; Tillett, Bree/0000-0002-0159-6649; Filardo, Fiona/0000-0001-5758-5669; Tracey, Sean/0000-0002-6735-5899</t>
  </si>
  <si>
    <t>1054-3139</t>
  </si>
  <si>
    <t>1095-9289</t>
  </si>
  <si>
    <t>ICES J MAR SCI</t>
  </si>
  <si>
    <t>ICES J. Mar. Sci.</t>
  </si>
  <si>
    <t>SEP-OCT</t>
  </si>
  <si>
    <t>10.1093/icesjms/fsw068</t>
  </si>
  <si>
    <t>Fisheries; Marine &amp; Freshwater Biology; Oceanography</t>
  </si>
  <si>
    <t>DX3UY</t>
  </si>
  <si>
    <t>WOS:000384302300020</t>
  </si>
  <si>
    <t>Johnson-Mackinnon, J; Oldham, T; Nowak, B</t>
  </si>
  <si>
    <t>Johnson-Mackinnon, Jessica; Oldham, Tina; Nowak, Barbara</t>
  </si>
  <si>
    <t>Amoebic gill disease: a growing threat</t>
  </si>
  <si>
    <t>MICROBIOLOGY AUSTRALIA</t>
  </si>
  <si>
    <t>NEOPARAMOEBA-PEMAQUIDENSIS PAGE; SALMON SALMO-SALAR; ATLANTIC SALMON; WILD FISH; N. SP.; PERURANS; AGD; EPIDEMIOLOGY; RESERVOIR; AGENT</t>
  </si>
  <si>
    <t>The risk of disease outbreaks is predicted to increase due to climate change. For farmed fish an example is amoebic gill disease (AGD). While initially reported only in farmed salmonids in Washington State, USA, and Tasmania, Australia, it has now become an issue for Atlantic salmon farming worldwide and affects a range of other farmed marine fish species. Local high temperature anomalies and a lack of rainfall have been associated with the outbreaks of AGD. This worldwide presence is at least partly due to the cosmopolitan nature of the parasite and its low host-specificity. The disease can be treated using freshwater or hydrogen peroxide baths, but the treatments increase the cost of salmon production. Management of AGD contributes 20% to production costs of Atlantic salmon in Tasmania.</t>
  </si>
  <si>
    <t>[Johnson-Mackinnon, Jessica; Oldham, Tina; Nowak, Barbara] Univ Tasmania, Inst Marine &amp; Antarctic Studies, Locked Bag 1370, Launceston, Tas 7250, Australia</t>
  </si>
  <si>
    <t>Nowak, B (corresponding author), Univ Tasmania, Inst Marine &amp; Antarctic Studies, Locked Bag 1370, Launceston, Tas 7250, Australia.</t>
  </si>
  <si>
    <t>B.Nowak@utas.edu.au</t>
  </si>
  <si>
    <t>Oldham, Tina Marie Weier/E-4779-2015; Nowak, Barbara/J-7261-2014; Johnson-Mackinnon, Jessica/L-1385-2016</t>
  </si>
  <si>
    <t>Johnson-Mackinnon, Jessica/0000-0003-1296-8783</t>
  </si>
  <si>
    <t>CSIRO PUBLISHING</t>
  </si>
  <si>
    <t>CLAYTON</t>
  </si>
  <si>
    <t>UNIPARK, BLDG 1, LEVEL 1, 195 WELLINGTON RD, LOCKED BAG 10, CLAYTON, VIC 3168, AUSTRALIA</t>
  </si>
  <si>
    <t>1324-4272</t>
  </si>
  <si>
    <t>2201-9189</t>
  </si>
  <si>
    <t>MICROBIOL AUST</t>
  </si>
  <si>
    <t>Microbiol. Aust.</t>
  </si>
  <si>
    <t>10.1071/MA16048</t>
  </si>
  <si>
    <t>DW8DS</t>
  </si>
  <si>
    <t>WOS:000383884400015</t>
  </si>
  <si>
    <t>Hallegraeff, G; Bolch, C</t>
  </si>
  <si>
    <t>Hallegraeff, Gustaaf; Bolch, Christopher</t>
  </si>
  <si>
    <t>Unprecedented toxic algal blooms impact on Tasmanian seafood industry</t>
  </si>
  <si>
    <t>While most microscopic algae provide food for filter-feeding shellfish and larvae of crustaceans and finfish, other socalled Harmful Algal Blooms (HABs) can have negative effects, causing severe economic losses to aquaculture, fisheries and tourism. Of greatest concern to human society are blooms of toxic HAB species that cause illness and death of fish, seabirds and mammals via toxins transferred through the food web. Unprecedented Alexandrium (Dinophyceae) blooms along the East Coast of Tasmania in 2012 and 2015, a previously low biotoxin risk area, led to major impacts on the local oyster, mussel, scallop and rock lobster industries. Four human hospitalisations also occurred from eating wild shellfish.</t>
  </si>
  <si>
    <t>[Hallegraeff, Gustaaf] Univ Tasmania, Inst Marine &amp; Antarctic Studies, Private Bag 129, Hobart, Tas 7001, Australia; [Bolch, Christopher] Univ Tasmania, Inst Marine &amp; Antarctic Studies, Locked Bag 1370, Launceston, Tas 7250, Australia</t>
  </si>
  <si>
    <t>University of Tasmania; University of Tasmania</t>
  </si>
  <si>
    <t>Hallegraeff, G (corresponding author), Univ Tasmania, Inst Marine &amp; Antarctic Studies, Private Bag 129, Hobart, Tas 7001, Australia.</t>
  </si>
  <si>
    <t>Hallegraeff@utas.edu.au; chris.bolch@utas.edu.au</t>
  </si>
  <si>
    <t>Bolch, Christopher J/J-7619-2014; Hallegraeff, Gustaaf/C-8351-2013</t>
  </si>
  <si>
    <t>Hallegraeff, Gustaaf/0000-0001-8464-7343</t>
  </si>
  <si>
    <t>Australian Government through Fishing Industry Research and Development Grant [2014/032]</t>
  </si>
  <si>
    <t>Australian Government through Fishing Industry Research and Development Grant</t>
  </si>
  <si>
    <t>This work was funded by the Australian Government through Fishing Industry Research and Development Grant 2014/032.</t>
  </si>
  <si>
    <t>10.1071/MA16049</t>
  </si>
  <si>
    <t>WOS:000383884400016</t>
  </si>
  <si>
    <t>Jolly, B; Mcdonald, AJ; Coggins, JHJ; Zawar-Reza, P; Cassano, J; Lazzara, M; Graham, G; Plank, G; Petterson, O; Dale, E</t>
  </si>
  <si>
    <t>Jolly, Ben; Mcdonald, Adrian J.; Coggins, Jack H. J.; Zawar-Reza, Peyman; Cassano, John; Lazzara, Matthew; Graham, Geoffery; Plank, Graeme; Petterson, Orlon; Dale, Ethan</t>
  </si>
  <si>
    <t>A Validation of the Antarctic Mesoscale Prediction System Using Self-Organizing Maps and High-Density Observations from SNOWWEB</t>
  </si>
  <si>
    <t>MONTHLY WEATHER REVIEW</t>
  </si>
  <si>
    <t>ROSS ICE SHELF; SURFACE WIND-FIELD; WEATHER RESEARCH; REGION; ISLAND; FLOW; PERFORMANCE; FORECASTS; CLIMATE</t>
  </si>
  <si>
    <t>This study compares high-resolution output (1.1-km horizontal grid length) from twice-daily forecasts produced by the Antarctic Mesoscale Prediction System (AMPS) with a dense observational network east of Ross Island. Covering 10 000 km(2), 15 SNOWWEB stations significantly increased the number of observation stations in the area to 19 during the 2014-15 austral summer. Collocated virtual stations created from AMPS output are combined with observations, producing a single dataset of zonal and meridional wind components used to train a self-organizing map (SOM). The resulting SOM is used to individually classify the observational and AMPS datasets, producing a time series of classifications for each dataset directly comparable to the other. Analysis of class composites shows two dominant weather patterns: low but directionally variable winds and high but directionally constant winds linked to the Ross Ice Shelf airstream (RAS). During RAS events the AMPS and SNOWWEB data displayed good temporal class alignment with good surface wind correlation. SOM analysis shows that AMPS did not accurately forecast surface-level wind speed or direction during light wind conditions where synoptic forcing was weak; however, it was able to forecast the low wind period occurrence accurately. Coggins's regimes provide synoptic-scale context and show a reduced synoptic pressure gradient during these classes, increasing reliance on the ability of Polar WRF to resolve mesoscale dynamics. Available initialization data have insufficient resolution for the region's complex topography, which likely impacts performance. The SOM analysis methods used are shown to be effective for model validation and are widely applicable.</t>
  </si>
  <si>
    <t>[Jolly, Ben; Mcdonald, Adrian J.; Coggins, Jack H. J.; Zawar-Reza, Peyman; Graham, Geoffery; Plank, Graeme; Petterson, Orlon; Dale, Ethan] Univ Canterbury, Christchurch, New Zealand; [Cassano, John] Univ Colorado Boulder, Boulder, CO USA; [Lazzara, Matthew] Univ Wisconsin Madison, Madison, WI USA; [Lazzara, Matthew] Madison Area Tech Coll, Madison, WI USA</t>
  </si>
  <si>
    <t>University of Canterbury; University of Colorado System; University of Colorado Boulder; University of Wisconsin System; University of Wisconsin Madison</t>
  </si>
  <si>
    <t>Mcdonald, AJ (corresponding author), Univ Canterbury, Dept Phys &amp; Astron, Private Bag 4800, Christchurch, New Zealand.</t>
  </si>
  <si>
    <t>adrian.mcdonald@canterbury.ac.nz</t>
  </si>
  <si>
    <t>Cassano, John/HKW-8817-2023</t>
  </si>
  <si>
    <t>Dale, Ethan/0000-0003-2101-7795; McDonald, Adrian/0000-0002-1456-6254; Lazzara, Matthew/0000-0002-4343-498X</t>
  </si>
  <si>
    <t>New Zealand Antarctic Research Institute from Department of Physics and Astronomy at the University of Canterbury; University of Wisconsin Madison Automatic Weather Station Program for the AWS (NSF) [ANT-0944018, ANT-1245663, ANT-0943952, ANT-1245737]; Directorate For Geosciences; Office of Polar Programs (OPP) [1245737] Funding Source: National Science Foundation</t>
  </si>
  <si>
    <t>New Zealand Antarctic Research Institute from Department of Physics and Astronomy at the University of Canterbury; University of Wisconsin Madison Automatic Weather Station Program for the AWS (NSF); Directorate For Geosciences; Office of Polar Programs (OPP)(National Science Foundation (NSF)NSF - Directorate for Geosciences (GEO))</t>
  </si>
  <si>
    <t>This study was partially supported by a grant from the New Zealand Antarctic Research Institute, scholarships from both the Department of Physics and Astronomy at the University of Canterbury and Kelly Tarlton's (administered by Antarctica New Zealand), and significant logistics support from Antarctica New Zealand. The authors appreciate the support of the University of Wisconsin Madison Automatic Weather Station Program for the AWS observational dataset (NSF Grants ANT-0944018, ANT-1245663, ANT-0943952, and ANT-1245737). The authors also appreciate the work of the Byrd Polar Research Center at Ohio State University and the National Center for Atmospheric Research for developing, running, and providing output from AMPS (retrieved from both the NCAR/UCAR FTP server and the Earth System Grid).</t>
  </si>
  <si>
    <t>0027-0644</t>
  </si>
  <si>
    <t>1520-0493</t>
  </si>
  <si>
    <t>MON WEATHER REV</t>
  </si>
  <si>
    <t>Mon. Weather Rev.</t>
  </si>
  <si>
    <t>10.1175/MWR-D-15-0447.1</t>
  </si>
  <si>
    <t>DW8RN</t>
  </si>
  <si>
    <t>WOS:000383923300008</t>
  </si>
  <si>
    <t>Richardson, BJ; Lefroy, T</t>
  </si>
  <si>
    <t>Richardson, Benjamin J.; Lefroy, Ted</t>
  </si>
  <si>
    <t>Restoration dialogues: improving the governance of ecological restoration</t>
  </si>
  <si>
    <t>RESTORATION ECOLOGY</t>
  </si>
  <si>
    <t>biological feasibility; governance; institutional tractability and financial viability; scale; sociocultural acceptability</t>
  </si>
  <si>
    <t>MANAGEMENT</t>
  </si>
  <si>
    <t>Ecological restoration activities should be conceptualized as a form of governance, as this lens best captures the multiactor, collaborative processes by which societies through governments and nonstate entities seek to achieve environmental outcomes. Successful restoration governance depends on addressing a cluster of challenges concerning optimal spatiotemporal scales, biological feasibility, sociocultural acceptability, financial viability, and institutional tractability. Changes to private law, company law, and taxation are some of the governance reforms available to tackle these challenges.</t>
  </si>
  <si>
    <t>[Richardson, Benjamin J.] Univ Tasmania, Fac Law, Private Bag 89, Hobart, Tas 7001, Australia; [Lefroy, Ted] Univ Tasmania, Ctr Environm, Private Bag 141, Hobart, Tas 7001, Australia</t>
  </si>
  <si>
    <t>Richardson, BJ (corresponding author), Univ Tasmania, Fac Law, Private Bag 89, Hobart, Tas 7001, Australia.</t>
  </si>
  <si>
    <t>B.J.Richardson@utas.edu.au</t>
  </si>
  <si>
    <t>Richardson, Benjamin/J-7340-2014</t>
  </si>
  <si>
    <t>Richardson, Benjamin/0000-0002-3249-5648</t>
  </si>
  <si>
    <t>University's Centre for Environment; Institute for Marine &amp; Antarctic Studies</t>
  </si>
  <si>
    <t>The authors have no conflicts of interest. This publication resulted from the symposium Restoration Dialogues, University of Tasmania, Australia, 3-4 November 2015. We wish to acknowledge the financial support from the University's Centre for Environment and Institute for Marine &amp; Antarctic Studies.</t>
  </si>
  <si>
    <t>1061-2971</t>
  </si>
  <si>
    <t>1526-100X</t>
  </si>
  <si>
    <t>RESTOR ECOL</t>
  </si>
  <si>
    <t>Restor. Ecol.</t>
  </si>
  <si>
    <t>10.1111/rec.12391</t>
  </si>
  <si>
    <t>DW9UW</t>
  </si>
  <si>
    <t>WOS:000384009200013</t>
  </si>
  <si>
    <t>Richardson, BJ</t>
  </si>
  <si>
    <t>Richardson, Benjamin J.</t>
  </si>
  <si>
    <t>Resourcing ecological restoration: the legal context for commercial initiatives</t>
  </si>
  <si>
    <t>business corporations; corporate law; ecological restoration; financing; markets</t>
  </si>
  <si>
    <t>Ecological restoration often depends on substantial funding to be initiated and sustained. So far, the dominant strategies to fund it have been philanthropic altruism or regulatory compulsion. Both make important contributions, but the commercial sector is a further source that has thus far not played a significant role relative to its potential. Just as philanthropic and regulatory strategies are both modulated by the law, so too law shapes the commercial sector's participation in ecological restoration. Corporate law and its market context are particularly significant, and they are both a potential hindrance and opportunity. Some options for law reform are available to improve the contribution of the business sector to restoration.</t>
  </si>
  <si>
    <t>[Richardson, Benjamin J.] Univ Tasmania, Fac Law, Private Bag 89, Hobart, Tas 7001, Australia; [Richardson, Benjamin J.] Univ Tasmania, Inst Marine &amp; Antarctic Studies, Private Bag 89, Hobart, Tas 7001, Australia</t>
  </si>
  <si>
    <t>Richardson, BJ (corresponding author), Univ Tasmania, Fac Law, Private Bag 89, Hobart, Tas 7001, Australia.;Richardson, BJ (corresponding author), Univ Tasmania, Inst Marine &amp; Antarctic Studies, Private Bag 89, Hobart, Tas 7001, Australia.</t>
  </si>
  <si>
    <t>Lobo, Diele/I-9106-2012; Richardson, Benjamin/J-7340-2014</t>
  </si>
  <si>
    <t>10.1111/rec.12390</t>
  </si>
  <si>
    <t>WOS:000384009200016</t>
  </si>
  <si>
    <t>Ansorge, IJ; Brundrit, G; Brundrit, J; Dorrington, R; Fawcett, S; Gammon, D; Henry, T; Hermes, J; Hölscher, B; d'Hotman, J; Meiklejohn, I; Morris, T; Pinto, I; du Plessis, M; Roman, R; Saunders, C; Shabangu, FW; de Vos, M; Walker, DR; Louw, G</t>
  </si>
  <si>
    <t>Ansorge, Isabelle J.; Brundrit, Geoff; Brundrit, Jean; Dorrington, Rosemary; Fawcett, Sarah; Gammon, David; Henry, Tahlia; Hermes, Juliet; Holscher, Beate; d'Hotman, Jethan; Meiklejohn, Ian; Morris, Tammy; Pinto, Izidine; du Plessis, Marcel; Roman, Raymond; Saunders, Clinton; Shabangu, Fannie W.; de Vos, Marc; Walker, David R.; Louw, Gavin</t>
  </si>
  <si>
    <t>SEAmester - South Africa's first class afloat</t>
  </si>
  <si>
    <t>marine science; National Development Plan; SA Agulhas II; postgraduates; teaching and research platform</t>
  </si>
  <si>
    <t>[Ansorge, Isabelle J.; Brundrit, Geoff; Fawcett, Sarah; Henry, Tahlia; Morris, Tammy; du Plessis, Marcel; Roman, Raymond] Univ Cape Town, Dept Oceanog, Cape Town, South Africa; [Brundrit, Jean] Univ Cape Town, Dept Fine Art, Cape Town, South Africa; [Dorrington, Rosemary] Rhodes Univ, Dept Biochem &amp; Microbiol, Grahamstown, South Africa; [Gammon, David] Univ Cape Town, Dept Chem, Cape Town, South Africa; [Hermes, Juliet; Holscher, Beate; d'Hotman, Jethan; Morris, Tammy] South African Environm Observat Network, Phalaborwa, South Africa; [Meiklejohn, Ian] Rhodes Univ, Dept Geog, Grahamstown, South Africa; [Pinto, Izidine] Univ Cape Town, Climate Syst Anal Grp, Cape Town, South Africa; [Saunders, Clinton] Univ Stellenbosch, Sound &amp; Vibrat Res Grp, Stellenbosch, South Africa; [Shabangu, Fannie W.] Dept Agr Forestry &amp; Fisheries, Fisheries Management, Cape Town, South Africa; [de Vos, Marc] South African Weather Serv, Marine Res Sect, Cape Town, South Africa; [Walker, David R.] Cape Peninsula Univ Technol, Dept Conservat &amp; Marine Studies, Cape Town, South Africa; [Louw, Gavin] Dept Environm Affairs, Oceans &amp; Coasts Div, Cape Town, South Africa</t>
  </si>
  <si>
    <t>University of Cape Town; University of Cape Town; Rhodes University; University of Cape Town; National Research Foundation - South Africa; South African Environmental Observation Network (SAEON); Rhodes University; University of Cape Town; Stellenbosch University; South African Weather Service (SAWS); Cape Peninsula University of Technology; Department of Environment, Forestry &amp; Fisheries</t>
  </si>
  <si>
    <t>Ansorge, IJ (corresponding author), Univ Cape Town, Dept Oceanog, Cape Town, South Africa.</t>
  </si>
  <si>
    <t>Isabelle.Ansorge@uct.ac.za</t>
  </si>
  <si>
    <t>ANSORGE, ISABELLE/AAY-7396-2020; Meiklejohn, Ian/F-3183-2012; Hermes, Juliet/IRZ-6210-2023; Pinto, Izidine/AAF-5999-2020</t>
  </si>
  <si>
    <t>Meiklejohn, Ian/0000-0001-8890-2938; Hermes, Juliet/0000-0001-7858-514X; Pinto, Izidine/0000-0002-9919-4559; De Vos, Marc/0000-0001-8996-5500; Ansorge, Isabelle/0000-0001-7071-8147; Brundrit, Jean/0000-0002-0321-8692; Walker, David/0000-0002-4235-1699; Fawcett, Sarah/0000-0002-0878-6496; Dorrington, Rosemary/0000-0002-8694-367X; Shabangu, Fannie W./0000-0002-3668-3566</t>
  </si>
  <si>
    <t>National Research Foundation (South Africa); DST; DST/SAEON/DEA/NIOZ/RSMAS/NSF</t>
  </si>
  <si>
    <t>National Research Foundation (South Africa)(National Research Foundation - South Africa); DST(Department of Science &amp; Technology (India)); DST/SAEON/DEA/NIOZ/RSMAS/NSF</t>
  </si>
  <si>
    <t>SEAmester is funded through the National Research Foundation (South Africa) and DST and logistically supported by the Department of Environmental Affairs (DEA). The Agulhas Systems Climate Array (ASCA) is funded through the DST/SAEON/DEA/NIOZ/RSMAS/NSF partnership. The successful completion of the survey would not have been possible without the invaluable assistance of the officers and crew of the SA Agulhas II. In particular, we thank Captain Gavin Syndercombe for his continued insight, support and guidance throughout the planning and execution of the SEAmester cruise. We also thank Dr Gilbert Siko and Tracy Klareenbeck from the South African National Antarctic Programme and Bigboy Joseph and Nish Devanunthan from Antarctica and Islands Logistics (DEA) for their continued support. Our thanks also go to the senior technical electronics officer Angelo Marco for his invaluable assistance throughout the entire voyage. And finally, we thank all the cruise participants involved in ASCA who helped to collect data and provided additional deck training to the students.</t>
  </si>
  <si>
    <t>10.17159/sajs.2016/a0171</t>
  </si>
  <si>
    <t>DX4DS</t>
  </si>
  <si>
    <t>WOS:000384331800009</t>
  </si>
  <si>
    <t>Halo, I; Dorrington, R; Bornman, T; de Villiers, S; Fawcett, S</t>
  </si>
  <si>
    <t>Halo, Issufo; Dorrington, Rosemary; Bornman, Thomas; de Villiers, Stephanie; Fawcett, Sarah</t>
  </si>
  <si>
    <t>South Africa in the Antarctic Circumnavigation Expedition: A multi-institutional and interdisciplinary scientific project</t>
  </si>
  <si>
    <t>Subantarctic ecosystems; Antarctic Circumpolar Current; biological pump; microbial diversity; macronutrient cycling</t>
  </si>
  <si>
    <t>PHYTOPLANKTON COMMUNITY COMPOSITION; NITROGEN; NITRATE; NITRIFICATION; ASSIMILATION; DIVERSITY; OCEAN</t>
  </si>
  <si>
    <t>[Halo, Issufo] Cape Peninsula Univ Technol, Dept Conservat &amp; Marine Sci, Cape Town, South Africa; [Dorrington, Rosemary] Rhodes Univ, Dept Biochem &amp; Microbiol, Grahamstown, South Africa; [Bornman, Thomas] South African Environm Observat Network, Elwandle Coastal Node, Port Elizabeth, South Africa; [Bornman, Thomas] Nelson Mandela Metropolitan Univ, Dept Bot, Port Elizabeth, South Africa; [de Villiers, Stephanie] Dept Environm Affairs, Oceans &amp; Coasts Res, Cape Town, South Africa; [de Villiers, Stephanie] Nelson Mandela Metropolitan Univ, Dept Chem, Port Elizabeth, South Africa; [Fawcett, Sarah] Univ Cape Town, Dept Oceanog, Cape Town, South Africa</t>
  </si>
  <si>
    <t>Cape Peninsula University of Technology; Rhodes University; National Research Foundation - South Africa; South African Environmental Observation Network (SAEON); Nelson Mandela University; Department of Environment, Forestry &amp; Fisheries; Nelson Mandela University; University of Cape Town</t>
  </si>
  <si>
    <t>Fawcett, S (corresponding author), Univ Cape Town, Dept Oceanog, Cape Town, South Africa.</t>
  </si>
  <si>
    <t>sarah.fawcett@uct.ac.za</t>
  </si>
  <si>
    <t>Bornman, Thomas George/V-7794-2019; de Villiers, Stephanie/A-6079-2008</t>
  </si>
  <si>
    <t>Bornman, Thomas George/0000-0003-1868-479X; de Villiers, Stephanie/0000-0002-7500-6293; Dorrington, Rosemary/0000-0002-8694-367X; Fawcett, Sarah/0000-0002-0878-6496; Halo, Issufo/0000-0002-4070-4841</t>
  </si>
  <si>
    <t>10.17159/sajs.2016/a0173</t>
  </si>
  <si>
    <t>WOS:000384331800010</t>
  </si>
  <si>
    <t>Lin, LN; Chen, HX; Liu, N</t>
  </si>
  <si>
    <t>Lin Lina; Chen Hongxia; Liu Na</t>
  </si>
  <si>
    <t>The characteristics of warm water inflowing and its temporal and spatial variation on the Prydz Bay continental shelf, Antarctic</t>
  </si>
  <si>
    <t>ACTA OCEANOLOGICA SINICA</t>
  </si>
  <si>
    <t>modified circumpolar deep water; the Prydz Bay; continental shelf</t>
  </si>
  <si>
    <t>CIRCUMPOLAR DEEP-WATER; BOTTOM WATER; ROSS SEA; CIRCULATION; EXCHANGE; TRANSPORT; REGION; BREAK</t>
  </si>
  <si>
    <t>Hydrographic observations collected by conductivity-temperature-depth (CTD) and instrumented elephant seals on the Prydz Bay continental shelf during 2012 and 2013 are used to characterize the intrusion of modified circumpolar deep water. As a regular occurrence, modified circumpolar deep water (MCDW) intrudes onto the shelf mainly between 150-300 m layer of 73 degrees-75 degrees E and then turns southeast affected by the cyclonic gyre of the Prydz Bay. The southernmost point of the warm water signal is captured on the east front of Amery Ice Shelf during March 2012. In terms of vertical distribution, MCDW occupies the central layer of 200 m with about 100 m thickness in the austral summer, but when to winter transition, the layer of MCDW deepens with time on the central shelf.</t>
  </si>
  <si>
    <t>[Lin Lina] Chinese Acad Sci, South China Sea Inst Oceanol, State Key Lab Trop Oceanog, Guangzhou 510301, Guangdong, Peoples R China; [Lin Lina] Univ Chinese Acad Sci, Beijing 100049, Peoples R China; [Lin Lina; Chen Hongxia; Liu Na] State Ocean Adm, Inst Oceanog 1, Key Lab Marine Sci &amp; Numer Modeling, Qingdao 266061, Peoples R China</t>
  </si>
  <si>
    <t>Chinese Academy of Sciences; South China Sea Institute of Oceanology, CAS; Chinese Academy of Sciences; University of Chinese Academy of Sciences, CAS; First Institute of Oceanography, Ministry of Natural Resources</t>
  </si>
  <si>
    <t>Chen, HX (corresponding author), State Ocean Adm, Inst Oceanog 1, Key Lab Marine Sci &amp; Numer Modeling, Qingdao 266061, Peoples R China.</t>
  </si>
  <si>
    <t>chenhx@fio.org.cn</t>
  </si>
  <si>
    <t>Chinese Polar Science and Strategic Research Fond Project [20140307]; Basic Research Operating Funds of the First Institute of Oceanography, State Oceanic Administration [2014T02, 2014G02]; China Polar Science and Strategy Research Foundation [20150102]; Public Science and Technology Research Funds Projects of Ocean [201405031]; National High Technology Research and Development Program (863 Program) of China [2011AA090401]</t>
  </si>
  <si>
    <t>Chinese Polar Science and Strategic Research Fond Project; Basic Research Operating Funds of the First Institute of Oceanography, State Oceanic Administration; China Polar Science and Strategy Research Foundation; Public Science and Technology Research Funds Projects of Ocean; National High Technology Research and Development Program (863 Program) of China(National High Technology Research and Development Program of China)</t>
  </si>
  <si>
    <t>Foundation item: The Chinese Polar Science and Strategic Research Fond Project under contract No. 20140307; the Basic Research Operating Funds of the First Institute of Oceanography, State Oceanic Administration under contract Nos 2014T02 and 2014G02; the China Polar Science and Strategy Research Foundation under contract No. 20150102; the Public Science and Technology Research Funds Projects of Ocean under contract No. 201405031; the National High Technology Research and Development Program (863 Program) of China under contract No. 2011AA090401.</t>
  </si>
  <si>
    <t>0253-505X</t>
  </si>
  <si>
    <t>1869-1099</t>
  </si>
  <si>
    <t>ACTA OCEANOL SIN</t>
  </si>
  <si>
    <t>Acta Oceanol. Sin.</t>
  </si>
  <si>
    <t>10.1007/s13131-016-0934-6</t>
  </si>
  <si>
    <t>DW8RW</t>
  </si>
  <si>
    <t>WOS:000383924200006</t>
  </si>
  <si>
    <t>Zou, JH; Zeng, T; Guo, MH; Cui, SX</t>
  </si>
  <si>
    <t>Zou Juhong; Zeng Tao; Guo Maohua; Cui Songxue</t>
  </si>
  <si>
    <t>The study on an Antarctic sea ice identification algorithm of the HY-2A microwave scatterometer data</t>
  </si>
  <si>
    <t>HY-2A; scatterometer; sea ice identification; Antarctic</t>
  </si>
  <si>
    <t>ENHANCED-RESOLUTION; SEAWINDS; EDGE</t>
  </si>
  <si>
    <t>An Antarctic sea ice identification algorithm on the HY-2A scatterometer (HSCAT) employs backscattering coefficient (sigma(0)) and active polarization ratio (APR) for a preliminary sea ice identification. Then standard deviation (STD) filtering and space filtering are carried out. Finally, it is used to identify sea ice. A process uses a sigma(0), STD threshold and an APR as sea ice indicators. The sea ice identification results are verified using the sea ice distribution data of the ASMR2 released by the National Snow and Ice Data Center as a reference. The results show very good consistence of sea ice development trends, seasonal changes, area distribution, and sea ice edge distribution of the sea ice identification results obtained by this algorithm relative to the ASMR2 sea ice results. The accuracy of a sea ice coverage is 90.8% versus the ASMR2 sea ice results. This indicates that this algorithm is reliable.</t>
  </si>
  <si>
    <t>[Zou Juhong; Zeng Tao; Guo Maohua; Cui Songxue] State Ocean Adm, Natl Satellite Ocean Applicat Serv, Beijing 100081, Peoples R China</t>
  </si>
  <si>
    <t>National Satellite Ocean Application Service</t>
  </si>
  <si>
    <t>Zou, JH (corresponding author), State Ocean Adm, Natl Satellite Ocean Applicat Serv, Beijing 100081, Peoples R China.</t>
  </si>
  <si>
    <t>zoujuhong@mail.nsoas.org.cn</t>
  </si>
  <si>
    <t>National Science and Technology Support Program of China [2013BAD13B01]; National Natural Science Foundation of China [41106152]; National High Technology Research and Development Program (863 Program) of China [2013AA09A505]; International Science &amp; Technology Cooperation Program of China [2011DFA22260]; National High Technology Industrialization Project of China [[2012]2083]; Marine Public Projects of China [201105032, 201305032, 201105002-07]</t>
  </si>
  <si>
    <t>National Science and Technology Support Program of China; National Natural Science Foundation of China(National Natural Science Foundation of China (NSFC)); National High Technology Research and Development Program (863 Program) of China(National High Technology Research and Development Program of China); International Science &amp; Technology Cooperation Program of China; National High Technology Industrialization Project of China; Marine Public Projects of China</t>
  </si>
  <si>
    <t>Foundation item: The National Science and Technology Support Program of China under contract No. 2013BAD13B01; the National Natural Science Foundation of China under contract No. 41106152; the National High Technology Research and Development Program (863 Program) of China under contract No. 2013AA09A505; the International Science &amp; Technology Cooperation Program of China under contract No. 2011DFA22260; the National High Technology Industrialization Project of China under contract No. [2012]2083; the Marine Public Projects of China under contract Nos 201105032, 201305032 and 201105002-07.</t>
  </si>
  <si>
    <t>10.1007/s13131-016-0927-5</t>
  </si>
  <si>
    <t>WOS:000383924200009</t>
  </si>
  <si>
    <t>Di Sciara, GN; Hoyt, E; Reeves, R; Ardron, J; Marsh, H; Vongraven, D; Barr, B</t>
  </si>
  <si>
    <t>Di Sciara, Giuseppe Notarbartolo; Hoyt, Erich; Reeves, Randall; Ardron, Jeff; Marsh, Helene; Vongraven, Dag; Barr, Bradley</t>
  </si>
  <si>
    <t>Place-based approaches to marine mammal conservation</t>
  </si>
  <si>
    <t>6th IUCN World Parks Congress</t>
  </si>
  <si>
    <t>Sydney, AUSTRALIA</t>
  </si>
  <si>
    <t>marine mammal protected areas; international cooperation; important marine mammal areas</t>
  </si>
  <si>
    <t>ANTARCTIC SEA-ICE; SOUTHERN-OCEAN; CLIMATE-CHANGE; ECOSYSTEM</t>
  </si>
  <si>
    <t>1. Place-based conservation can be an effective tool for addressing threats to marine mammals, but this approach presents many challenges, such as the dilemma of whether to aim for protection at appropriately large scales or through networks of smaller protected areas, and how to address the socio-economic conditions of human societies whose welfare may conflict with marine mammal survival. 2. Protecting places to conserve marine mammals started about 50 years ago, when the first parks and reserves were established to protect the critical habitat of specific populations. However, the challenges of protecting habitats that cross national borders and span oceans including the high seas remain problematic. International cooperation is needed, e. g. within the framework of multilateral environmental agreements such as the Convention on Biological Diversity (CBD) and the Convention on Migratory Species (CMS), as well as a potential new agreement through the UN Convention on the Law of the Sea (UNCLOS). 3. Increasingly, the process of demarcating marine protected areas (MPAs) is being supported by other spatial designations, including CBD's ecological or biologically significant areas (EBSAs), the International Maritime Organization's particularly sensitive sea areas (PSSAs), IUCN's key biodiversity areas (KBAs), and biologically important areas (BIAs) adopted by the USA and Australia. Recently, the important marine mammal areas (IMMA) designation has been introduced by the IUCN Task Force on marine mammal protected areas. Such approaches have the potential to increase the protection of marine mammals within the overarching approach of systematic marine spatial planning. 4. Considering the attributes of marine mammals as sentinel, umbrella and flagship species, it is likely that emerging place-based approaches that incorporate IMMAs will not only benefit marine mammal populations, but also contribute more generally to the conservation of marine and aquatic species and ecosystems. Copyright (C) 2016 John Wiley &amp; Sons, Ltd.</t>
  </si>
  <si>
    <t>[Di Sciara, Giuseppe Notarbartolo] Tethys Res Inst, Viale GB Gadio 2, I-20121 Milan, Italy; [Hoyt, Erich] Whale &amp; Dolphin Conservat, Pk House, Bridport, Dorset, England; [Reeves, Randall] Okapi Wildlife Associates, Hudson, PQ, Canada; [Ardron, Jeff] Commonwealth Secretariat, Marlborough House, London, England; [Marsh, Helene] James Cook Univ, Coll Marine &amp; Environm Sci, Townsville, Qld, Australia; [Vongraven, Dag] Norwegian Polar Res Inst, Fram Ctr, Tromso, Norway; [Barr, Bradley] Univ Ctr Westfjords, Isafjordur, Iceland; [Di Sciara, Giuseppe Notarbartolo; Hoyt, Erich; Marsh, Helene; Barr, Bradley] IUCN Joint WCPA SSC Marine Mammal Protected Area, Gland, Switzerland</t>
  </si>
  <si>
    <t>James Cook University; Norwegian Polar Institute</t>
  </si>
  <si>
    <t>Di Sciara, GN (corresponding author), Tethys Res Inst, Viale GB Gadio 2, I-20121 Milan, Italy.</t>
  </si>
  <si>
    <t>disciara@gmail.com</t>
  </si>
  <si>
    <t>Ardron, Jeff/ABI-7397-2020; di Sciara, Giuseppe Notarbartolo/P-8906-2019; , Dag/IZE-1238-2023</t>
  </si>
  <si>
    <t>Hoyt, Erich/0000-0001-6946-4055; Vongraven, Dag/0000-0002-0505-7757; Notarbartolo di Sciara, Giuseppe/0000-0003-0353-617X</t>
  </si>
  <si>
    <t>10.1002/aqc.2642</t>
  </si>
  <si>
    <t>DW5FL</t>
  </si>
  <si>
    <t>WOS:000383668500008</t>
  </si>
  <si>
    <t>Tabak, MA; Anderson, ORJ; Robb, G; Poncet, S; Passfield, K; Martinez, MG; Del Rio, CM</t>
  </si>
  <si>
    <t>Tabak, Michael A.; Anderson, Orea R. J.; Robb, Gillian; Poncet, Sally; Passfield, Ken; Martinez, Melissa Gaste; Del Rio, Carlos Martinez</t>
  </si>
  <si>
    <t>Comparative isotopic natural history of two native passerines (Troglodytes cobbi and Cinclodes antarcticus) and the invasive rats (Rattus norvegicus) that extirpate them</t>
  </si>
  <si>
    <t>AUSTRAL ECOLOGY</t>
  </si>
  <si>
    <t>competition; invasive species; marine passerine; niche breadth; niche overlap; stable isotope</t>
  </si>
  <si>
    <t>TROPHIC NICHE WIDTH; INTRODUCED RATS; NORWAY RATS; OVERLAP; ISLANDS; COMMUNITIES; POPULATIONS; DIVERGENCE; SIMILARITY; SEABIRDS</t>
  </si>
  <si>
    <t>While several studies have shown that invasive rats can have negative effects on island birds through predation (both direct predation and nest predation), other mechanisms for the effects of invasives on island biota have been given less attention. Here, we explore another potential mechanism by which invasive rats can affect native island birds: the competitive use of common resources. We used stable isotope analyses to estimate the fraction of marine and terrestrial sources incorporated into the tissues of two species of passerines (Troglodytes cobbi, Troglodytidae; and Cinclodes antarcticus, Furnariidae) and Norway rats (Rattus norvegicus, Muridae) in the Falkland Islands. These two passerines are absent on islands where rats are present. We found significant incorporation of marine resources in the three species, with the highest incorporation in tissues of T.cobbi. This species appears to be one of the passerines most reliant on marine sources and the most marine member of the family Troglodytidae. We also used the results of these isotopic analyses to estimate the isotopic niche breadth of each of these species and the isotopic niche overlap among them. Rattus norvegicus had a large isotopic niche that overlapped broadly with those of the two passerine species. We propose that different ways of both depicting and estimating isotopic niche widths are complementary rather than alternative. Our results are consistent with the notion that invasive rats might have an impact on these two species of Falkland Island passerines by using common resources but do not rule out the possibility that part of their effect is through direct predation.</t>
  </si>
  <si>
    <t>[Tabak, Michael A.; Del Rio, Carlos Martinez] Univ Wyoming, Program Ecol, Laramie, WY 82071 USA; [Anderson, Orea R. J.] Univ Pretoria, Dept Zool &amp; Entomol, Pretoria, South Africa; [Robb, Gillian] Joint Nat Conservat Comm, Aberdeen, Scotland; [Poncet, Sally; Passfield, Ken] Beaver Isl LandCare, Stanley, Falkland Island, Brazil; [Martinez, Melissa Gaste] Univ Sao Paulo, Nucl Energy Ctr Agr, Piracicaba, Brazil</t>
  </si>
  <si>
    <t>University of Wyoming; University of Pretoria; Universidade de Sao Paulo</t>
  </si>
  <si>
    <t>Tabak, MA (corresponding author), Univ Wyoming, Program Ecol, Laramie, WY 82071 USA.</t>
  </si>
  <si>
    <t>tabakma@gmail.com</t>
  </si>
  <si>
    <t>Martinez, Melissa Gaste M. G./C-5330-2013; Tabak, Michael/P-3316-2019</t>
  </si>
  <si>
    <t>National Science Foundation [0841298, DIOS-0848028]; Antarctic Research Trust; UK Overseas Territories Environment Programme; Royal Society for Protection of Birds; Joint Nature Conservation Committee; Falkland Islands Government; Division Of Graduate Education; Direct For Education and Human Resources [0841298] Funding Source: National Science Foundation</t>
  </si>
  <si>
    <t>National Science Foundation(National Science Foundation (NSF)); Antarctic Research Trust; UK Overseas Territories Environment Programme; Royal Society for Protection of Birds; Joint Nature Conservation Committee; Falkland Islands Government; Division Of Graduate Education; Direct For Education and Human Resources(National Science Foundation (NSF)NSF - Directorate for STEM Education (EDU))</t>
  </si>
  <si>
    <t>M. T. and C. M. R. were partially funded by National Science Foundation grants # 0841298 and DIOS-0848028, respectively. S. P. and K. P. were funded by Antarctic Research Trust, UK Overseas Territories Environment Programme, Royal Society for Protection of Birds, Joint Nature Conservation Committee and the Falkland Islands Government.</t>
  </si>
  <si>
    <t>1442-9985</t>
  </si>
  <si>
    <t>1442-9993</t>
  </si>
  <si>
    <t>AUSTRAL ECOL</t>
  </si>
  <si>
    <t>Austral Ecol.</t>
  </si>
  <si>
    <t>10.1111/aec.12351</t>
  </si>
  <si>
    <t>DW3HS</t>
  </si>
  <si>
    <t>WOS:000383533300004</t>
  </si>
  <si>
    <t>Kohout, AL; Williams, MJM; Toyota, T; Lieser, J; Hutchings, J</t>
  </si>
  <si>
    <t>Kohout, A. L.; Williams, M. J. M.; Toyota, T.; Lieser, J.; Hutchings, J.</t>
  </si>
  <si>
    <t>In situ observations of wave-induced sea ice breakup</t>
  </si>
  <si>
    <t>DEEP-SEA RESEARCH PART II-TOPICAL STUDIES IN OCEANOGRAPHY</t>
  </si>
  <si>
    <t>Sea ice; Ice breakup; Surface water waves; Ocean-ice-atmosphere system</t>
  </si>
  <si>
    <t>Ocean waves can propagate hundreds of kilometers into sea ice, leaving behind a wake of broken ice floes. Three floe breakup events were observed during the second Sea Ice Physics and Ecosystem Experiment (SIPEX-2). We show that the three breakup events were likely influenced by ocean waves. We compare the observations to a wave induced floe breakup model which includes an empirical wave attenuation model, and show that the model underestimates the extent of floe breaking for long period waves. (C) 2015 Elsevier Ltd. All rights reserved.</t>
  </si>
  <si>
    <t>[Kohout, A. L.] Natl Inst Water &amp; Atmospher Res, 10 Kyle St, Christchurch 8011, New Zealand; [Williams, M. J. M.] Natl Inst Water &amp; Atmospher Res, Wellington, New Zealand; [Toyota, T.] Hokkaido Univ, Inst Low Temp Sci, Sapporo, Hokkaido, Japan; [Lieser, J.] Univ Tasmania, Antarctic Climate &amp; Ecosyst Cooperat Res Ctr, Hobart, Tas, Australia; [Hutchings, J.] Oregon State Univ, Coll Earth Ocean &amp; Atmospher Sci, 101 SW 26th St, Corvallis, OR 97331 USA</t>
  </si>
  <si>
    <t>National Institute of Water &amp; Atmospheric Research (NIWA) - New Zealand; National Institute of Water &amp; Atmospheric Research (NIWA) - New Zealand; Hokkaido University; University of Tasmania; Antarctic Climate &amp; Ecosystems Cooperative Research Centre (ACE CRC); Oregon State University</t>
  </si>
  <si>
    <t>Kohout, AL (corresponding author), Natl Inst Water &amp; Atmospher Res, 10 Kyle St, Christchurch 8011, New Zealand.</t>
  </si>
  <si>
    <t>alison.kohout@niwa.co.nz; mike.williams@niwa.co.nz; toyota@lowtem.hokudai.ac.jp; Jan.Lieser@acecrc.org.au; jhutchings@coas.oregonstate.edu</t>
  </si>
  <si>
    <t>Lieser, Jan/J-7157-2014; Hutchings, Jennifer K/P-6356-2017; Toyota, Takenobu/D-9101-2012</t>
  </si>
  <si>
    <t>Lieser, Jan/0000-0001-6870-1311;</t>
  </si>
  <si>
    <t>New Zealand Foundation of Research Science and Technology Postdoctoral Award; Marsden Fund Council; NIWA through National Climate Centre Climate Dynamics Programme; Antarctic Climate and Ecosystems Cooperative Research Centre; Australian Antarctic Science Project [4073]; Grants-in-Aid for Scientific Research [16K00511] Funding Source: KAKEN</t>
  </si>
  <si>
    <t>New Zealand Foundation of Research Science and Technology Postdoctoral Award; Marsden Fund Council(Royal Society of New ZealandMarsden Fund (NZ)); NIWA through National Climate Centre Climate Dynamics Programme; Antarctic Climate and Ecosystems Cooperative Research Centre(Australian GovernmentDepartment of Industry, Innovation and ScienceCooperative Research Centres (CRC) Programme); Australian Antarctic Science Project; Grants-in-Aid for Scientific Research(Ministry of Education, Culture, Sports, Science and Technology, Japan (MEXT)Japan Society for the Promotion of ScienceGrants-in-Aid for Scientific Research (KAKENHI))</t>
  </si>
  <si>
    <t>We thank Inprod Pty Ltd for instrument design and construction. Martin Doble, Vernon Squire and Tim Haskell for contributions toward instrument design. The Captain and Crew of RSV Aurora Australis, Helicopter Resources Pty Ltd., and the second Sea Ice Physics and Ecosystem eXperiment (SIPEX-2), for their assistance in deploying the wave in ice instruments. The work was funded by a New Zealand Foundation of Research Science and Technology Postdoctoral Award to A.K., the Marsden Fund Council, administered by the Royal Society of New Zealand, NIWA through core funding under the National Climate Centre Climate Dynamics Programme, the Antarctic Climate and Ecosystems Cooperative Research Centre and the Australian Antarctic Science Project 4073.</t>
  </si>
  <si>
    <t>0967-0645</t>
  </si>
  <si>
    <t>1879-0100</t>
  </si>
  <si>
    <t>DEEP-SEA RES PT II</t>
  </si>
  <si>
    <t>Deep-Sea Res. Part II-Top. Stud. Oceanogr.</t>
  </si>
  <si>
    <t>10.1016/j.dsr2.2015.06.010</t>
  </si>
  <si>
    <t>DW8YZ</t>
  </si>
  <si>
    <t>WOS:000383942700003</t>
  </si>
  <si>
    <t>Toyota, T; Kohout, A; Fraser, AD</t>
  </si>
  <si>
    <t>Toyota, Takenobu; Kohout, Alison; Fraser, Alexander D.</t>
  </si>
  <si>
    <t>Formation processes of sea ice floe size distribution in the interior pack and its relationship to the marginal ice zone off East Antarctica</t>
  </si>
  <si>
    <t>Sea-ice; Floe size distribution; Ice melting; Scale invariance</t>
  </si>
  <si>
    <t>OCEAN WAVES; ATTENUATION; FRACTURE; SUMMER; STORM</t>
  </si>
  <si>
    <t>To understand the behavior of the Seasonal Ice Zone (SIZ), which is composed of sea-ice floes of various sizes, knowledge of the floe size distribution (FSD) is important. In particular, FSD in the Marginal Ice Zone (MIZ), controlled by wave-ice interaction, plays an important role in determining the retreating rates of sea-ice extent on a global scale because the cumulative perimeter of floes enhances melting. To improve the understanding of-wave-ice interaction and subsequent effects on FSD in the MIZ, FSD measurements were conducted off East Antarctica during the second Sea Ice Physics and Ecosystems eXperiment (SIPEX-2) in late winter 2012. Since logistical reasons limited helicopter operations to two interior ice regions, FSD in the interior ice region was determined using a combination of heli-photos and MODIS satellite visible images. The possible effect of wave-ice interaction in the MIZ was examined by comparison with past results obtained in the same MIZ, with our analysis showing: (1) FSD in the interior ice region is basically scale invariant for both small- (&lt; 100 m) and large- (&gt; 1 km) scale regimes; (2) although fractal dimensions are quite different between these two regimes, they are both rather close to that in the MIZ; and (3) for floes &lt; 100 m in diameter, a regime shift which appeared at 20-40 m in the MIZ is absent. These results indicate that one role of wave-ice interaction is to modulate the FSD that already exists in the interior ice region, rather than directly determine it. The possibilities of floe-floe collisions and storm-induced lead formation are considered as, possible formation processes of FSD in the interior pack. (C) 2015 Elsevier Ltd. All rights reserved.</t>
  </si>
  <si>
    <t>[Toyota, Takenobu; Fraser, Alexander D.] Hokkaido Univ, Inst Low Temp Sci, Kita Ku, N19W8, Sapporo, Hokkaido 0600819, Japan; [Kohout, Alison] Natl Inst Water &amp; Atmospher Resources, 10 Kyle St Riccarton, Christchurch 8011, New Zealand; [Fraser, Alexander D.] Univ Tasmania, Antarctic Climate &amp; Ecosyst Cooperat Res Ctr, Private Bag 80, Hobart, Tas 7001, Australia</t>
  </si>
  <si>
    <t>Hokkaido University; Antarctic Climate &amp; Ecosystems Cooperative Research Centre (ACE CRC); University of Tasmania</t>
  </si>
  <si>
    <t>Toyota, T (corresponding author), Hokkaido Univ, Inst Low Temp Sci, Kita Ku, N19W8, Sapporo, Hokkaido 0600819, Japan.</t>
  </si>
  <si>
    <t>Toyota, Takenobu/D-9101-2012; Fraser, Alexander/AFO-7186-2022</t>
  </si>
  <si>
    <t>Fraser, Alexander/0000-0003-1924-0015</t>
  </si>
  <si>
    <t>Japan Society for the Promotion of Science; the Royal Society of New Zealand; JSPS KAKENHI [24.510001, 25.03748]; New Zealand Foundation of Research Science and Technology Postdoctoral award; Marsden Fund Council; NIWA through National Climate Centre Climate Dynamics Programme; Antarctic Climate and Ecosystems Cooperative Research Centre; Australian Antarctic Science Project [4073]; Grants-in-Aid for Scientific Research [13F03748, 16K00511] Funding Source: KAKEN</t>
  </si>
  <si>
    <t>Japan Society for the Promotion of Science(Ministry of Education, Culture, Sports, Science and Technology, Japan (MEXT)Japan Society for the Promotion of Science); the Royal Society of New Zealand(Royal Society of New Zealand); JSPS KAKENHI(Ministry of Education, Culture, Sports, Science and Technology, Japan (MEXT)Japan Society for the Promotion of ScienceGrants-in-Aid for Scientific Research (KAKENHI)); New Zealand Foundation of Research Science and Technology Postdoctoral award; Marsden Fund Council(Royal Society of New ZealandMarsden Fund (NZ)); NIWA through National Climate Centre Climate Dynamics Programme; Antarctic Climate and Ecosystems Cooperative Research Centre(Australian GovernmentDepartment of Industry, Innovation and ScienceCooperative Research Centres (CRC) Programme); Australian Antarctic Science Project; Grants-in-Aid for Scientific Research(Ministry of Education, Culture, Sports, Science and Technology, Japan (MEXT)Japan Society for the Promotion of ScienceGrants-in-Aid for Scientific Research (KAKENHI))</t>
  </si>
  <si>
    <t>The authors deeply thank all the crew and scientists of R/V Aurora Australis for their support during SIPEX-2. Special thanks are given to the chief scientist, Dr. K. Meiners for his dedicated leadership. Discussion with Prof. K. Golden, Dr. R. Massom and Prof. H. Mitsudera and proof reading by Dr. Guy Williams are also acknowledged. Comments by two anonymous reviewers were very helpful to improve the manuscript. Image processing was carried out using Image Pro Plus ver.4.0. This work was supported partly by FY 2011 Researcher Exchange Program between Japan Society for the Promotion of Science and the Royal Society of New Zealand, partly by JSPS KAKENHI 24.510001 and 25.03748 [Grant-in-Aid for Scientific Research], and partly by a New Zealand Foundation of Research Science and Technology Postdoctoral award to A.K., the Marsden Fund Council, administered by the Royal Society of New Zealand, NIWA through core funding under the National Climate Centre Climate Dynamics Programme, the Antarctic Climate and Ecosystems Cooperative Research Centre and the Australian Antarctic Science Project 4073.</t>
  </si>
  <si>
    <t>10.1016/j.dsr2.2015.10.003</t>
  </si>
  <si>
    <t>WOS:000383942700004</t>
  </si>
  <si>
    <t>Lecomte, O; Toyota, T</t>
  </si>
  <si>
    <t>Lecomte, O.; Toyota, T.</t>
  </si>
  <si>
    <t>Influence of wet conditions on snow temperature diurnal variations: An East Antarctic sea-ice case study</t>
  </si>
  <si>
    <t>Snow; Sea ice; Temperature; Model; Antarctic</t>
  </si>
  <si>
    <t>THERMODYNAMIC MODEL; WEDDELL SEA; COVER; VARIABILITY; SENSITIVITY; AMUNDSEN; ALBEDO</t>
  </si>
  <si>
    <t>A one-dimensional snow-sea-ice model is used to simulate the evolution of temperature profiles in dry and wet snow over a diurnal cycle, at locations where associated observations collected during the Sea Ice Physics and Ecosystem eXperiment (SIPEX-II) are available. The model is used at two sites, corresponding to two of the field campaign's sea-ice stations (2 and 6), and under two configurations: dry and wet snow conditions. In the wet snow model setups, liquid water may refreeze internally into the snow. At station 6, this releases latent heat to the snow and results in temperature changes at the base of the snow pack of a magnitude comparing to the model-observation difference (1-2 degrees C). As the temperature gradient across the snow is in turn weakened, the associated conductive heat flux through snow decreases. At station 2, internal refreezing also occurs but colder air temperatures and the competing process of strengthened heat conduction in snow concurrent to snow densification maintain a steady temperature profile. However, both situations share a common feature and show that the conductive heat flux through the snow may significantly be affected (by 10-20% in our simulations) as a result of the liquid water refreezing in snow, either through thermal conductivity enhancement or direct temperature gradient alteration. This ultimately gives motivation for further investigating the impacts of these processes on the sea-ice mass balance in the framework of global scale model simulations. (C) 2015 Elsevier Ltd. All rights reserved.</t>
  </si>
  <si>
    <t>[Lecomte, O.] Catholic Univ Louvain, Earth &amp; Life Inst, Georges Lemaitre Ctr Earth &amp; Climate Res, Pl Louis Pasteur 3 Boite L4-03-08, B-1348 Louvain La Neuve, Belgium; [Toyota, T.] Hokkaido Univ, Inst Low Temp Sci ITLS, Sapporo, Hokkaido 0600819, Japan</t>
  </si>
  <si>
    <t>Universite Catholique Louvain; Hokkaido University</t>
  </si>
  <si>
    <t>Lecomte, O (corresponding author), Catholic Univ Louvain, Earth &amp; Life Inst, Georges Lemaitre Ctr Earth &amp; Climate Res, Pl Louis Pasteur 3 Boite L4-03-08, B-1348 Louvain La Neuve, Belgium.</t>
  </si>
  <si>
    <t>olivier.lecomte@uclouvain.be</t>
  </si>
  <si>
    <t>Toyota, Takenobu/D-9101-2012</t>
  </si>
  <si>
    <t>Australian Government's Cooperative Research Centre Program through the Antarctic Climate and Ecosystems Cooperative Research Centre (ACE CRC); Australian Antarctic Science Grants [4072, 4073]; Grants-in-Aid for Scientific Research [16K00511] Funding Source: KAKEN</t>
  </si>
  <si>
    <t>Australian Government's Cooperative Research Centre Program through the Antarctic Climate and Ecosystems Cooperative Research Centre (ACE CRC)(Australian GovernmentDepartment of Industry, Innovation and ScienceCooperative Research Centres (CRC) Programme); Australian Antarctic Science Grants; Grants-in-Aid for Scientific Research(Ministry of Education, Culture, Sports, Science and Technology, Japan (MEXT)Japan Society for the Promotion of ScienceGrants-in-Aid for Scientific Research (KAKENHI))</t>
  </si>
  <si>
    <t>This work was supported by the Australian Government's Cooperative Research Centre Program through the Antarctic Climate and Ecosystems Cooperative Research Centre (ACE CRC) and through Australian Antarctic Science Grants 4072 and 4073. Olivier Lecomte is currently an FNRS Postdoctoral Researcher at the Universite catholique de Louvain (UCL). At the time of the SIPEX-II experiment, he was teaching assistant and Ph.D. student also at UCL and was not initially expected to participate to the campaign. He therefore thanks Klaus Meiners, Chief Scientist, for taking him on board the RN Aurora Australis for this experiment, and the Australian Antarctic Division for making it possible in the first place. Olivier Lecomte also thanks Petra Heil, Jenifer Hutchings and Roger Stevens for allowing him both to participate to the ice dynamics work and use the meteorological masts data they collected, as well as Rob Massom, Katie Leonard and Ted Maksym for invaluable scientific discussions and advices on various snow topics.</t>
  </si>
  <si>
    <t>10.1016/j.dsr2.2015.12.011</t>
  </si>
  <si>
    <t>WOS:000383942700007</t>
  </si>
  <si>
    <t>Jutras, M; Vancoppenolle, M; Lourenço, A; Vivier, F; Carnat, G; Madec, G; Rousset, C; Tison, JL</t>
  </si>
  <si>
    <t>Jutras, Mathilde; Vancoppenolle, Martin; Lourenco, Antonio; Vivier, Frederic; Carnat, Gauthier; Madec, Gurvan; Rousset, Clement; Tison, Jean-Louis</t>
  </si>
  <si>
    <t>Thermodynamics of slush and snow-ice formation in the Antarctic sea-ice zone</t>
  </si>
  <si>
    <t>Snow ice; Antarctic; Slush; Thermodynamics</t>
  </si>
  <si>
    <t>WEDDELL-SEA; MASS-BALANCE; MODEL; SALINITY; GROWTH; COVER; THICKNESS; PHASE</t>
  </si>
  <si>
    <t>Snow over Antarctic sea ice is often flooded by brine or seawater, particularly in spring, forming slush and snow ice. Here, we evaluate the representation of the thermodynamics of slush and snow ice formation in large-scale sea-ice models, using laboratory experiments (NaCl solutions poured into grated ice in an isolated container). Scaling analysis highlights latent heat as the main term of the energy budget. The temperature of the new sea ice immediately after flooding is found very close to the saltwater freezing point, whereas its bulk salinity' is typically &gt; 20 g/kg. Large-scale sea-ice models faithfully represent such physics, yet the uncertainty on the origin of flooding saltwater impacts the calculated new ice temperature, because of the different salinities of seawater and brine. The laboratory experiments also suggest a potential limitation to the existing physical representations of flooding: for brine fractions &gt; 60%, ice crystals start floating upon saltwater. Natural sea-ice observations suggest that the isolated system assumption holds for a few hours at most, after which rapid heat and salt exchanges mostly destroy the initial flooding signature on temperature and salinity. A small footprint on ice salinity remains however, natural snow ice is found 3-5 g/kg more saline than other forms of sea ice. (C) 2016 Elsevier Ltd. All rights reserved.</t>
  </si>
  <si>
    <t>[Jutras, Mathilde; Vancoppenolle, Martin; Lourenco, Antonio; Vivier, Frederic; Madec, Gurvan; Rousset, Clement] Univ Paris 06, Sorbonne Univ, LOCEAN IPSL, CNRS,IRD,MNHN, Paris, France; [Jutras, Mathilde] McGill Univ, Dept Atmospher &amp; Ocean Sci, Montreal, PQ, Canada; [Carnat, Gauthier; Tison, Jean-Louis] Univ Libre Bruxelles, Lab Glaciol, Brussels, Belgium</t>
  </si>
  <si>
    <t>Institut de Recherche pour le Developpement (IRD); Sorbonne Universite; Museum National d'Histoire Naturelle (MNHN); Centre National de la Recherche Scientifique (CNRS); McGill University; Universite Libre de Bruxelles</t>
  </si>
  <si>
    <t>Jutras, M (corresponding author), Univ Paris 06, Sorbonne Univ, LOCEAN IPSL, CNRS,IRD,MNHN, Paris, France.</t>
  </si>
  <si>
    <t>mathilde.jutras@mail.mcgill.ca</t>
  </si>
  <si>
    <t>madec, gurvan/E-7825-2010; Vancoppenolle, Martin/AAA-7711-2022; Vancoppenolle, Martin/B-3750-2011</t>
  </si>
  <si>
    <t>madec, gurvan/0000-0002-6447-4198; Vancoppenolle, Martin/0000-0002-7573-8582; Vancoppenolle, Martin/0000-0002-7573-8582; Vivier, Frederic/0000-0003-2539-4133</t>
  </si>
  <si>
    <t>European Union through BISICLO (FP7 Career Integration Grant) [321938]</t>
  </si>
  <si>
    <t>European Union through BISICLO (FP7 Career Integration Grant)</t>
  </si>
  <si>
    <t>European Union funding through BISICLO (FP7 Career Integration Grant 321938) is gratefully acknowledged. For SIMBA data, contact Jean-Louis Tison (jtison@ulb.ac.be). Thanks as well to Francois Fripiat for lending us his precious professional cheese grater. Anonymous reviewers made relevant, significant and highly appreciated suggestions that really helped in improving this manuscript.</t>
  </si>
  <si>
    <t>10.1016/j.dsr2.2016.03.008</t>
  </si>
  <si>
    <t>WOS:000383942700008</t>
  </si>
  <si>
    <t>Alexander, P; Duncan, A; Bose, N; Williams, G</t>
  </si>
  <si>
    <t>Alexander, Polly; Duncan, Alec; Bose, Neil; Williams, Guy</t>
  </si>
  <si>
    <t>Modelling acoustic propagation beneath Antarctic sea ice using measured environmental parameters</t>
  </si>
  <si>
    <t>Autonomous underwater vehicles; Antarctica; Underwater acoustics; BELLHOP</t>
  </si>
  <si>
    <t>OCEAN</t>
  </si>
  <si>
    <t>Autonomous underwater vehicles are improving and expanding in situ observations of sea ice for the validation of satellite remote sensing and climate models. Missions under sea ice, particularly over large distances (up to 100 km) away from the immediate vicinity of a ship or base, require accurate acoustic communication for monitoring, emergency response and some navigation systems. We investigate the propagation of acoustic signals in the Antarctic seasonal ice zone using the BELLHOP model, examining the influence of ocean and sea ice properties. We processed available observations from around Antarctica to generate input variables such as sound speed, surface reflection coefficient (R) and roughness parameters. The results show that changes in the sound speed profile make the most significant difference to the propagation of the direct path signal. The inclusion of the surface reflected signals from a flat ice surface was found to greatly decrease the transmission loss with range. When ice roughness was added, the transmission loss increased with roughness, in a manner similar to the direct path transmission loss results. The conclusions of this work are that: (1) the accuracy of acoustic modelling in this environment is greatly increased by using realistic sound speed data; (2) a risk averse ranging model would use only the direct path signal transmission; and (3) in a flat ice scenario, much greater ranges can be achieved if the surface reflected transmission paths are included. As autonomous missions under sea ice increase in scale and complexity, it will be increasingly important for operational procedures to include effective modelling of acoustic propagation with representative environmental data. (C) 2016 Published by Elsevier Ltd.</t>
  </si>
  <si>
    <t>[Alexander, Polly; Bose, Neil] Univ Tasmania, Australian Maritime Coll, Maritime Way, Launceston, Tas 7248, Australia; [Alexander, Polly] CSIRO Computat Informat, Intelligent Sensing &amp; Syst Lab, Hobart, Tas 7000, Australia; [Duncan, Alec] Curtin Univ, CMST, Kent St, Perth, WA 6102, Australia; [Williams, Guy] Univ Tasmania, Inst Marine &amp; Antarctic Studies, Hobart, Tas, Australia; [Williams, Guy] Univ Tasmania, Antarctic Climate &amp; Ecosyst Cooperat Res Ctr, Hobart, Tas 7000, Australia</t>
  </si>
  <si>
    <t>University of Tasmania; Australian Maritime College; Commonwealth Scientific &amp; Industrial Research Organisation (CSIRO); Curtin University; University of Tasmania; University of Tasmania; Antarctic Climate &amp; Ecosystems Cooperative Research Centre (ACE CRC)</t>
  </si>
  <si>
    <t>Alexander, P (corresponding author), Univ Tasmania, Australian Maritime Coll, Maritime Way, Launceston, Tas 7248, Australia.;Alexander, P (corresponding author), CSIRO Computat Informat, Intelligent Sensing &amp; Syst Lab, Hobart, Tas 7000, Australia.</t>
  </si>
  <si>
    <t>pollyalexander@gmail.com</t>
  </si>
  <si>
    <t>Bose, Neil/AAG-6329-2019; Duncan, Alec/B-7514-2015</t>
  </si>
  <si>
    <t>Bose, Neil/0000-0002-6444-0756; Duncan, Alec/0000-0002-2179-727X</t>
  </si>
  <si>
    <t>Australian Maritime College; the Intelligent Sensing and Systems Laboratory and Sensors and Sensor Networks TCP at CSIRO; Australian Research Council; Australian Government's Cooperative Research Centres Programme through the Antarctic Climate and Ecosystems Cooperative Research Centre; ASAC Grant [4073]; Department of Environment, Australian Antarctic Division</t>
  </si>
  <si>
    <t>Australian Maritime College; the Intelligent Sensing and Systems Laboratory and Sensors and Sensor Networks TCP at CSIRO; Australian Research Council(Australian Research Council); Australian Government's Cooperative Research Centres Programme through the Antarctic Climate and Ecosystems Cooperative Research Centre(Australian GovernmentDepartment of Industry, Innovation and ScienceCooperative Research Centres (CRC) Programme); ASAC Grant; Department of Environment, Australian Antarctic Division</t>
  </si>
  <si>
    <t>We thank the Australian Maritime College and the Intelligent Sensing and Systems Laboratory and Sensors and Sensor Networks TCP at CSIRO for their financial support of this work. This work was supported by Australian Research Council and the Australian Government's Cooperative Research Centres Programme through the Antarctic Climate and Ecosystems Cooperative Research Centre. The authors would like to thank the officers, crew and technical staff aboard the RV Aurora Australis on the SIPEX-II voyage for their professionalism and efforts; This work was carried out under ASAC Grant #4073 with funding and logistical support from the Department of Environment, Australian Antarctic Division. We thank Ted Maksym from the Woods Hole Oceanographic Institute and Jeremy Wilkinson from British Antarctic Survey for the use of IceBELL AUV data from Williams et al. (2014).</t>
  </si>
  <si>
    <t>10.1016/j.dsr2.2016.04.026</t>
  </si>
  <si>
    <t>WOS:000383942700009</t>
  </si>
  <si>
    <t>Schallenberg, C; van der Merwe, P; Chever, F; Cullen, JT; Lannuzel, D; Bowie, AR</t>
  </si>
  <si>
    <t>Schallenberg, Christina; van der Merwe, Pier; Chever, Fanny; Cullen, Jay T.; Lannuzel, Delphine; Bowie, Andrew R.</t>
  </si>
  <si>
    <t>Dissolved iron and iron(II) distributions beneath the pack ice in the East Antarctic (120°E) during the winter/spring transition</t>
  </si>
  <si>
    <t>Iron; Southern Ocean; Sea ice; Antarctica; Iron(II)</t>
  </si>
  <si>
    <t>FLOW-INJECTION ANALYSIS; SOUTHERN-OCEAN; ORGANIC COMPLEXATION; PRIMARY PRODUCTIVITY; ROSS SEA; PLANKTON COMMUNITIES; PHYTOPLANKTON BLOOMS; PARTICULATE IRON; SEAWATER SAMPLES; ATLANTIC SECTOR</t>
  </si>
  <si>
    <t>Distributions of dissolved iron (dFe) and its reduced form, Fe(II), to a depth of 1000 m were investigated under the seasonal pack ice off East Antarctica during the Sea Ice Physics and Ecosystem experiment (SIPEX-2) sea-ice voyage in September-October 2012. Concentrations of dFe were elevated up to fivefold relative to Southern Ocean background concentrations and were spatially variable. The mean dFe concentration was 0.44 +/- 0.4 nM, with a range from 0.09 to 3.05 nM. Profiles of dFe were more variable within and among stations than were macronutrients, suggesting that coupling between these biologically-essential elements was weak at the time of the study. Brine rejection and drainage from sea ice are estimated to be the dominant contributors to elevated dFe concentrations in the mixed layer, but mass budget considerations indicate that estimated dFe fluxes from brine input alone are insufficient to account for all observed dFe. Melting icebergs and shelf sediments are suspected to provide the additional dFe. Fe(II) was mostly below the detection limit but elevated at depth near the continental shelf, implying that benthic processes are a source of reduced Fe in bottom waters. The data indicate that dFe builds up under the seasonal sea-ice cover during winter and that reduction of Fe may be hampered in early spring by several factors such as lack of electron donors, low biological productivity and inadequate light below the sea ice. The accumulated dFe pool in the mixed layer is expected to contribute to the formation of the spring bloom as the ice retreats. (C) 2015 Elsevier Ltd. All rights reserved.</t>
  </si>
  <si>
    <t>[Schallenberg, Christina; Cullen, Jay T.] Univ Victoria, Sch Earth &amp; Ocean Sci, POB 1700 Stn CSC, Victoria, BC V8W 2Y2, Canada; [van der Merwe, Pier; Chever, Fanny; Lannuzel, Delphine; Bowie, Andrew R.] Univ Tasmania, Antarctic Climate &amp; Ecosyst CRC, Private Bag 80, Hobart, Tas 7001, Australia; [Chever, Fanny] Univ Southampton, Natl Oceanog Ctr, Southampton, Hants, England; [Lannuzel, Delphine; Bowie, Andrew R.] Univ Tasmania, Inst Marine &amp; Antarctic Studies, Locked Bag 129, Hobart, Tas 7001, Australia</t>
  </si>
  <si>
    <t>University of Victoria; University of Tasmania; NERC National Oceanography Centre; University of Southampton; University of Tasmania</t>
  </si>
  <si>
    <t>Schallenberg, C (corresponding author), Univ Victoria, Sch Earth &amp; Ocean Sci, POB 1700 Stn CSC, Victoria, BC V8W 2Y2, Canada.</t>
  </si>
  <si>
    <t>cschalle@uvic.ca</t>
  </si>
  <si>
    <t>Cullen, Jay/AAB-2769-2019; Schallenberg, Christina/N-4187-2017; Cullen, Jay T./AAE-8379-2019; van der Merwe, Pier/C-9210-2015; lannuzel, delphine/J-7937-2014; Bowie, Andrew/C-8677-2013</t>
  </si>
  <si>
    <t>Schallenberg, Christina/0000-0002-3073-7500; Cullen, Jay T./0000-0002-6484-2421; van der Merwe, Pier/0000-0002-7428-8030; lannuzel, delphine/0000-0001-6154-1837; Bowie, Andrew/0000-0002-5144-7799</t>
  </si>
  <si>
    <t>Australian Antarctic Science (AAS) project [4051]; Australian Government's Cooperative Research Centre (CRC) programme through the Carbon Program of the Antarctic Climate Ecosystems CRC; University of Tasmania Rising Stars [B0019024]; Australian Research Council [DE120100030]; Alexander Graham Bell Canada Graduate Scholarship (CGS-D); Canada Graduate Scholarship - Michael Smith Foreign Study Supplement (CGS-MSFSS); Australian Research Council [DE120100030] Funding Source: Australian Research Council</t>
  </si>
  <si>
    <t>Australian Antarctic Science (AAS) project; Australian Government's Cooperative Research Centre (CRC) programme through the Carbon Program of the Antarctic Climate Ecosystems CRC(Australian GovernmentDepartment of Industry, Innovation and ScienceCooperative Research Centres (CRC) Programme); University of Tasmania Rising Stars; Australian Research Council(Australian Research Council); Alexander Graham Bell Canada Graduate Scholarship (CGS-D); Canada Graduate Scholarship - Michael Smith Foreign Study Supplement (CGS-MSFSS); Australian Research Council(Australian Research Council)</t>
  </si>
  <si>
    <t>This work contributes to the Australian Antarctic Science (AAS) project 4051, and was supported by the Australian Government's Cooperative Research Centre (CRC) programme through the Carbon Program of the Antarctic Climate &amp; Ecosystems CRC. This research was supported by a University of Tasmania Rising Stars (B0019024) award to A.R.B. D.L. was funded by the Australian Research Council (DE120100030). The participation of C.S. was supported by an Alexander Graham Bell Canada Graduate Scholarship (CGS-D) and a Canada Graduate Scholarship - Michael Smith Foreign Study Supplement (CGS-MSFSS).</t>
  </si>
  <si>
    <t>10.1016/j.dsr2.2015.02.019</t>
  </si>
  <si>
    <t>WOS:000383942700010</t>
  </si>
  <si>
    <t>Lannuzel, D; Chever, F; van der Merwe, PC; Janssens, J; Roukaerts, A; Cavagna, AJ; Townsend, AT; Bowie, AR; Meiners, KM</t>
  </si>
  <si>
    <t>Lannuzel, Delphine; Chever, Fanny; van der Merwe, Pier C.; Janssens, Julie; Roukaerts, Arnout; Cavagna, Anne-Julie; Townsend, Ashley T.; Bowie, Andrew R.; Meiners, Klaus M.</t>
  </si>
  <si>
    <t>Iron biogeochemistry in Antarctic pack ice during SIPEX-2</t>
  </si>
  <si>
    <t>Sea ice; Iron; Antarctica; Southern Ocean; Primary production</t>
  </si>
  <si>
    <t>SEA-ICE; SOUTHERN-OCEAN; EAST ANTARCTICA; ROSS SEA; CARBON; DISTRIBUTIONS; PHYTOPLANKTON; FERTILIZATION; SURFACE; CIRCULATION</t>
  </si>
  <si>
    <t>Our study quantified the spatial and temporal distribution of Fe and ancillary biogeochemical parameters at six stations visited during an interdisciplinary Australian Antarctic marine science voyage (SIPEX-2) within the East Antarctic first-year pack ice zone during September-October 2012. Unlike previous studies in the area, the sea ice Chlorophyll a, Particulate Organic Carbon and Nitrogen (POC and PON) maxima did not occur at the ice/water interface because of the snow loading and dynamic processes under which the sea ice formed. Iron in sea ice ranged from 0.9 to 17.4 nM for the dissolved ( &lt; 0.2 mu m) fraction and 0.04 to 990 nM for the particulate ( &gt; 0.2 mu m) fraction. Our results highlight that the concentration of particulate Fe in sea ice was highest when approaching the continent. The high POC concentration and high particulate iron to aluminium ratio in sea ice samples demonstrate that 71% of the particulate Fe was biogenic in composition. Our estimated Fe flux from melting pack ice to East Antarctic surface waters over a 30 day melting period was 0.2 mu mol/m(2)/d of DFe, 2.7 mu mol/m(2)/d of biogenic PFe and 1.3 mu mol/m(2)/d of lithogenic PFe. These estimates suggest that the fertilization potential of the particulate fraction of Fe may have been previously underestimated due to the assumption that it is primarily lithogenic in composition. Our new measurements and calculated fluxes indicate that a large fraction of the total Fe pool within sea ice may be bioavailable and therefore, effective in promoting primary productivity in the marginal ice zone. (C) 2014 The Authors. Published by Elsevier Ltd.</t>
  </si>
  <si>
    <t>[Lannuzel, Delphine; Janssens, Julie; Bowie, Andrew R.] Univ Tasmania, Inst Marine &amp; Antarctic Studies, Locked Bag 129, Hobart, Tas 7001, Australia; [Lannuzel, Delphine; van der Merwe, Pier C.; Bowie, Andrew R.; Meiners, Klaus M.] Univ Tasmania, Antarctic Climate &amp; Ecosyst CRC, Private Bag 80, Hobart, Tas 7001, Australia; [Chever, Fanny] Univ Southampton, Natl Oceanog Ctr Southampton, Ocean &amp; Earth Sci, Southampton SO14 3ZH, Hants, England; [Roukaerts, Arnout; Cavagna, Anne-Julie] Vrije Univ Brussel, Analyt Environm &amp; Geochem, Pleinlaan 2, B-1050 Brussels, Belgium; [Townsend, Ashley T.] Univ Tasmania, Cent Sci Lab, Private Bag 74, Hobart, Tas 7001, Australia; [Meiners, Klaus M.] Australian Antarctic Div, 203 Channel Highway, Kingston, Tas 7050, Australia</t>
  </si>
  <si>
    <t>University of Tasmania; University of Tasmania; NERC National Oceanography Centre; University of Southampton; Vrije Universiteit Brussel; University of Tasmania; Australian Antarctic Division</t>
  </si>
  <si>
    <t>Lannuzel, D (corresponding author), Univ Tasmania, Inst Marine &amp; Antarctic Studies, Locked Bag 129, Hobart, Tas 7001, Australia.;Lannuzel, D (corresponding author), Univ Tasmania, Antarctic Climate &amp; Ecosyst CRC, Private Bag 80, Hobart, Tas 7001, Australia.</t>
  </si>
  <si>
    <t>Townsend, Ashley/J-7445-2014; van der Merwe, Pier/C-9210-2015; Bowie, Andrew/C-8677-2013; lannuzel, delphine/J-7937-2014</t>
  </si>
  <si>
    <t>Townsend, Ashley/0000-0002-2972-2678; Janssens, Julie/0000-0003-1789-9940; van der Merwe, Pier/0000-0002-7428-8030; Bowie, Andrew/0000-0002-5144-7799; lannuzel, delphine/0000-0001-6154-1837</t>
  </si>
  <si>
    <t>Australian Research Council [LE0989539, DE120100030]; Australian Government Cooperative Research Centres Programme through the Antarctic Climate &amp; Ecosystems (ACE CRC); Australian Antarctic Science (AAS) [4051]; Australian Research Council [LE0989539, DE120100030] Funding Source: Australian Research Council</t>
  </si>
  <si>
    <t>Australian Research Council(Australian Research Council); Australian Government Cooperative Research Centres Programme through the Antarctic Climate &amp; Ecosystems (ACE CRC)(Australian GovernmentDepartment of Industry, Innovation and ScienceCooperative Research Centres (CRC) Programme); Australian Antarctic Science (AAS); Australian Research Council(Australian Research Council)</t>
  </si>
  <si>
    <t>The authors would like to thank the officers and crew of the RV Aurora Australis for their logistic support during the SIPEX-2 voyage. We would like to acknowledge Olivier Lecomte for helping in the collection of the trace metal ice cores. This work was co-funded by the Australian Research Council (LE0989539 and DE120100030), the Australian Government Cooperative Research Centres Programme through the Antarctic Climate &amp; Ecosystems (ACE CRC) and the Australian Antarctic Science (AAS) project no. 4051.</t>
  </si>
  <si>
    <t>10.1016/j.dsr2.2014.12.003</t>
  </si>
  <si>
    <t>WOS:000383942700011</t>
  </si>
  <si>
    <t>Ugalde, SC; Westwood, KJ; van den Enden, R; McMinn, A; Meiners, KM</t>
  </si>
  <si>
    <t>Ugalde, Sarah C.; Westwood, Karen J.; van den Enden, Rick; McMinn, Andrew; Meiners, Klaus M.</t>
  </si>
  <si>
    <t>Characteristics and primary productivity of East Antarctic pack ice during the winter-spring transition</t>
  </si>
  <si>
    <t>Biomass; Carbon; Extracellular polymeric substances; Microalgae; Primary production; Sea ice</t>
  </si>
  <si>
    <t>EXTRACELLULAR POLYMERIC SUBSTANCES; DIATOM CYLINDROTHECA-CLOSTERIUM; SEA-ICE; WEDDELL SEA; SOUTHERN-OCEAN; MCMURDO SOUND; ENVIRONMENTAL CONSTRAINTS; EXOPOLYMER PARTICLES; COMMUNITY STRUCTURE; BENTHIC DIATOMS</t>
  </si>
  <si>
    <t>Microbial communities have evolved mechanisms to allow them to survive within the challenging and changing pack ice environment. One such mechanism may be the exudation of photosynthetically-derived organic carbon into various extracellular pools. During the 2nd Sea Ice Physics and Ecosystems eXperiment (SIPEX-2), East Antarctic pack ice productivity and subsequent carbon allocation were quantified, together with physico-biogeochemical characteristics (29 September-28 October, 2012). Mean ice thickness ranged between 0.80 and 2.16 m, and typically exhibited a warm ice interior with weak temperature gradients. All stations, with one exception, were layered with granular (mean: 78%), columnar (mean: 15%), and mixed granular/columnar (mean: 4%) ice. Highest ice brine-volume fractions were at the ice-water interface, but all ice had high brine-volume fractions conducive for brine percolation (mean: 15%). Dissolved inorganic nutrient concentrations in the brine were scattered around theoretical dilution lines (TDLs), with some values of nitrate and nitrite, ammonium and silicic acid falling below TDLs, indicating nutrient depletion. Bulk ice dissolved organic carbon was low (mean: 64 mu mol kg(-1)), but most samples showed enrichment in relation to TDLs. Microbial biomass (bacterial and algal) was low, and generally showed maxima in the sea-ice interior. Bottom ice algal communities were dominated by pennate diatom species (mean: 86% of total cell abundance). C-14-total primary productivity (C-14-TPP) ranged from &lt; 0.01 to 2.22 mg C (mg chl a)(-1) d(-1) &lt; 0.01 to 3.03 mg C m(-2) d(-1)). The relative contribution of C-14-total extracellular organic carbon (C-14-TEOC) to C-14-TPP decreased over the observational period (range: 44-21%), with the remaining proportion being C-14-particulate organic carbon. C-14-TEOC composition was dominated by low molecular weight C-14-extracellular dissolved organic carbon (mean: 61%), with the remaining proportion allocated to C-14-colloidal organic carbon. Production of C-14-extracellular polymeric substances was not detected at any station. Crown Copyright (C) 2016 Published by Elsevier Ltd. All rights reserved.</t>
  </si>
  <si>
    <t>[Ugalde, Sarah C.; Meiners, Klaus M.] Univ Tasmania, Antarctic Climate &amp; Ecosyst Cooperat Res Ctr, Private Bag 80, Hobart, Tas 7001, Australia; [Ugalde, Sarah C.; McMinn, Andrew] Univ Tasmania, Inst Marine &amp; Antarctic Studies, Private Bag 129, Hobart, Tas 7001, Australia; [Westwood, Karen J.; van den Enden, Rick; Meiners, Klaus M.] Australian Antarctic Div, Dept Environm, 203 Channel Highway, Kingston, Tas 7050, Australia</t>
  </si>
  <si>
    <t>University of Tasmania; Antarctic Climate &amp; Ecosystems Cooperative Research Centre (ACE CRC); University of Tasmania; Australian Antarctic Division</t>
  </si>
  <si>
    <t>Ugalde, SC (corresponding author), Univ Tasmania, Antarctic Climate &amp; Ecosyst Cooperat Res Ctr, Private Bag 80, Hobart, Tas 7001, Australia.</t>
  </si>
  <si>
    <t>sarah.ugalde@utas.edu.au</t>
  </si>
  <si>
    <t>McMinn, Andrew/A-9910-2008</t>
  </si>
  <si>
    <t>Westwood, Karen/0000-0003-1060-7140</t>
  </si>
  <si>
    <t>Australian Government's Cooperative Research Centre Program through the Antarctic Climate and Ecosystems Cooperative Research Centre (ACE CRC); Australian Government's Cooperative Research Centre Program through the Australian Antarctic Science Grant [4073]</t>
  </si>
  <si>
    <t>Australian Government's Cooperative Research Centre Program through the Antarctic Climate and Ecosystems Cooperative Research Centre (ACE CRC)(Australian GovernmentDepartment of Industry, Innovation and ScienceCooperative Research Centres (CRC) Programme); Australian Government's Cooperative Research Centre Program through the Australian Antarctic Science Grant(Australian GovernmentDepartment of Industry, Innovation and ScienceCooperative Research Centres (CRC) Programme)</t>
  </si>
  <si>
    <t>We are thankful to Captain M. Doyle, and the officers and crew of RSV Aurora Australis for their outstanding support during the SIPEX-2 voyage (2012/13 VMS). We are grateful to the assistance provided by the voyage leader (A. Cianchi) and deputy voyage leader (B. Free) in the lead-up and during the voyage. We acknowledge the expert help of the AAD Science Technical Support team and colleagues working with us in the field or laboratories. This work was supported by the Australian Government's Cooperative Research Centre Program through the Antarctic Climate and Ecosystems Cooperative Research Centre (ACE CRC) and through the Australian Antarctic Science Grant #4073. We thank two anonymous reviewers for their constructive comments on earlier drafts of this manuscript.</t>
  </si>
  <si>
    <t>10.1016/j.dsr2.2015.12.013</t>
  </si>
  <si>
    <t>WOS:000383942700012</t>
  </si>
  <si>
    <t>Roukaerts, A; Cavagna, AJ; Fripiat, F; Lannuzel, D; Meiners, KM; Dehairs, F</t>
  </si>
  <si>
    <t>Roukaerts, Arnout; Cavagna, Anne-Julie; Fripiat, Francois; Lannuzel, Delphine; Meiners, Klaus M.; Dehairs, Frank</t>
  </si>
  <si>
    <t>Sea-ice algal primary production and nitrogen uptake rates off East Antarctica</t>
  </si>
  <si>
    <t>Primary production; Ice algae nitrogen uptake; Stable isotope dilution; Pack ice; Pacific sector</t>
  </si>
  <si>
    <t>WINTER-SPRING TRANSITION; TERRA-NOVA BAY; ROSS SEA; PACK-ICE; MICROBIAL COMMUNITIES; MACKENZIE SHELF; HIGH-RESOLUTION; SOUTHERN-OCEAN; MCMURDO SOUND; WEDDELL SEA</t>
  </si>
  <si>
    <t>Antarctic pack ice comprises about 90% of the sea ice in the southern hemisphere and plays an important structuring role in Antarctic marine ecosystems, yet measurements of ice algal primary production and nitrogen uptake rates remain scarce. During the early austral spring of 2012, measurements for primary production rates and uptake of two nitrogen substrates (nitrate and ammonium) were conducted at 5 stations in the East Antarctic pack ice (63-66 degrees S, 115-125 degrees E). Carbon uptake was low (3.52 mg C m(-2) d(-1)) but a trend of increased production was observed towards the end of the voyage suggesting pre-bloom conditions. Significant snow covers reaching, up to 0.8 m, induced strong light limitation. Two different regimes were observed in the ice with primarily nitrate based 'new' production (f-ratio: 0.80-0.95) at the bottom of the ice cover, due to nutrient-replete conditions at the ice-water interface, and common for pre-bloom conditions. In the sea-ice interior, POC:PN ratios (20-70) and higher POC:Chl a ratios suggested the presence of large amounts of detrital material trapped in the ice and here ammonium was the prevailing nitrogen substrate. This suggests that most primary production in the sea-ice interior was regenerated and supported by a microbial food web, recycling detritus. (C) 2015 Elsevier Ltd. All rights reserved.</t>
  </si>
  <si>
    <t>[Roukaerts, Arnout; Cavagna, Anne-Julie; Fripiat, Francois; Dehairs, Frank] Vrije Univ Brussel, Analyt Environm &amp; Geochem &amp; Earth Syst Sci, Brussels, Belgium; [Lannuzel, Delphine] Univ Tasmania, Inst Marine &amp; Antarctic Studies, Locked Bag 129, Hobart, Tas 7001, Australia; [Meiners, Klaus M.] Australian Antarctic Div, Dept Environm, 203 Channel Highway, Kingston, Tas 7050, Australia; [Lannuzel, Delphine; Meiners, Klaus M.] Univ Tasmania, Antarctic Climate &amp; Ecosyst Cooperat Res Ctr, Private Bag 80, Hobart, Tas 7001, Australia</t>
  </si>
  <si>
    <t>Vrije Universiteit Brussel; University of Tasmania; Australian Antarctic Division; Antarctic Climate &amp; Ecosystems Cooperative Research Centre (ACE CRC); University of Tasmania</t>
  </si>
  <si>
    <t>Roukaerts, A (corresponding author), Vrije Univ Brussel, Analyt Environm &amp; Geochem &amp; Earth Syst Sci, Brussels, Belgium.</t>
  </si>
  <si>
    <t>arnout.roukaerts@vub.ac.be</t>
  </si>
  <si>
    <t>Fripiat, François/ABB-8918-2021; lannuzel, delphine/J-7937-2014</t>
  </si>
  <si>
    <t>lannuzel, delphine/0000-0001-6154-1837; Cavagna, Anne-Julie/0000-0002-0185-0360; Fripiat, Francois/0000-0002-2591-6301; Roukaerts, Arnout/0000-0002-3939-7119</t>
  </si>
  <si>
    <t>Belgian Federal Science Policy Office (Belspo) under the Science for Sustainable Development (SDD) program [SD/CA/05A, BR/132/A1/VERSO]; Flanders Research Foundation (FWO) [G071512N]; Vrije Universiteit Brussel [SRP-2]; Australian Government Cooperative Research Centre Program through the Antarctic Climate and Ecosystems CRC (ACE CRC); Australian Antarctic Science [4073, 4051]</t>
  </si>
  <si>
    <t>Belgian Federal Science Policy Office (Belspo) under the Science for Sustainable Development (SDD) program; Flanders Research Foundation (FWO)(FWO); Vrije Universiteit Brussel; Australian Government Cooperative Research Centre Program through the Antarctic Climate and Ecosystems CRC (ACE CRC)(Australian GovernmentDepartment of Industry, Innovation and ScienceCooperative Research Centres (CRC) Programme); Australian Antarctic Science</t>
  </si>
  <si>
    <t>We thank the captain and crew of R/V Aurora Australis for their efficient assistance during work at sea. We are also grateful to the many colleagues who helped us with our work on board. This research was supported by the Belgian Federal Science Policy Office (Belspo) under the Science for Sustainable Development (SDD) program, (Grants SD/CA/05A and BR/132/A1/VERSO), Flanders Research Foundation (FWO; Grant G071512N) and Vrije Universiteit Brussel (Grant SRP-2), Strategic Research Plan (SRP-2). This research was also supported by the Australian Government Cooperative Research Centre Program through the Antarctic Climate and Ecosystems CRC (ACE CRC) and Australian Antarctic Science Projects #4073 and #4051.</t>
  </si>
  <si>
    <t>10.1016/j.dsr2.2015.08.007</t>
  </si>
  <si>
    <t>WOS:000383942700013</t>
  </si>
  <si>
    <t>Damm, E; Nomura, D; Martin, A; Dieckmann, GS; Meiners, KM</t>
  </si>
  <si>
    <t>Damm, E.; Nomura, D.; Martin, A.; Dieckmann, G. S.; Meiners, K. M.</t>
  </si>
  <si>
    <t>DMSP and DMS cycling within Antarctic sea ice during the winter-spring transition</t>
  </si>
  <si>
    <t>East Antarctica; Sea ice; SIPEX-2; DMS; DMSP; Nutrients; Brine; Chlorophyll a; Krill; Snow-ice-interface</t>
  </si>
  <si>
    <t>DIMETHYLSULFIDE DMS; PACK ICE; DIMETHYLSULPHONIOPROPIONATE; DIMETHYLSULFONIOPROPIONATE; EASTERN; CARBON; ALGAE; GAS</t>
  </si>
  <si>
    <t>This study describes within-ice concentrations of dimethylsulfoniopropionate (DMSP), its degradation product dimethylsulphide (DMS), as well as nutrients and chlorophyll a, that were sampled during the Sea Ice Physics and Ecosystems eXperiment-2 (SIPEX-2) in 2012. DMSP is a methylated substrate produced in large amounts annually by ice-associated microalgae, while DMS plays a significant role in carbon and sulphur cycling in the Southern Ocean. In the East Antarctic study area between 115-125 degrees E and 64-66 degrees S, ice and slush cores, brine, under-ice seawater and zooplankton (Antarctic krill) samples were collected at 6 ice stations. The pack-ice was characterised by high snow loading which initiated flooding events and triggered nutrient supply to the sea-ice surface, while variation in ice conditions influenced sea-ice permeability. This ranged from impermeable surface and middle sections of the sea ice, to completely permeable ice cores at some stations. Chlorophyll a maxima shifted from the sea-ice surface horizon at the first station to the sea ice bottom layer at the last station. Highest DMSP concentrations were detected in brine samples at the sea-ice surface, reflecting a mismatch with respect to the distribution of chlorophyll a. Our data suggest enhanced DMSP production by sea-ice surface algal communities and its release into brine during freezing and melting, which in turn is coupled to flooding events early in the season. A time-cycle of DMS production by DMSP degradation and DMS efflux is evident at the sea ice-snow interface when slush is formed during melt. Seawater under the ice contained only low concentrations of DMSP and DMS, even when brine drainage was evident and the sea ice became permeable. We postulate that in situ grazing by zooplankton may act as sink for the DMSP produced early in the season. (C) 2016 Elsevier Ltd. All rights reserved.</t>
  </si>
  <si>
    <t>[Damm, E.; Dieckmann, G. S.] Alfred Wegener Inst Polar &amp; Marine Res, Handelshafen 12, D-27570 Bremerhaven, Germany; [Nomura, D.] Hokkaido Univ, Inst Low Temp Sci, Kita Ku, Kita 19,Nishi 8, Sapporo, Hokkaido 0600819, Japan; [Martin, A.] Univ Tasmania, Inst Marine &amp; Antarctic Studies, Hobart, Tas 7004, Australia; [Meiners, K. M.] Univ Tasmania, Antarctic Climate &amp; Ecosyst Cooperat Res Ctr, Hobart, Tas 7001, Australia; [Meiners, K. M.] Australian Antarctic Div, Channel Highway, Kingston, Tas 7050, Australia</t>
  </si>
  <si>
    <t>Helmholtz Association; Alfred Wegener Institute, Helmholtz Centre for Polar &amp; Marine Research; Hokkaido University; University of Tasmania; Antarctic Climate &amp; Ecosystems Cooperative Research Centre (ACE CRC); University of Tasmania; Australian Antarctic Division</t>
  </si>
  <si>
    <t>Damm, E (corresponding author), Alfred Wegener Inst Polar &amp; Marine Res, Handelshafen 12, D-27570 Bremerhaven, Germany.</t>
  </si>
  <si>
    <t>ellen.damm@awi.de</t>
  </si>
  <si>
    <t>Martin, Andrew/F-5688-2013; Dieckmann, Gerhard S/B-4307-2010</t>
  </si>
  <si>
    <t>Martin, Andrew/0000-0001-8260-5529</t>
  </si>
  <si>
    <t>Australian Government's Cooperative Research Centre Program through the Antarctic Climate and Ecosystems Cooperative Research Centre (ACE CRC); Australian Government's Cooperative Research Centre Program through the Australian Antarctic Science Grant [4073]; Alfred-Wegener-Institute, Helmholtz-Zentrum fur Polar- und Meeresforschung; Grants-in-Aid for Scientific Research [15H05116, 15K16135] Funding Source: KAKEN</t>
  </si>
  <si>
    <t>Australian Government's Cooperative Research Centre Program through the Antarctic Climate and Ecosystems Cooperative Research Centre (ACE CRC)(Australian GovernmentDepartment of Industry, Innovation and ScienceCooperative Research Centres (CRC) Programme); Australian Government's Cooperative Research Centre Program through the Australian Antarctic Science Grant(Australian GovernmentDepartment of Industry, Innovation and ScienceCooperative Research Centres (CRC) Programme); Alfred-Wegener-Institute, Helmholtz-Zentrum fur Polar- und Meeresforschung; Grants-in-Aid for Scientific Research(Ministry of Education, Culture, Sports, Science and Technology, Japan (MEXT)Japan Society for the Promotion of ScienceGrants-in-Aid for Scientific Research (KAKENHI))</t>
  </si>
  <si>
    <t>We are thankful to the officers and crew of RSV Aurora Australis for their support during the SIPEX-2 voyage (2012/13 VMS). We are grateful for the assistance provided by the voyage management team in the lead-up and during the voyage. This work was supported by the Australian Government's Cooperative Research Centre Program through the Antarctic Climate and Ecosystems Cooperative Research Centre (ACE CRC) and through Australian Antarctic Science Grant #4073, and also funded through the Alfred-Wegener-Institute, Helmholtz-Zentrum fur Polar- und Meeresforschung.</t>
  </si>
  <si>
    <t>10.1016/j.dsr2.2015.12.015</t>
  </si>
  <si>
    <t>WOS:000383942700014</t>
  </si>
  <si>
    <t>Coad, T; McMinn, A; Nomura, D; Martin, A</t>
  </si>
  <si>
    <t>Coad, Thomas; McMinn, Andrew; Nomura, Daiki; Martin, Andrew</t>
  </si>
  <si>
    <t>Effect of elevated CO2 concentration on microalgal communities in Antarctic pack ice</t>
  </si>
  <si>
    <t>Sea-ice algae; Brine; Ocean acidification; CO2; Antarctic</t>
  </si>
  <si>
    <t>PHOTOSYNTHESIS-IRRADIANCE RELATIONSHIPS; SEA-ICE; OCEAN ACIDIFICATION; PHYTOPLANKTON GROWTH; MARINE; TEMPERATURE; SEAWATER; DIATOM; CARBON; CALCIFICATION</t>
  </si>
  <si>
    <t>Increased anthropogenic CO2 emissions are causing changes to oceanic pH and CO2 concentrations that will impact many marine organisms, including microalgae. Phytoplankton taxa have shown mixed responses to these changes with some doing well while others have been adversely affected. Here, the photosynthetic response of sea-ice algal communities from Antarctic pack ice (brine and infiltration microbial communities) to a range of CO2 concentrations (400 ppm to 11,000 ppm in brine algae experiments, 400 ppm to 20,000 ppm in the infiltration ice algae experiment) was investigated. Incubations were conducted as part of the Sea-Ice Physics and Ecosystem Experiment II (SIPEX-2) voyage, in the austral spring (September -November), 2012. In the brine incubations, maximum quantum yield (Fv/Fm) and relative electron transfer rate (rETR(max)) were highest at ambient and 0.049% (experiment 1) and 019% (experiment 2) CO2 concentrations, although, Fv/Fm was consistently between 0.53 +/- 0.10-0.68 +/- 0.01 across all treatments in both experiments. Highest rETR(max), was exhibited by brine cultures exposed to ambient CO2 concentrations (60.15). In a third experiment infiltration ice algal communities were allowed to melt into seawater modified to simulate the changed pH and CO2 concentrations of future springtime ice-edge conditions. Ambient and 0.1% CO2 treatments had the highest growth rates and Fig, values but only the highest CO2 concentration produced a significantly lower rETR(max). These experiments, conducted on natural Antarctic sea-ice algal communities, indicate a strong level of tolerance to elevated CO2 concentrations and suggest that these communities might not be adversely affected by predicted changes in CO2 concentration over the next century. (C) 2016 Elsevier Ltd. All rights reserved.</t>
  </si>
  <si>
    <t>[Coad, Thomas; McMinn, Andrew; Martin, Andrew] Univ Tasmania, Inst Marine &amp; Antarctic Studies, Hobart, Tas 7001, Australia; [Nomura, Daiki] Hokkaido Univ, Inst Low Temp Sci, Sapporo, Hokkaido, Japan; [Martin, Andrew] Victoria Univ Wellington, Sch Biol Sci, Wellington, New Zealand</t>
  </si>
  <si>
    <t>University of Tasmania; Hokkaido University; Victoria University Wellington</t>
  </si>
  <si>
    <t>McMinn, A (corresponding author), Univ Tasmania, Inst Marine &amp; Antarctic Studies, Hobart, Tas 7001, Australia.</t>
  </si>
  <si>
    <t>Andrew.mcminn@utas.edu.au</t>
  </si>
  <si>
    <t>McMinn, Andrew/A-9910-2008; Martin, Andrew/F-5688-2013</t>
  </si>
  <si>
    <t>Coad, Thomas/0000-0001-5048-2595; Martin, Andrew/0000-0001-8260-5529</t>
  </si>
  <si>
    <t>Australian Government Cooperative Research Centre Program through the Antarctic Climate and Ecosystems CRC (ACE CRC); Australian Antarctic Division; Australian Antarctic Science [4073, 4008]; Grants-in-Aid for Scientific Research [15H02799, 15K16135, 15H05116] Funding Source: KAKEN</t>
  </si>
  <si>
    <t>Australian Government Cooperative Research Centre Program through the Antarctic Climate and Ecosystems CRC (ACE CRC)(Australian GovernmentDepartment of Industry, Innovation and ScienceCooperative Research Centres (CRC) Programme); Australian Antarctic Division; Australian Antarctic Science; Grants-in-Aid for Scientific Research(Ministry of Education, Culture, Sports, Science and Technology, Japan (MEXT)Japan Society for the Promotion of ScienceGrants-in-Aid for Scientific Research (KAKENHI))</t>
  </si>
  <si>
    <t>This research received support from the Australian Government Cooperative Research Centre Program through the Antarctic Climate and Ecosystems CRC (ACE CRC), the Australian Antarctic Division and Australian Antarctic Science projects #4073 and 4008. We would like to acknowledge the Australian Antarctic Division and captain and crew of the RV Aurora Australis for facilitating SIPEX-2. We would also like to acknowledge the Central Science Laboratory (CSL), University of Tasmania, for the use of their SEM unit. Fig. 1 was prepared by Miles Jordan of the Australian Antarctic Data Centre.</t>
  </si>
  <si>
    <t>10.1016/j.dsr2.2016.01.005</t>
  </si>
  <si>
    <t>WOS:000383942700015</t>
  </si>
  <si>
    <t>Virtue, P; Meyer, B; Freier, U; Nichols, PD; Jia, ZN; King, R; Virtue, J; Swadling, KM; Meiners, KM; Kawaguchi, S</t>
  </si>
  <si>
    <t>Virtue, Patti; Meyer, Bettina; Freier, Ulrich; Nichols, Peter D.; Jia, Zhongnan; King, Rob; Virtue, Jacob; Swadling, Kerrie M.; Meiners, Klaus M.; Kawaguchi, So</t>
  </si>
  <si>
    <t>Condition of larval (furcilia VI) and one year old juvenile Euphausia superba during the winter-spring transition in East Antarctica</t>
  </si>
  <si>
    <t>Antarctic krill; Lipids; Fatty acids; Biochemical composition; Overwintering; Pack ice</t>
  </si>
  <si>
    <t>SEA-ICE; PACK-ICE; OVERWINTERING STRATEGY; KRILL; GROWTH; LIPIDS; WEST; RECRUITMENT; METABOLISM; ABUNDANCE</t>
  </si>
  <si>
    <t>Antarctic krill, Euphausia superba, is an important species in the Southern Ocean ecosystem. Information on krill condition during winter and early spring is slowly evolving with our enhanced ability to sample at this time of year. However, because of the limited spatial and temporal data, our understanding of fundamental biological parameters for krill during winter is limited. Our study assessed the condition of larval (furcilia VI) and one year old juvenile krill collected in East Antarctica (116 degrees E-130 degrees E and 64 degrees S-66 degrees S) from September to October 2012. Krill condition was assessed using morphometric, elemental and biochemical body composition, growth rates, oxygen uptake and lipid content and composition. Diet was assessed using fatty acid biomarkers analysed in the krill. The growth rate of larvae was 0.0038 mm day with an inter-moult period of 14 days. The average oxygen uptake of juvenile krill was 0.30 +/- 0.02 mu l oxygen consumed per mg dry weight per hour. Although protein was not significantly different amongst the krill analysed, the lipid content of krill was highly variable ranging from 9% to 27% dry weight in juveniles and from 4% to 13% dry weight in larvae. Specific algal biomarkers, fatty acids ratios, levels of both long-chain (&gt;= C-20) monounsaturated fatty acids and bacterial fatty acids found in krill were indicative of the mixed nature of dietary sources and the opportunistic feeding capability of larval and juvenile krill at the end of winter. (C) 2016 Elsevier Ltd. All rights reserved.</t>
  </si>
  <si>
    <t>[Virtue, Patti; Nichols, Peter D.; Jia, Zhongnan; Swadling, Kerrie M.] Univ Tasmania, Inst Marine &amp; Antarctic Studies, Private Bag 129, Hobart, Tas 7001, Australia; [Virtue, Patti; Nichols, Peter D.; Jia, Zhongnan; Swadling, Kerrie M.; Meiners, Klaus M.; Kawaguchi, So] Univ Tasmania, Antarctic Climate &amp; Ecosyst Cooperat Res Ctr, Private Bag 80, Hobart, Tas 7001, Australia; [Meyer, Bettina] Alfred Wegener Inst, Helmholtz Ctr Polar &amp; Marine Res, Polar Biol Oceanog Sect, Handelshafen 12, D-27570 Bremerhaven, Germany; [Meyer, Bettina] Carl von Ossietzky Univ Oldenburg, Inst Chem &amp; Biol Marine Environm, Oldenburg, Germany; [Freier, Ulrich] SC Sci Consulting, Munchener Str 41a, D-41472 Neuss, Germany; [Nichols, Peter D.] CSIRO Food &amp; Nutr, Oceans &amp; Atmosphere, GPO Box 1538, Hobart, Tas 7000, Australia; [King, Rob; Meiners, Klaus M.; Kawaguchi, So] Australian Antarctic Div, Dept Environm, Kingston, Tas 7050, Australia</t>
  </si>
  <si>
    <t>University of Tasmania; Antarctic Climate &amp; Ecosystems Cooperative Research Centre (ACE CRC); University of Tasmania; Helmholtz Association; Alfred Wegener Institute, Helmholtz Centre for Polar &amp; Marine Research; Carl von Ossietzky Universitat Oldenburg; Commonwealth Scientific &amp; Industrial Research Organisation (CSIRO); Australian Antarctic Division</t>
  </si>
  <si>
    <t>Virtue, P (corresponding author), Univ Tasmania, Inst Marine &amp; Antarctic Studies, Private Bag 129, Hobart, Tas 7001, Australia.</t>
  </si>
  <si>
    <t>virtue@utas.edu.au</t>
  </si>
  <si>
    <t>Kawaguchi, So/N-1795-2017; Nichols, Peter D/C-5128-2011; Meyer, Bettina/ABB-5311-2020</t>
  </si>
  <si>
    <t>Meyer, Bettina/0000-0001-6804-9896; King, Robert/0000-0002-4650-2335; Virtue, Patti/0000-0002-9870-1256; Kawaguchi, So/0000-0002-2042-5095; Swadling, Kerrie/0000-0002-7620-841X</t>
  </si>
  <si>
    <t>Australian Antarctic Science [4073, 4140]; International Office of the Ministry of Education and Science [01DR12060]; Australian Government's Cooperative Research Centres programme through the Antarctic Climate and Ecosystems Cooperative Research Centre</t>
  </si>
  <si>
    <t>Australian Antarctic Science; International Office of the Ministry of Education and Science; Australian Government's Cooperative Research Centres programme through the Antarctic Climate and Ecosystems Cooperative Research Centre(Australian GovernmentDepartment of Industry, Innovation and ScienceCooperative Research Centres (CRC) Programme)</t>
  </si>
  <si>
    <t>We thank the captain and crew of RV Aurora Australis during the SIPEX-2 expedition. We thank many members of the SIPEX-2 expedition, in particular Andrew Cawthorn (Pud), Arnout Roukaerts, Anne-Julie Cavagna, Christian Sampson and the late David Lubbers for their assistance with krill collection in the field. We thank Stephanie Zeliadt for help with data analysis, Peter Mansour for assistance in the laboratory and Danny Holdsworth for management of the CSIRO GC-MS facility. We appreciate the substantial efforts by Dr Cathryn Wynn-Edwards and one anonymous reviewer who helped improve this manuscript. We acknowledge the Winifred Violet Scott foundation and CSIRO for support for sample analyses. This research contributed to Australian Antarctic Science projects 4073 and 4140. The German scientists B. Meyer and U. Freier were supported by funding from the International Office of the Ministry of Education and Science through Project 01DR12060. Their work contributed to the Research Program PACES II (Topic 1, Workpackage 3 and 4) and contributed to PACES III (Topic 1, Workpackage 5) of the Alfred Wegener Institute. This work was supported by the Australian Government's Cooperative Research Centres programme through the Antarctic Climate and Ecosystems Cooperative Research Centre.</t>
  </si>
  <si>
    <t>10.1016/j.dsr2.2016.02.001</t>
  </si>
  <si>
    <t>WOS:000383942700017</t>
  </si>
  <si>
    <t>Jia, ZN; Swadling, KM; Meiners, KM; Kawaguchi, S; Virtue, P</t>
  </si>
  <si>
    <t>Jia, Zhongnan; Swadling, Kerrie M.; Meiners, Klaus M.; Kawaguchi, So; Virtue, Patti</t>
  </si>
  <si>
    <t>The zooplankton food web under East Antarctic pack ice - A stable isotope study</t>
  </si>
  <si>
    <t>Stable isotope; Pack ice; Algae; Zooplankton; Under-ice food webs; Overwinter; Under-ice organisms; Antarctic krill; Euphausia superba</t>
  </si>
  <si>
    <t>KRILL EUPHAUSIA-SUPERBA; PARTICULATE ORGANIC-MATTER; LIFE-CYCLE STRATEGIES; SEA-ICE; WEDDELL-SEA; SOUTHERN-OCEAN; TROPHIC RELATIONSHIPS; COMMUNITY STRUCTURE; NITROGEN UPTAKE; EUKROHNIA-HAMATA</t>
  </si>
  <si>
    <t>Understanding how sea ice serves zooplanlcton species during the food-limited season is crucial information to evaluate the potential responses of pelagic food webs to changes in sea-ice conditions in the Southern Ocean. Stable isotope analyses (C-13/C-12 and N-15/N-14) were used to compare the dietary preferences and trophic relationships of major zooplankton species under pack ice during two winter spring transitions (2007 and 2012). During sampling, furcilia of Euphausia superba demonstrated dietary plasticity between years, herbivory when feeding on sea-ice biota, and with a more heterotrophic diet when feeding from both the sea ice and the water column. Carbon isotope signatures suggested that the pteropod Limacina helicina, small copepods Oithona spp., ostracods and amphipods relied heavily on sea ice biota. Post larval E. superba and omnivorous krill Thysanoessa macrura consumed both water column and ice biota, but further investigations are needed to estimate the contribution from each source. Large copepods and chaetognaths overwintered on a water column-based diet. Our study suggests that warm and permeable sea ice is more likely to provide food for zooplankton species under the ice than the colder ice. (C) 2016 Elsevier Ltd. All rights reserved.</t>
  </si>
  <si>
    <t>[Jia, Zhongnan; Swadling, Kerrie M.; Virtue, Patti] Univ Tasmania, Inst Marine &amp; Antarctic Studies, Private Bag 129, Hobart, Tas 7001, Australia; [Jia, Zhongnan; Swadling, Kerrie M.; Meiners, Klaus M.; Kawaguchi, So] Univ Tasmania, Antarctic Climate &amp; Ecosyst Cooperat Res Ctr, Private Bag 80, Hobart, Tas 7001, Australia; [Meiners, Klaus M.; Kawaguchi, So] Australian Antarctic Div, Dept Environm, Channel Highway, Kingston, Tas 7050, Australia</t>
  </si>
  <si>
    <t>Jia, ZN (corresponding author), Univ Tasmania, Inst Marine &amp; Antarctic Studies, Private Bag 129, Hobart, Tas 7001, Australia.</t>
  </si>
  <si>
    <t>myporpoise2009@gmail.com</t>
  </si>
  <si>
    <t>Kawaguchi, So/N-1795-2017</t>
  </si>
  <si>
    <t>Kawaguchi, So/0000-0002-2042-5095; Virtue, Patti/0000-0002-9870-1256; Swadling, Kerrie/0000-0002-7620-841X</t>
  </si>
  <si>
    <t>Australian Governments Cooperative Research Centres Programme through the Antarctic Climate and Ecosystems Cooperative Research Centre (ACE CRC); Australian Antarctic Science [4140, 4073]; ARC Discovery project [DP0209308]; Australian Research Council [DP0209308] Funding Source: Australian Research Council</t>
  </si>
  <si>
    <t>Australian Governments Cooperative Research Centres Programme through the Antarctic Climate and Ecosystems Cooperative Research Centre (ACE CRC)(Australian GovernmentDepartment of Industry, Innovation and ScienceCooperative Research Centres (CRC) Programme); Australian Antarctic Science; ARC Discovery project(Australian Research Council); Australian Research Council(Australian Research Council)</t>
  </si>
  <si>
    <t>We thank two reviewers and editors for their constructive comments in improving this manuscript. We are very grateful to all those who helped us in the field and lab during SIPEX and SIPEX-2, particularly our krill team Bettina Meyer, Ulrich Freier and Rob King. We would like to thank Jan van Franeker and the IMARES Surface and Under-Ice Trawl (SUIT) team (Wageningen UR) for their support of SUIT operations during SIPEX. Special thanks to Arnout Roukaerts, Anne-Julie Cavagna, and Andrew Cawthorn for their help in krill fishing in the field during SIPEX-2. Hugh Jones and Pearse Buchanan are thanked for their help with zooplankton sampling in the field during SIPEX-2. We thank Rob Johnson for chlorophyll measurements for SIPEX-2. We thank Kristen Karsh and Francois Fripiat for their constructive comments on developing the hypothesis around our POM delta15N data. We thank John Kitchener and Glenn Johnstone for their help with amphipod taxonomy, Lisette Robertson for her kindly help and support in the lab, and Christine Cook and Christian Dietz for conquering all the technical difficulties in our stable isotope analyses. We are grateful for the support by captain and crew of RV Aurora Australis during expeditions. ZJ received a Holsworth Wildlife Research Endowment for sample analyses. We would like to acknowledge support by the Australian Governments Cooperative Research Centres Programme through the Antarctic Climate and Ecosystems Cooperative Research Centre (ACE CRC). This research contributes to Australian Antarctic Science projects 4140 and 4073 and ARC Discovery project DP0209308 (to KMS).</t>
  </si>
  <si>
    <t>10.1016/j.dsr2.2015.10.010</t>
  </si>
  <si>
    <t>WOS:000383942700018</t>
  </si>
  <si>
    <t>Corvino, AF; Boger, SD; Fay, C</t>
  </si>
  <si>
    <t>Corvino, Adrian F.; Boger, Steven D.; Fay, Clement</t>
  </si>
  <si>
    <t>Constriction structures related to viscous collision, southern Prince Charles Mountains, Antarctica</t>
  </si>
  <si>
    <t>JOURNAL OF STRUCTURAL GEOLOGY</t>
  </si>
  <si>
    <t>Migmatite; Stretching lineation; L-tectonite; Ptygmatic fold; Amoeboid fold; Constrictive deformation</t>
  </si>
  <si>
    <t>SHEAR ZONE; EAST ANTARCTICA; MAWSON-ESCARPMENT; CHANNEL FLOW; DEFORMATION; FOLDS; STRAIN; SCALE; EXAMPLE; OROGEN</t>
  </si>
  <si>
    <t>Macroscopic structures are investigated in a zone of highly contorted migmatites from the southern Prince Charles Mountains, Antarctica. Here, L-tectonite fabrics, rods, mullions, boudin pods, elongate enclaves, and fold hinges, are persistent linear features all plunging gently to the northeast. In contrast, amoeboid folds, ptygmatic folds and folded boudins with different orientations are the characteristic structures in transverse sections (perpendicular to the lineation). No consistent shear sense is recognised in any dimension. Together with strain and shape analysis, these observations strongly suggest that the deformation pattern is one of folding and stretching by constriction. Previous timing constraints indicate that this deformation overlapped with the waning stages of anatexis during decompression at approximately 510 Ma, up to 30 million years after initial orogeny at 540 Ma. The zone affected by constriction is several kilometres wide and has a contorted flower-like shape confined between two broad domal antiforms. In this context, the constricted zone is interpreted as a relatively late tectonic feature that could have formed via deep-seated viscous collision in response to orogenic collapse and doming. (C) 2016 Elsevier Ltd. All rights reserved.</t>
  </si>
  <si>
    <t>[Corvino, Adrian F.] South Australian Museum, GPO Box 234, Adelaide, SA 5000, Australia; [Boger, Steven D.] Univ Melbourne, Sch Earth Sci, Melbourne, Vic 3010, Australia; [Fay, Clement] James Cook Univ, Sch Earth &amp; Environm Sci, Townsville, Qld 4811, Australia</t>
  </si>
  <si>
    <t>South Australian Museum; University of Melbourne; Melbourne Bioinformatics; James Cook University</t>
  </si>
  <si>
    <t>Corvino, AF (corresponding author), Mantle Min Corp Ltd, 5 Northwest Crescent, Cranbrook, Qld 4814, Australia.</t>
  </si>
  <si>
    <t>adrian@mantlemining.com</t>
  </si>
  <si>
    <t>Boger, Steven/0000-0003-0739-6266</t>
  </si>
  <si>
    <t>South Australian Museum on AAS project [2355]</t>
  </si>
  <si>
    <t>South Australian Museum on AAS project</t>
  </si>
  <si>
    <t>Fieldwork was completed by A.F. Corvino in January 2012, while volunteering with the South Australian Museum on AAS project 2355 granted to Dr. Mark Stevens. The opportunity to make the structural observations resulted from being grounded for several weeks on the Turk Glacier. Fiona Shanhun and Josh Scarrow are kindly thanked for their assistance and enthusiasm in the field. Logistical support by the Australian Antarctic Division is gratefully acknowledged. Two anonymous reviewers are thanked for critically reading the manuscript.</t>
  </si>
  <si>
    <t>0191-8141</t>
  </si>
  <si>
    <t>J STRUCT GEOL</t>
  </si>
  <si>
    <t>J. Struct. Geol.</t>
  </si>
  <si>
    <t>10.1016/j.jsg.2016.08.005</t>
  </si>
  <si>
    <t>DW0DV</t>
  </si>
  <si>
    <t>WOS:000383312000009</t>
  </si>
  <si>
    <t>Ratnarajah, L; Nicol, S; Kawaguchi, S; Townsend, AT; Lannuzel, D; Meiners, KM; Bowie, AR</t>
  </si>
  <si>
    <t>Ratnarajah, Lavenia; Nicol, Stephen; Kawaguchi, So; Townsend, Ashley T.; Lannuzel, Delphine; Meiners, Klaus M.; Bowie, Andrew R.</t>
  </si>
  <si>
    <t>Understanding the variability in the iron concentration of Antarctic krill</t>
  </si>
  <si>
    <t>LIMNOLOGY AND OCEANOGRAPHY</t>
  </si>
  <si>
    <t>EUPHAUSIA-SUPERBA; SOUTHERN-OCEAN; PHYTOPLANKTON BIOMASS; PRIMARY PRODUCTIVITY; BALEEN WHALES; MOLT CYCLE; GROWTH; FERTILIZATION; SEA; EXCRETION</t>
  </si>
  <si>
    <t>Antarctic krill may play a significant role in the Southern Ocean iron cycle. However, understanding the control on iron budgets by Antarctic krill is hampered by the large range in the reported iron concentration of krill. The aim of this study was to investigate the causes of the large range of iron concentrations in krill reported in the literature (6-190 mg kg(-1)). Antarctic krill samples were collected from three research voyages to Pyrdz Bay, Antarctica, and analysed individually. Iron concentrations were measured using sector field inductively coupled plasma mass spectrometry in whole krill specimens and in the isolated stomach, digestive gland, muscle, body (whole krill excluding stomach and digestive gland), exoskeleton and faecal pellets. Iron concentrations in stomach (6-98 mg/kg), digestive gland (14-82 mg kg(-1)), and faecal pellet (683-1039 mg kg(-1)) were higher compared to muscle (4-7 mg kg(-1)), exoskeleton (6-15 mg kg(-1)), and body (4-18 mg kg(-1)) indicating that krill may ingest more iron than they require for physiological processes. Iron concentrations in whole krill from March 2012 (10 +/- 3 mg kg(-1)) were significantly lower compared to February 2003 (19 +/- 7 mg kg(-1)) and February 2015 (18 +/- 12 mg kg(-1)). Overall, the iron concentrations in krill from this study were consistently at the lower end of the published range. We propose that the large range in reported whole iron concentrations of krill can be accounted for by a combination of seasonal and regional differences in sampling, reflecting differences in the quantity and quality of their diet.</t>
  </si>
  <si>
    <t>[Ratnarajah, Lavenia; Nicol, Stephen; Lannuzel, Delphine; Bowie, Andrew R.] Univ Tasmania, Inst Marine &amp; Antarctic Studies, Hobart, Tas, Australia; [Ratnarajah, Lavenia; Nicol, Stephen; Lannuzel, Delphine; Meiners, Klaus M.; Bowie, Andrew R.] Univ Tasmania, Antarctic Climate &amp; Ecosyst Cooperat Res Ctr, Hobart, Tas, Australia; [Kawaguchi, So; Meiners, Klaus M.] Australian Antarctic Div, Kingston, Tas, Australia; [Townsend, Ashley T.] Univ Tasmania, Cent Sci Lab, Hobart, Tas, Australia</t>
  </si>
  <si>
    <t>Ratnarajah, L (corresponding author), Univ Tasmania, Inst Marine &amp; Antarctic Studies, Hobart, Tas, Australia.;Ratnarajah, L (corresponding author), Univ Tasmania, Antarctic Climate &amp; Ecosyst Cooperat Res Ctr, Hobart, Tas, Australia.</t>
  </si>
  <si>
    <t>Lavenia.Ratnarajah@utas.edu.au</t>
  </si>
  <si>
    <t>Kawaguchi, So/N-1795-2017; Townsend, Ashley/J-7445-2014; lannuzel, delphine/J-7937-2014; Bowie, Andrew/C-8677-2013</t>
  </si>
  <si>
    <t>Townsend, Ashley/0000-0002-2972-2678; Kawaguchi, So/0000-0002-2042-5095; Ratnarajah, Lavenia/0000-0002-1021-1923; lannuzel, delphine/0000-0001-6154-1837; Bowie, Andrew/0000-0002-5144-7799</t>
  </si>
  <si>
    <t>Australian Government's Cooperative Research Centres Programme through Antarctic Climate and Ecosystem Cooperative Research Centre; Institute for Marine and Antarctic Studies; Holsworth Wildlife Research Endowment; European Union COST Action [ES0801]; ARC LIEF funds [LE0989539]</t>
  </si>
  <si>
    <t>Australian Government's Cooperative Research Centres Programme through Antarctic Climate and Ecosystem Cooperative Research Centre(Australian GovernmentDepartment of Industry, Innovation and ScienceCooperative Research Centres (CRC) Programme); Institute for Marine and Antarctic Studies; Holsworth Wildlife Research Endowment; European Union COST Action; ARC LIEF funds(Australian Research Council)</t>
  </si>
  <si>
    <t>We would like to thank Pier van der Merwe, Fanny Chever, Rob King, Matthieu Bressac, Jess Melbourne-Thomas and Tom Trull for their comments and suggestions during the development of this project and manuscript. Thomas Rodemann of the Central Science Laboratory is acknowledged for performing the carbon determinations. Lastly, to Tino Bowie-Proemse for insightful discussions and a good game of catch. This study was supported by the Australian Government's Cooperative Research Centres Programme through the Antarctic Climate and Ecosystem Cooperative Research Centre, the Institute for Marine and Antarctic Studies, the Holsworth Wildlife Research Endowment, and the European Union COST Action ES0801. Access to ICP-MS instrumentation was supported through ARC LIEF funds (LE0989539).</t>
  </si>
  <si>
    <t>0024-3590</t>
  </si>
  <si>
    <t>1939-5590</t>
  </si>
  <si>
    <t>LIMNOL OCEANOGR</t>
  </si>
  <si>
    <t>Limnol. Oceanogr.</t>
  </si>
  <si>
    <t>10.1002/lno.10322</t>
  </si>
  <si>
    <t>DW4OD</t>
  </si>
  <si>
    <t>WOS:000383621800008</t>
  </si>
  <si>
    <t>Shukla, SK; Crespin, J; Crosta, X</t>
  </si>
  <si>
    <t>Shukla, Sunil Kumar; Crespin, Julien; Crosta, Xavier</t>
  </si>
  <si>
    <t>Thalassiosira lentiginosa size variation and associated biogenic silica burial in the Southern Ocean over the last 42 kyrs</t>
  </si>
  <si>
    <t>MARINE MICROPALEONTOLOGY</t>
  </si>
  <si>
    <t>Southern Ocean; Diatoms; Biometry; Nutrient cycling; Environmental conditions</t>
  </si>
  <si>
    <t>DIATOM FRAGILARIOPSIS-KERGUELENSIS; ANTARCTIC ICE CORES; PAST 800,000 YEARS; IRON FERTILIZATION; ATMOSPHERIC CO2; SEXUAL REPRODUCTION; ATLANTIC SECTOR; CLIMATE; VARIABILITY; SEDIMENTS</t>
  </si>
  <si>
    <t>The diatom Fragilariopsis kerguelensis (O'Meara) Hustedt is thought to be the main carrier of biogenic silica to the Southern Ocean sea-floor, thereby attracting most investigations of diatom biometry. Thalassiosira lentiginosa (Janisch) Fryxell, a large centric diatom which is the second most abundant species in the Southern Ocean, conversely received very little attention to date. We here present the first study on modern sediments to explore the variability of the mean valve area of T. lentiginosa in relation to productivity and modern environmental conditions. Larger T. lentiginosa are observed around the Polar Front Zone with size decreasing both northward and southward as previously observed for F. kerguelensis. Such a pattern neither corresponds to the species productivity changes nor with the iron concentration in surface waters. Conversely, this pattern may be partly due to the low efficiency of Si uptake, internal transport and deposition of silicic acid under conditions which are outside of the species specific temperature range, i.e. at the lower and upper limit of the diatom ecological preferences. We also propose that T. lentiginosa mean valve area variations in four deep-sea cores across the frontal zones in the Atlantic and Indian sectors of the Southern Ocean resulted from changes in sea-surface temperatures and sea-ice presence modulating the species ability to make use nutrient stocks and controlling the length of its growing season, respectively. Our results also indicate that T. lentiginosa exported more biogenic silica to the sea-floor than F. kerguelensis over the last 42 kyrs. (C) 2016 Elsevier B.V. All rights reserved.</t>
  </si>
  <si>
    <t>[Shukla, Sunil Kumar] Birbal Sahni Inst Palaeosci, 53 Univ Rd, Lucknow 226007, Uttar Pradesh, India; [Shukla, Sunil Kumar; Crespin, Julien; Crosta, Xavier] Univ Bordeaux, UMR CNRS EPOC 5805, Allee Geoffroy St Hilaire, F-33615 Pessac, France</t>
  </si>
  <si>
    <t>Department of Science &amp; Technology (India); Birbal Sahni Institute of Palaeobotany (BSIP); Universite de Bordeaux; Centre National de la Recherche Scientifique (CNRS); CNRS - National Institute for Earth Sciences &amp; Astronomy (INSU)</t>
  </si>
  <si>
    <t>Shukla, SK (corresponding author), Birbal Sahni Inst Palaeosci, 53 Univ Rd, Lucknow 226007, Uttar Pradesh, India.</t>
  </si>
  <si>
    <t>sunilk_shukla@bsip.res.in</t>
  </si>
  <si>
    <t>Shukla, Sunil/GLR-0323-2022</t>
  </si>
  <si>
    <t>Shukla, Sunil/0000-0002-7517-5564</t>
  </si>
  <si>
    <t>Scientific Committee on Antarctic Research (SCAR Fellowship); CNRS-INSU</t>
  </si>
  <si>
    <t>Scientific Committee on Antarctic Research (SCAR Fellowship); CNRS-INSU(Centre National de la Recherche Scientifique (CNRS))</t>
  </si>
  <si>
    <t>The research presented in the manuscript was funded by Scientific Committee on Antarctic Research (SCAR Fellowship 2010-11 awarded to S.K.S) and carried out at EPOC, Universite de Bordeaux. S.K.S. is thankful to Prof. Sunil Bajpai, Director BSIP for infrastructural facilities and encouragement to publish this research work (BSIP/RDCC/Publication No. 75/2015). X.C. and J.C. were funded by CNRS-INSU. We deeply thank Dr. G. Cortese and one other anonymous reviewer for their constructive comments and to the Regional Editor, Prof. F. Jorissen for his helpful suggestions to improve the quality of manuscript.</t>
  </si>
  <si>
    <t>0377-8398</t>
  </si>
  <si>
    <t>1872-6186</t>
  </si>
  <si>
    <t>MAR MICROPALEONTOL</t>
  </si>
  <si>
    <t>Mar. Micropaleontol.</t>
  </si>
  <si>
    <t>10.1016/j.marmicro.2016.07.006</t>
  </si>
  <si>
    <t>Paleontology</t>
  </si>
  <si>
    <t>DW8ZE</t>
  </si>
  <si>
    <t>WOS:000383943200007</t>
  </si>
  <si>
    <t>Ke, H; Li, F; Zhang, SK; Ma, C; Wang, AX</t>
  </si>
  <si>
    <t>Ke Hao; Li Fei; Zhang Sheng-Kai; Ma Chao; Wang Ai-Xue</t>
  </si>
  <si>
    <t>The determination of absolute sea level changes of the Antarctic coast tidal gauges from 1994 to 2014 and its analysis</t>
  </si>
  <si>
    <t>CHINESE JOURNAL OF GEOPHYSICS-CHINESE EDITION</t>
  </si>
  <si>
    <t>Chinese</t>
  </si>
  <si>
    <t>The Antarctic sea level; GPS; Tidal; Absolute change; 1994-2014</t>
  </si>
  <si>
    <t>PLATE MOTION; GPS</t>
  </si>
  <si>
    <t>The Antarctic region is the birthplace of global sea level change, and it has great scientific significance to study the sea level change surrounding the Antarctica continent. In view of the effect on precision of altimetry caused by floating sea ice in waters around Antarctica, and the tidal cycle aliasing effect is needed to be taken into account when using satellite altimetry sequence to analyze the sea level periodic dynamic changes. For this reason, this paper carried out a research on the absolute sea level change surrounding the Antarctica continent from 1994 to 2014 by using GPS tracking stations and tidal gauges. The results showed that the largest absolute sea level change in all 15 tidal gauges around the Antarctic is 11.10 +/- 0.04 mm . a(-1) at Diego Ramirez station. In the Drake passage adjacent to the Antarctic peninsula, the sea level changes are the most active, where the average change is 8.31 +/- 0.05 mm . a(-1). In the east Antarctica, the absolute sea level changes of four tidal gauges Syowa, Mawson, Davis and Casey, are relatively stable and slow. The average change rate of above four tidal gauges is 3.35 +/- 0.04 mm . a(-1). The absolute sea level change at Scott Base station is as fast as 9.61 +/- 0.07 mm . a(-1), which is nearby Ross Island in the lower right side of Ross ice shelf. According to the sea level change calculation results, it can be concluded that the sea level change rates of the Drake passage adjacent to the Antarctic peninsula and Ross sea are higher than entire southern ocean sea level change. While the latter is approximately equal to the average change rate of four tidal gauges which are located in the east Antarctica. These reflect the sea level change differences among the different sea areas around the Antarctica. As a consequence, partitioned study of sea level change is more desirable and can better understand the ice shelf collapse and melting situation in different areas.</t>
  </si>
  <si>
    <t>[Ke Hao; Li Fei; Zhang Sheng-Kai; Ma Chao] Wuhan Univ, China Antarctic Ctr Surveying &amp; Mapping, Wuhan 430079, Peoples R China; [Wang Ai-Xue] Wuhan Univ, Sch Geodesy &amp; Geomat, Wuhan 430079, Peoples R China</t>
  </si>
  <si>
    <t>Wuhan University; Wuhan University</t>
  </si>
  <si>
    <t>Zhang, SK (corresponding author), Wuhan Univ, China Antarctic Ctr Surveying &amp; Mapping, Wuhan 430079, Peoples R China.</t>
  </si>
  <si>
    <t>kehao1984@whu.edu.cn; zskai@whu.edu.cn</t>
  </si>
  <si>
    <t>SCIENCE PRESS</t>
  </si>
  <si>
    <t>BEIJING</t>
  </si>
  <si>
    <t>16 DONGHUANGCHENGGEN NORTH ST, BEIJING 100717, PEOPLES R CHINA</t>
  </si>
  <si>
    <t>0001-5733</t>
  </si>
  <si>
    <t>CHINESE J GEOPHYS-CH</t>
  </si>
  <si>
    <t>Chinese J. Geophys.-Chinese Ed.</t>
  </si>
  <si>
    <t>10.6038/cjg20160906</t>
  </si>
  <si>
    <t>DV4NW</t>
  </si>
  <si>
    <t>WOS:000382903300006</t>
  </si>
  <si>
    <t>Pezza, A; Sadler, K; Uotila, P; Vihma, T; Mesquita, MDS; Reid, P</t>
  </si>
  <si>
    <t>Pezza, Alexandre; Sadler, Katherine; Uotila, Petteri; Vihma, Timo; Mesquita, Michel D. S.; Reid, Phil</t>
  </si>
  <si>
    <t>Southern Hemisphere strong polar mesoscale cyclones in high-resolution datasets</t>
  </si>
  <si>
    <t>Mesoscale cyclones; Explosive cyclones; Polar lows; Sea ice; Antarctica</t>
  </si>
  <si>
    <t>SOUTHWESTERN ROSS SEA; EXPLOSIVE CYCLOGENESIS; GLOBAL CLIMATOLOGY; NUMERICAL SCHEME; DIGITAL DATA; LOWS; REANALYSIS; TRACKING; ERA-40; OCEAN</t>
  </si>
  <si>
    <t>Mesoscale cyclones are small low-pressure systems (usually &lt; 500 km in radius) that often appear embedded in synoptic structures. These events can be weak and short lived or vigorous and destructive. Here we use an automatic tracking scheme to investigate two subsets of Southern Hemisphere mesoscale cyclones that are strong and have the potential to cause damage, namely polar lows (i.e., strong and short lived) and explosive cyclones (i.e., rapid intensification but not necessarily short lived). A short climatology (2009-2012) is obtained by using high resolution (0.5A degrees) Antarctic Mesoscale Prediction System (AMPS) mean sea level pressure. The results show a significant improvement of spatial detail compared to the 0.75A degrees resolution ERA-interim dataset, with a total count approximately 46 % higher in AMPS. The subset of mesoscale cyclones that are explosive is small, with a total genesis number of about 13 % that of polar lows. In addition, only about 1 % of the polar lows are explosive, suggesting that cyclones that undergo rapid intensification tend to become larger longer lived (and hence are no longer regarded as polar lows). Mesoscale cyclones are more frequent in winter, with a maximum concentration around the Antarctic but also occurring as far north as Tasmania and New Zealand. Analysis of sensible heat flux and sea ice extent anomalies during the genesis days shows that there is a large spread of genesis points over both positive and negative flux anomalies in winter, with a somewhat random pattern in the other seasons.</t>
  </si>
  <si>
    <t>[Pezza, Alexandre] Victoria Univ Wellington, Greater Wellington Reg Council, Wellington, New Zealand; [Sadler, Katherine] Univ Melbourne, Sch Earth Sci, Melbourne, Vic, Australia; [Uotila, Petteri; Vihma, Timo] Finnish Meteorol Inst, Helsinki, Finland; [Mesquita, Michel D. S.] Uni Res Climate, Bergen, Norway; [Mesquita, Michel D. S.] Bjerknes Ctr Climate Res, Bergen, Norway; [Reid, Phil] Bur Meteorol, Hobart, Tas, Australia</t>
  </si>
  <si>
    <t>Victoria University Wellington; University of Melbourne; Melbourne Bioinformatics; Finnish Meteorological Institute; Bjerknes Centre for Climate Research; Bureau of Meteorology - Australia</t>
  </si>
  <si>
    <t>Pezza, A (corresponding author), Victoria Univ Wellington, Greater Wellington Reg Council, Wellington, New Zealand.</t>
  </si>
  <si>
    <t>alex.pezza@vuw.ac.nz</t>
  </si>
  <si>
    <t>Vihma, Timo/ABC-9771-2020; Uotila, Petteri/A-1703-2012; Mesquita, Michel D. S./J-9342-2019</t>
  </si>
  <si>
    <t>Uotila, Petteri/0000-0002-2939-7561; Mesquita, Michel D. S./0000-0002-4556-5414</t>
  </si>
  <si>
    <t>Australian Antarctic Division; Academy of Finland, AMICO Project [263918]; University of Wisconsin-Madison Antarctic Meteorological Research Center (NSF) [ANT-1141908]</t>
  </si>
  <si>
    <t>Australian Antarctic Division; Academy of Finland, AMICO Project; University of Wisconsin-Madison Antarctic Meteorological Research Center (NSF)</t>
  </si>
  <si>
    <t>This work has been financially supported by the Australian Antarctic Division and the Academy of Finland, AMICO Project, under contract 263918. The authors appreciate the support of the University of Wisconsin-Madison Antarctic Meteorological Research Center for the data set, data display, and information (NSF Grant ANT-1141908). Comments provided by three anonymous reviewers significantly helped improve the quality of this work.</t>
  </si>
  <si>
    <t>5-6</t>
  </si>
  <si>
    <t>10.1007/s00382-015-2925-2</t>
  </si>
  <si>
    <t>DU3LK</t>
  </si>
  <si>
    <t>WOS:000382112000019</t>
  </si>
  <si>
    <t>Wang, G; Dommenget, D</t>
  </si>
  <si>
    <t>Wang, Gang; Dommenget, Dietmar</t>
  </si>
  <si>
    <t>The leading modes of decadal SST variability in the Southern Ocean in CMIP5 simulations</t>
  </si>
  <si>
    <t>CMIP5; Southern Ocean; Climate modes; Decadal variability</t>
  </si>
  <si>
    <t>ANTARCTIC CIRCUMPOLAR WAVE; SEA-SURFACE TEMPERATURE; HEMISPHERE CIRCULATION; EXTRATROPICAL CIRCULATION; CLIMATE MODEL; ANNULAR MODES; ICE EXTENT; ZONAL WIND; EOF-MODES; PART I</t>
  </si>
  <si>
    <t>The leading modes of Sea Surface Temperature variability in the Southern Ocean on decadal and even larger time scales are analysed using Coupled Model Intercomparison Project 5 (CMIP5) model simulations and observations. The analysis is based on Empirical Orthogonal Function modes of the CMIP5 model super ensemble. We compare the modes from the CMIP5 super ensemble against several simple null hypotheses, such as isotropic diffusion (red noise) and a Slab Ocean model, to investigate the sources of decadal variability and the physical processes affecting the characteristics of the modes. The results show three main modes in the Southern Ocean: the first and most dominant mode on interannual to decadal time scales is an annular mode with largest amplitudes in the Pacific, which is strongly related to atmospheric forcing by the Southern Annular Mode and El Nino Southern Oscillation. The second mode is an almost basin wide monopole pattern, which has pronounced multi-decadal and longer time scales variability. It is firstly inducted by the Wave-3 patterns in the atmosphere and further developed via ocean dynamics. The third mode is a dipole pattern in the southern Pacific that has a pronounced peak in the power spectrum at multi-decadal time scales. All three leading modes found in the CMIP5 super model have distinct patterns and time scale behaviour that can not be explained by simple stochastic null hypothesis, thus all three leading modes are ocean-atmosphere coupled modes and are likely to be substantially influenced or driven by ocean dynamical processes.</t>
  </si>
  <si>
    <t>[Wang, Gang; Dommenget, Dietmar] Monash Univ, Sch Earth Atmosphere &amp; Environm, Clayton, Vic 3800, Australia</t>
  </si>
  <si>
    <t>Monash University</t>
  </si>
  <si>
    <t>Wang, G (corresponding author), Monash Univ, Sch Earth Atmosphere &amp; Environm, Clayton, Vic 3800, Australia.</t>
  </si>
  <si>
    <t>gang.wang@monash.edu</t>
  </si>
  <si>
    <t>Dommenget, Dietmar/B-9828-2011</t>
  </si>
  <si>
    <t>Dommenget, Dietmar/0000-0002-5129-7719</t>
  </si>
  <si>
    <t>ARC Centre of Excellence in Climate System Science [CE110001028]</t>
  </si>
  <si>
    <t>ARC Centre of Excellence in Climate System Science(Australian Research Council)</t>
  </si>
  <si>
    <t>We like to thank Dr. Claudia Frauen for fruitful discussions and comments. The comments of anonymous referees have helped to improve the presentation of this study substantially. The ARC Centre of Excellence in Climate System Science (CE110001028) supported this study. The Slab Ocean model simulations were computed on the National Computational Infrastructure in Canberra.</t>
  </si>
  <si>
    <t>10.1007/s00382-015-2932-3</t>
  </si>
  <si>
    <t>WOS:000382112000026</t>
  </si>
  <si>
    <t>Buonocore, F; Bernini, C; Coscia, MR; Giacomelli, S; de Pascale, D; Randelli, E; Stocchi, V; Scapigliati, G</t>
  </si>
  <si>
    <t>Buonocore, Francesco; Bernini, Chiara; Coscia, Maria Rosaria; Giacomelli, Stefano; de Pascale, Donatella; Randelli, Elisa; Stocchi, Valentina; Scapigliati, Giuseppe</t>
  </si>
  <si>
    <t>Immune response of the Antarctic teleost Trematornus bernacchii to immunization with Psychrobacter sp (TAD1)</t>
  </si>
  <si>
    <t>FISH &amp; SHELLFISH IMMUNOLOGY</t>
  </si>
  <si>
    <t>Trematomus bernacchii; Immunization; Psychrobacter TAD1; IgM; IgT; Lymphocytes</t>
  </si>
  <si>
    <t>NOTOTHENIA-CORIICEPS; RAINBOW-TROUT; HEAD KIDNEY; FISH; GENES; IMMUNOGLOBULINS; SYSTEM; L.; TRANSCRIPTOME; LYMPHOCYTES</t>
  </si>
  <si>
    <t>Adult Trematomus bernacchii have been immunized intraperitoneally with heat-killed cells of the Antarctic marine bacterium Psychrobacter sp. (TAD1) up to 60 days. After immunizations and sampling at various times, fish sera were tested for specific IgM by ELISA, and different tissues (head kidney and spleen) were investigated for transcription of master genes of the acquired immune response (IgM, IgT, TR beta, TR gamma). Results from ELISA assays showed a time-dependent induction of specific serum anti-TAD1 IgM, and western blot analysis of TAD1 lysates probed with fish sera revealed enhanced immunoreactivity in immunized animals compared to controls. Quantitative PCR analysis of transcripts coding for IgM, IgT, TR beta, TR gamma was performed in T. bernacchii tissues to assess basal expression, and then on cDNAs of cells from head kidney and spleen of fish injected for 8, 24, and 72 h with inactivated TAD1. The results showed a differential basal expression of transcripts in the examined tissues, and a time-dependent strong up-regulation of IgT, TR beta, TR gamma genes upon in vivo stimulation with TAD1. These results represent a first in vivo study on the mounting of a specific immune response in an Antarctic teleost species. (C) 2016 Published by Elsevier Ltd.</t>
  </si>
  <si>
    <t>[Buonocore, Francesco; Bernini, Chiara; Stocchi, Valentina; Scapigliati, Giuseppe] Univ Tuscia, Dipartimento Innovaz Biol Agroalimentare &amp; Forest, Viterbo, Italy; [Coscia, Maria Rosaria; Giacomelli, Stefano; de Pascale, Donatella] CNR, Ist Biochim Prot, Naples, Italy</t>
  </si>
  <si>
    <t>Tuscia University; Consiglio Nazionale delle Ricerche (CNR); Istituto di Biochimica delle Proteine (IBP-CNR)</t>
  </si>
  <si>
    <t>Scapigliati, G (corresponding author), Univ Tuscia, Dept DIBAF, I-01100 Viterbo, Italy.</t>
  </si>
  <si>
    <t>scapigg@unitus.it</t>
  </si>
  <si>
    <t>Coscia, Maria Rosaria/AAU-1808-2021; Buonocore, Francesco/AAA-5236-2020</t>
  </si>
  <si>
    <t>Buonocore, Francesco/0000-0001-8045-5651; Coscia, Maria Rosaria/0000-0002-8273-7123; scapigliati, giuseppe/0000-0001-9730-9394</t>
  </si>
  <si>
    <t>Italian National Programme of Antarctic Research (PNRA) [2009/A1.12]</t>
  </si>
  <si>
    <t>Italian National Programme of Antarctic Research (PNRA)</t>
  </si>
  <si>
    <t>The work was performed under the Italian National Programme of Antarctic Research (PNRA), project 2009/A1.12.</t>
  </si>
  <si>
    <t>1050-4648</t>
  </si>
  <si>
    <t>1095-9947</t>
  </si>
  <si>
    <t>FISH SHELLFISH IMMUN</t>
  </si>
  <si>
    <t>Fish Shellfish Immunol.</t>
  </si>
  <si>
    <t>10.1016/j.fsi.2016.07.009</t>
  </si>
  <si>
    <t>Fisheries; Immunology; Marine &amp; Freshwater Biology; Veterinary Sciences</t>
  </si>
  <si>
    <t>DV9WF</t>
  </si>
  <si>
    <t>WOS:000383292200019</t>
  </si>
  <si>
    <t>Ianniello, A; Spataro, F; Salvatori, R; Valt, M; Nardino, M; Björkman, MP; Esposito, G; Montagnoli, M</t>
  </si>
  <si>
    <t>Ianniello, Antonietta; Spataro, Francesca; Salvatori, Rosamaria; Valt, Mauro; Nardino, Marianna; Bjorkman, Mats P.; Esposito, Giulio; Montagnoli, Mauro</t>
  </si>
  <si>
    <t>Air-snow exchange of reactive nitrogen species at Ny-lesund, Svalbard (Arctic)</t>
  </si>
  <si>
    <t>RENDICONTI LINCEI-SCIENZE FISICHE E NATURALI</t>
  </si>
  <si>
    <t>Arctic region; Snow surface; Nitrogen oxides; Nitric acid; Particulate nitrate; Nitrogen fluxes</t>
  </si>
  <si>
    <t>PEROXYACETYL NITRATE PAN; SURFACE-AREA; GAS-PHASE; PHOTOCHEMICAL PRODUCTION; ZEPPELIN MOUNTAIN; ANTARCTIC PLATEAU; BOUNDARY-LAYER; NORTH-ATLANTIC; ALERT 2000; SUMMIT</t>
  </si>
  <si>
    <t>Measurements of atmospheric concentrations and fluxes of reactive nitrogen (NO, NO2, HNO3, NO3 (-) (fine) and NO3 (-) (coarse)) above the snow surface were performed from 29 March to 30 April 2010 at Ny-lesund, Svalbard. Determinations of chemical and physical properties of snow were also carried out. Both NO and NO2 showed clear diurnal cycles with noontime maxima and nighttime minima. Significant emission fluxes of NO and NO2 were observed, reaching noontime values up to 19.42 and 25.20 pmol/m(2) s, respectively. The snow surface was the source of NO and NO2 but these observed releases were small due to almost alkaline snow environment and chemical forms of snow NO3 (-). Significant deposition fluxes of HNO3, fine and coarse particulate NO3 (-) fluxes were also observed, reaching peak values up to -18.00, -37.80 and -12.50 pmol/m(2) s, respectively, during snowfall events. Measurements of surface snow provided experimental data that the total contribution of dry deposition of these species to the NO3 (-) -N in the snow was about 24 %. However, wet deposition in falling snow seemed to be the major contribution to the nitrate input to the snow.</t>
  </si>
  <si>
    <t>[Ianniello, Antonietta; Spataro, Francesca; Salvatori, Rosamaria; Esposito, Giulio; Montagnoli, Mauro] CNR, Inst Atmospher Pollut Res, Via Salaria Km 29-3,CP10, I-00015 Rome, Italy; [Valt, Mauro] ARPAV Arabba Avalanche Ctr, I-32020 Arabba, Belluno, Italy; [Nardino, Marianna] CNR, Inst Biometeorol, Via Gobetti 101, I-40129 Bologna, Italy; [Bjorkman, Mats P.] Univ Gothenburg, Dept Earth Sci, POB 460, S-40530 Gothenburg, Sweden</t>
  </si>
  <si>
    <t>Consiglio Nazionale delle Ricerche (CNR); Istituto Sull'inquinamento Atmosferico (IIA-CNR); Consiglio Nazionale delle Ricerche (CNR); Istituto di Biometeorologia (IBIMET-CNR); University of Gothenburg</t>
  </si>
  <si>
    <t>Ianniello, A (corresponding author), CNR, Inst Atmospher Pollut Res, Via Salaria Km 29-3,CP10, I-00015 Rome, Italy.</t>
  </si>
  <si>
    <t>ianniello@iia.cnr.it</t>
  </si>
  <si>
    <t>Ianniello, A./B-5344-2015; Nardino, Marianna/B-9563-2015</t>
  </si>
  <si>
    <t>Ianniello, A./0000-0003-2843-7135; SALVATORI, ROSAMARIA/0000-0002-0430-0751; esposito, giulio/0000-0002-7057-155X</t>
  </si>
  <si>
    <t>SPRINGER-VERLAG ITALIA SRL</t>
  </si>
  <si>
    <t>MILAN</t>
  </si>
  <si>
    <t>VIA DECEMBRIO, 28, MILAN, 20137, ITALY</t>
  </si>
  <si>
    <t>2037-4631</t>
  </si>
  <si>
    <t>1720-0776</t>
  </si>
  <si>
    <t>REND LINCEI-SCI FIS</t>
  </si>
  <si>
    <t>Rend. Lincei.-Sci. Fis. Nat.</t>
  </si>
  <si>
    <t>10.1007/s12210-016-0536-4</t>
  </si>
  <si>
    <t>DV1GQ</t>
  </si>
  <si>
    <t>WOS:000382669200005</t>
  </si>
  <si>
    <t>Salzano, R; Lanconelli, C; Salvatori, R; Esposito, G; Vitale, V</t>
  </si>
  <si>
    <t>Salzano, Roberto; Lanconelli, Christian; Salvatori, Rosamaria; Esposito, Giulio; Vitale, Vito</t>
  </si>
  <si>
    <t>Continuous monitoring of spectral albedo of snowed surfaces in Ny-lesund</t>
  </si>
  <si>
    <t>Snow; Spectral albedo; Bi-hemispherical reflectance; Snow metamorphism</t>
  </si>
  <si>
    <t>INFRARED REFLECTANCE; BLACK CARBON; GRAIN-SIZE; COVER; AREA; RETRIEVAL; MODEL; LIGHT</t>
  </si>
  <si>
    <t>Polar areas are the most sensitive targets of climate change. From this perspective, the continuous monitoring of the cryosphere represents a critical issue, which, at the moment, we can only partially supply with specific satellite missions. Furthermore, the integration between remote-sensed multi-spectral images and field data is crucial to validate retrieval algorithms. The micro-physical characteristics of the snow surface and the presence of liquid water in the first layer of the snowpack can be determined in addition to the spatial distribution of snow/ice covers. The aim of this work is to present the field activity carried out in Ny-lesund (Svalbard Islands, Norway), where an unmanned apparatus was installed to provide continuous spectral surface albedo. A full-range approach was adopted during the 2014 spring/summer period at the CNR Climate Change Tower. This setup was obtained using a spectroradiometer with a spectral range between 350 and 2500 nm integrated with a remote cosine receiver, characterized by a field of view of about 180A degrees, mounted on a rotating support. The system was integrated with a camera aimed to acquire sky and ground images. The first results assessed the feasibility of continuous monitoring the spectral variations of snowed surfaces during the melting period. This study represents a first attempt to associate snow metamorphism to spectral variations and it supports the identification of relevant correlations with meteorological parameters.</t>
  </si>
  <si>
    <t>[Salzano, Roberto] Natl Res Council Italy, Inst Atmospher Pollut Res, Via Madonna del Piano 10, I-50019 Sesto Fiorentino, FI, Italy; [Lanconelli, Christian; Vitale, Vito] Natl Res Council Italy, Inst Atmospher Sci &amp; Climate, Via Piero Gobetti 101, I-40129 Bologna, Italy; [Salvatori, Rosamaria; Esposito, Giulio] Natl Res Council Italy, Inst Atmospher Pollut Res, Via Salaria Km 29,300, I-00015 Monterotondo, RM, Italy</t>
  </si>
  <si>
    <t>Consiglio Nazionale delle Ricerche (CNR); Istituto Sull'inquinamento Atmosferico (IIA-CNR); Consiglio Nazionale delle Ricerche (CNR); Istituto di Scienze dell'Atmosfera e del Clima (ISAC-CNR); Consiglio Nazionale delle Ricerche (CNR); Istituto Sull'inquinamento Atmosferico (IIA-CNR)</t>
  </si>
  <si>
    <t>Salzano, R (corresponding author), Natl Res Council Italy, Inst Atmospher Pollut Res, Via Madonna del Piano 10, I-50019 Sesto Fiorentino, FI, Italy.</t>
  </si>
  <si>
    <t>salzano@iia.cnr.it</t>
  </si>
  <si>
    <t>Lanconelli, Christian/Q-5848-2018; vitale, vito/AAW-8441-2021; Salzano, Roberto/AAY-7642-2020</t>
  </si>
  <si>
    <t>Lanconelli, Christian/0000-0002-9545-1255; Salzano, Roberto/0000-0002-0750-0097; SALVATORI, ROSAMARIA/0000-0002-0430-0751; vitale, vito/0000-0003-0978-8976; esposito, giulio/0000-0002-7057-155X</t>
  </si>
  <si>
    <t>Italian National Antarctic Research [PNRA-2013/AC3.06]; ARtico: cambiamento Climatico Attuale ed eventi estremi del passato (ARCA)</t>
  </si>
  <si>
    <t>Italian National Antarctic Research; ARtico: cambiamento Climatico Attuale ed eventi estremi del passato (ARCA)</t>
  </si>
  <si>
    <t>This work has been carried out in the framework of the project Study of the Radiative Regimes over the Antarctic Plateau and beyond (STRRAP-b)'' included in the Italian National Antarctic Research Program (Grant PNRA-2013/AC3.06). The activity in Ny-Alesund was also supported by the project ARtico: cambiamento Climatico Attuale ed eventi estremi del passato (ARCA)'' Granted by MIUR-FOE 2012 (CNR Premiale'' 25/2012). The instrument setup has been prepared with the technical support of Ubaldo Bonafe at ISAC-CNR. Precipitation data downloaded from the e-Klima web-portal were provided by the Norwegian Meteorological Institute.</t>
  </si>
  <si>
    <t>10.1007/s12210-016-0513-y</t>
  </si>
  <si>
    <t>WOS:000382669200014</t>
  </si>
  <si>
    <t>Shimadzu, H; Foster, SD; Darnell, R</t>
  </si>
  <si>
    <t>Shimadzu, Hideyasu; Foster, Scott D.; Darnell, Ross</t>
  </si>
  <si>
    <t>Imperfect observations in ecological studies</t>
  </si>
  <si>
    <t>ENVIRONMENTAL AND ECOLOGICAL STATISTICS</t>
  </si>
  <si>
    <t>Compound distributions; Detection probability; Ecological modelling; Marine surveys; Sampling; Species distribution models (SDMs)</t>
  </si>
  <si>
    <t>RAREFACTION DIVERSITY MEASUREMENT; SPECIES DISTRIBUTION MODELS; MULTISPECIES TRAWL CATCHES; N-MIXTURE MODELS; ABUNDANCE; SIZE; DISTRIBUTIONS; POPULATION; COUNTS; SAMPLE</t>
  </si>
  <si>
    <t>Every ecological data set is the result of sampling the biota at sampling locations. Such samples are rarely a census of the biota at the sampling locations and so will inherently contain biases. It is crucial to account for the bias induced by sampling if valid inference on biodiversity quantities is to be drawn from the observed data. The literature on accounting for sampling effects is large, but most are dedicated to the specific type of inference required, the type of analysis performed and the type of survey undertaken. There is no general and systematic approach to sampling. Here, we explore the unification of modelling approaches to account for sampling. We focus on individuals in ecological communities as the fundamental sampling element, and show that methods for accounting for sampling at the species level can be equated to individual sampling effects. Particular emphasis is given to the case where the probability of observing an individual, when it is present at the site sampled, is less than one. We call these situations 'imperfect observations'. The proposed framework is easily implemented in standard software packages. We highlight some practical benefits of this formal framework: the ability of predicting the true number of individuals using an expectation that conditions on the observed data, and designing appropriate survey plans accounting for uncertainty due to sampling. The principles and methods are illustrated with marine survey data from tropical northern Australia.</t>
  </si>
  <si>
    <t>[Shimadzu, Hideyasu] Univ St Andrews, Ctr Biol Divers, Dyers Brae House, St Andrews KY16 9TH, Fife, Scotland; [Shimadzu, Hideyasu] Univ St Andrews, Scottish Oceans Inst, Dyers Brae House, St Andrews KY16 9TH, Fife, Scotland; [Shimadzu, Hideyasu] Univ Loughborough, Dept Math Sci, Loughborough LE11 3TU, Leics, England; [Foster, Scott D.] CSIRO, GPO Box 1538, Hobart, Tas 7001, Australia; [Darnell, Ross] CSIRO, POB 2583, Brisbane, Qld 4001, Australia</t>
  </si>
  <si>
    <t>University of St Andrews; University of St Andrews; Loughborough University; Commonwealth Scientific &amp; Industrial Research Organisation (CSIRO); Commonwealth Scientific &amp; Industrial Research Organisation (CSIRO)</t>
  </si>
  <si>
    <t>Shimadzu, H (corresponding author), Univ St Andrews, Ctr Biol Divers, Dyers Brae House, St Andrews KY16 9TH, Fife, Scotland.;Shimadzu, H (corresponding author), Univ St Andrews, Scottish Oceans Inst, Dyers Brae House, St Andrews KY16 9TH, Fife, Scotland.;Shimadzu, H (corresponding author), Univ Loughborough, Dept Math Sci, Loughborough LE11 3TU, Leics, England.</t>
  </si>
  <si>
    <t>hs50@st-andrews.ac.uk; scott.foster@csiro.au; ross.darnell@csiro.au</t>
  </si>
  <si>
    <t>Shimadzu, Hideyasu/E-5649-2010; Darnell, Ross/B-3823-2009; Foster, Scott/E-9311-2010</t>
  </si>
  <si>
    <t>Shimadzu, Hideyasu/0000-0003-0919-8829; Darnell, Ross/0000-0002-7973-6322; Foster, Scott/0000-0002-6719-8002</t>
  </si>
  <si>
    <t>European Research Council (Project BioTIME) [250189]; Marine Biodiversity Hub; Australian Government's National Environmental Research Program (NERP); European Research Council (ERC) [250189] Funding Source: European Research Council (ERC)</t>
  </si>
  <si>
    <t>European Research Council (Project BioTIME); Marine Biodiversity Hub; Australian Government's National Environmental Research Program (NERP)(Australian Government); European Research Council (ERC)(European Research Council (ERC)Spanish Government)</t>
  </si>
  <si>
    <t>Many thanks go to Carolyn Huston and Scott Nichol for their constructive comments and suggestions on an early version of this manuscript. HS acknowledges the support by the European Research Council (Project BioTIME 250189). SDF was supported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Wealth from Oceans National Flagship, Geoscience Australia, Australian Institute of Marine Science, Museum Victoria, Charles Darwin University and the University of Western Australia.</t>
  </si>
  <si>
    <t>1352-8505</t>
  </si>
  <si>
    <t>1573-3009</t>
  </si>
  <si>
    <t>ENVIRON ECOL STAT</t>
  </si>
  <si>
    <t>Environ. Ecol. Stat.</t>
  </si>
  <si>
    <t>10.1007/s10651-016-0342-2</t>
  </si>
  <si>
    <t>Environmental Sciences; Mathematics, Interdisciplinary Applications; Statistics &amp; Probability</t>
  </si>
  <si>
    <t>Environmental Sciences &amp; Ecology; Mathematics</t>
  </si>
  <si>
    <t>DU2BZ</t>
  </si>
  <si>
    <t>WOS:000382017300001</t>
  </si>
  <si>
    <t>Qin, W; Li, WG; Huang, XF; Zhang, DY; Song, Y</t>
  </si>
  <si>
    <t>Qin, Wen; Li, Wei-Guang; Huang, Xiao-Fei; Zhang, Duo-Ying; Song, Yang</t>
  </si>
  <si>
    <t>A proteomic analysis of heterotrophic nitrifying bacterium Acinetobacter sp HITLi 7T adaptation to low temperature using two-dimensional difference gel electrophoresis approach</t>
  </si>
  <si>
    <t>INTERNATIONAL BIODETERIORATION &amp; BIODEGRADATION</t>
  </si>
  <si>
    <t>8th Annual International Conference of Challenges in Environmental Science and Engineering (CESE)</t>
  </si>
  <si>
    <t>SEP 28-OCT 02, 2015</t>
  </si>
  <si>
    <t>Cold adaption; Heterotrophic nitrifying bacterium; Ammonium; Protein expression</t>
  </si>
  <si>
    <t>BACILLUS-SUBTILIS DEPENDS; COLD-SHOCK PROTEINS; ESCHERICHIA-COLI; AEROBIC DENITRIFICATION; STRESS RESPONSES; METHANOCOCCOIDES-BURTONII; ACTIVE TRANSCRIPTION; ANTARCTIC ARCHAEON; AMMONIUM REMOVAL; DRINKING-WATER</t>
  </si>
  <si>
    <t>Acinetobacter sp. HITLi 7(T) showed capacity of heterotrophic nitrification at 2 degrees C with an optimum growth temperature of 20 degrees C. The ammonium removal rates were 0.09 and 0.24 mg l(-1), h(-1) at 2 degrees C and 20 degrees C respectively. Cell growth and proliferation affected ammonium removal performance of HITLi 7(T) dramatically at low temperature. To investigate the influence of low temperature on protein expression, the response of HITLi 7(T) cultivated at 2 degrees C and 20 degrees C were characterized and compared by 2-dimensional proteome analyses. A total of 151 proteins were identified to be differentially expressed by the analysis of PDQuest 2D gel analysis software. In comparison to protein expression at 20 degrees C, 17, 28, and 43 protein spots were found to be up-regulated, down-regulated and only present at 2 degrees C, respectively. 9 spots, which were overexpressed or induced at low temperature, were successfully identified by peptide mass fingerprinting by matrix-assisted laser desorption ionization-time-of-flight mass spectrometry. The significantly up-regulated proteins at 2 degrees C were related to metabolism. The proteins only present at 2 degrees C had functions of protein biosynthesis and refolding. These findings indicated that cold adaption of HITLi 7(T) relied on regulation of metabolic pathways, synthesis of proteins and protein refolding. (C) 2016 Elsevier Ltd. All rights reserved.</t>
  </si>
  <si>
    <t>[Qin, Wen; Li, Wei-Guang; Huang, Xiao-Fei; Zhang, Duo-Ying; Song, Yang] Harbin Inst Technol, Sch Municipal &amp; Environm Engn, Harbin 150090, Peoples R China; [Li, Wei-Guang; Huang, Xiao-Fei] State Key Lab Urban Water Resource &amp; Environm, Harbin 150090, Peoples R China</t>
  </si>
  <si>
    <t>Harbin Institute of Technology</t>
  </si>
  <si>
    <t>Huang, XF (corresponding author), State Key Lab Urban Water Resource &amp; Environm, Harbin 150090, Peoples R China.;Li, WG (corresponding author), Harbin Inst Technol, Sch Municipal &amp; Environm Engn, State Key Lab Urban Water Resource &amp; Environm, Harbin 150090, Peoples R China.</t>
  </si>
  <si>
    <t>qinwenhit@163.com; hitliwg@126.com; hxf7777@126.com; duo0314@163.com; songyang0725102@126.com</t>
  </si>
  <si>
    <t>li, weiguang/O-1118-2014; Zhang, Duo/GYU-8678-2022</t>
  </si>
  <si>
    <t>0964-8305</t>
  </si>
  <si>
    <t>1879-0208</t>
  </si>
  <si>
    <t>INT BIODETER BIODEGR</t>
  </si>
  <si>
    <t>Int. Biodeterior. Biodegrad.</t>
  </si>
  <si>
    <t>10.1016/j.ibiod.2016.03.009</t>
  </si>
  <si>
    <t>Biotechnology &amp; Applied Microbiology; Environmental Sciences</t>
  </si>
  <si>
    <t>Biotechnology &amp; Applied Microbiology; Environmental Sciences &amp; Ecology</t>
  </si>
  <si>
    <t>DT5NB</t>
  </si>
  <si>
    <t>WOS:000381528800017</t>
  </si>
  <si>
    <t>Wennrich, V; Andreev, AA; Tarasov, PE; Fedorov, G; Zhao, WW; Gebhardt, CA; Meyer-Jacob, C; Snyder, JA; Nowaczyk, NR; Schwamborn, G; Chapligin, B; Anderson, PM; Lozhkin, AV; Minyuk, PS; Koeberl, C; Melles, M</t>
  </si>
  <si>
    <t>Wennrich, Volker; Andreev, Andrei A.; Tarasov, Pavel E.; Fedorov, Grigory; Zhao, Wenwei; Gebhardt, Catalina A.; Meyer-Jacob, Carsten; Snyder, Jeffrey A.; Nowaczyk, Norbert R.; Schwamborn, Georg; Chapligin, Bernhard; Anderson, Patricia M.; Lozhkin, Anatoly V.; Minyuk, Pavel S.; Koeberl, Christian; Melles, Martin</t>
  </si>
  <si>
    <t>Impact processes, permafrost dynamics, and climate and environmental variability in the terrestrial Arctic as inferred from the unique 3.6 Myr record of Lake El'gygytgyn, Far East Russia - A review</t>
  </si>
  <si>
    <t>2nd International Conference of the Palaeo-Arctic-Spatial-and-Temporal-Gateways-Network (PAST Gateways)</t>
  </si>
  <si>
    <t>Trieste, ITALY</t>
  </si>
  <si>
    <t>Lake El'gygytgyn; ICDP; Mid -Pliocene warmth; Arctic amplification; Pliocene/Pleistocene transition; Super-intergiacials; Permafrost dynamics; Impact history</t>
  </si>
  <si>
    <t>NORTHERN-HEMISPHERE GLACIATION; GREENLAND ICE-SHEET; DRILL CORE SAMPLES; LATE PLIOCENE; SEA-ICE; CRATER LAKE; INORGANIC GEOCHEMISTRY; SURFACE TEMPERATURES; SEDIMENT RECORD; POLLEN RECORD</t>
  </si>
  <si>
    <t>Lake El'gygytgyn in Far East Russia is a 3.6 Myr old impact crater lake. Located in an area that has never been affected by Cenozoic glaciations nor desiccation, the unique sediment record of the lake represents the longest continuous sediment archive of the terrestrial Arctic. The surrounding crater is the only impact structure on Earth developed in mostly acid volcanic rocks. Recent studies on the impactite, permafrost, and sediment sequences recovered within the framework of the ICDP El'gygytgyn Drilling Project and multiple pre-site surveys yielded new insight into the bedrock origin and cratering processes as well as permafrost dynamics and the climate and environmental history of the terrestrial Arctic back to the mid-Pliocene. Results from the impact rock section recovered during the deep drilling clearly confirm the impact genesis of the El'gygytgyn crater, but indicate an only very reduced fallback impactite sequence without larger coherent melt bodies. Isotope and element data of impact melt samples indicate a F-type asteroid of mixed composition or an ordinary chondrite as the likely impactor. The impact event caused a long-lasting hydrothermal activity in the crater that is assumed to have persisted for c. 300 kyr. Geochemical and microbial analyses of the permafrost core indicate a subaquatic formation of the lower part during lake-level highstand, but a subaerial genesis of the upper part after a lake-level drop after the Allerod. The isotope signal and ion compositions of ground ice is overprinted by several thaw freeze cycles due to variations in the talik underneath the lake. Modeling results suggest a modern permafrost thickness in the crater of c. 340 m, and further confirm a pervasive character of the talik below Lake El'gygytgyn. The lake sediment sequences shed new leight into the Pliocene and Pleistocene climate and environmental evolution of the Arctic. During the mid-Pliocene, significantly warmer and wetter climatic conditions in western Beringia than today enabled dense boreal forests to grow around Lake Ergygytgyn and, in combination with a higher nutrient flux into the lake, promoted primary production. The exceptional warmth during the mid-Pliocene is in accordance with other marine and terrestrial records from the Arctic and indicates a period of enhanced Arctic amplification. The favourable conditions during the mid-Pliocene were repeatedly interrupted by climate deteriorations, e.g., during Marine Isotope Stage (MIS) M2, when pollen data and sediment proxies indicate a major cooling and the onset of local permafrost around the lake. A gradual vegetation change after c. 3.0 Ma points to the onset of a long-term cooling trend during the Late Pliocene that culminated in major temperature drops, first during MIS G6, and later during MIS 104. These cold events coincide with the onset of an intensified Northern Hemisphere (NH) glaciation and the largest extent of the Cordilleran Ice Sheet, respectively. After the Pliocene/Pleistocene transition, local vegetation and primary production in Lake El'gygtygyn experienced a major change from relatively uniform conditions to a high-amplitude glacial-to-interglacial cyclicity that fluctuated on a dominant 41 kyr obliquity band, but changed to a 100 kyr eccentricity dominance during the Middle Pleistocene transition (MPT) at c. 1.2-0.6 Ma. Periods of exceptional warming in the Pleistocene record of Lake El'gygytgyn with dense boreal forests around and peaks of primary production in the lake are assigned to so-called super-interglacial periods. The occurrence of these super-interglacials well corresponds to collapses of the West Antarctic Ice Sheet (WAIS) recorded in ice-free periods in the ANDRILL core, which suggests strong intrahemispheric teleconnections presumably driven by changes in the thermocline ocean circulation. (C) 2016 Elsevier Ltd. All rights reserved.</t>
  </si>
  <si>
    <t>[Wennrich, Volker; Andreev, Andrei A.; Zhao, Wenwei; Melles, Martin] Univ Cologne, Inst Geol &amp; Mineral, Zuelpicher Str 49a, D-50674 Cologne, Germany; [Andreev, Andrei A.] Kazan Fed Univ, Inst Geol &amp; Petr Technol, Kremlyovskaya Str 18, Kazan 420008, Russia; [Tarasov, Pavel E.] Free Univ Berlin, Inst Geol Sci, Palaeontol Sect, Malteser Str 74-100,Bldg D, D-12249 Berlin, Germany; [Fedorov, Grigory] Arctic &amp; Antarctic Res Inst, Bering St 38, St Petersburg 199397, Russia; [Fedorov, Grigory] St Petersburg State Univ, Inst Earth Sci, 10 Line VO 33, St Petersburg 199178, Russia; [Gebhardt, Catalina A.] Alfred Wegener Inst Polar &amp; Marine Res, Alten Hafen 26, D-27568 Bremerhaven, Germany; [Meyer-Jacob, Carsten] Umea Univ, Dept Ecol &amp; Environm Sci, SE-90187 Umea, Sweden; [Snyder, Jeffrey A.] Bowling Green State Univ, Dept Geol, Bowling Green, OH 43403 USA; [Nowaczyk, Norbert R.] GFZ German Res Ctr Geosci, Helmholtz Ctr Potsdam, D-14473 Potsdam, Germany; [Schwamborn, Georg; Chapligin, Bernhard] Alfred Wegener Inst Polar &amp; Marine Res, Telegrafenberg A43, D-14473 Potsdam, Germany; [Anderson, Patricia M.] Univ Washington, Earth &amp; Space Sci &amp; Quaternary Res Ctr, Seattle, WA 98195 USA; [Lozhkin, Anatoly V.; Minyuk, Pavel S.] Russian Acad Sci, Northeast Interdisciplinary Sci Res Inst, Far East Branch, Portovaya St 16, Magadan 685000, Russia; [Koeberl, Christian] Univ Vienna, Dept Lithospher Res, Althanstr 14, A-1090 Vienna, Austria; [Koeberl, Christian] Nat Hist Museum, Burgring 7, A-1010 Vienna, Austria</t>
  </si>
  <si>
    <t>University of Cologne; Kazan Federal University; Free University of Berlin; Arctic &amp; Antarctic Research Institute; Saint Petersburg State University; Helmholtz Association; Alfred Wegener Institute, Helmholtz Centre for Polar &amp; Marine Research; Umea University; University System of Ohio; Bowling Green State University; Helmholtz Association; Helmholtz-Center Potsdam GFZ German Research Center for Geosciences; Helmholtz Association; Alfred Wegener Institute, Helmholtz Centre for Polar &amp; Marine Research; University of Washington; University of Washington Seattle; Russian Academy of Sciences; University of Vienna</t>
  </si>
  <si>
    <t>Wennrich, V (corresponding author), Univ Cologne, Inst Geol &amp; Mineral, Zuelpicher Str 49a, D-50674 Cologne, Germany.</t>
  </si>
  <si>
    <t>volker.wennrich@uni-koeln.de</t>
  </si>
  <si>
    <t>Fedorov, Grigory/N-5788-2019; IPO, PAGES/JXY-7546-2024; Schwamborn, Georg Johannes/ABC-9636-2020; Meyer-Jacob, Carsten/B-8248-2014; Andreev, Andrei A/J-2701-2015; Gebhardt, Catalina/AHI-6432-2022; Fedorov, Grigory/N-3444-2013; Melles, Martin/J-4070-2012; Wennrich, Volker/I-3435-2012; Tarasov, Pavel/ABG-3993-2020</t>
  </si>
  <si>
    <t>Fedorov, Grigory/0000-0003-2269-4501; Schwamborn, Georg Johannes/0000-0001-9635-0539; Meyer-Jacob, Carsten/0000-0002-8208-496X; Andreev, Andrei A/0000-0002-8745-9636; Gebhardt, Catalina/0000-0002-3227-0676; Fedorov, Grigory/0000-0003-2269-4501; Melles, Martin/0000-0003-0977-9463; Wennrich, Volker/0000-0003-3617-1963; Tarasov, Pavel/0000-0002-7219-5009; Koeberl, Christian/0000-0001-5155-7405</t>
  </si>
  <si>
    <t>SEP 1</t>
  </si>
  <si>
    <t>10.1016/j.quascirev.2016.03.019</t>
  </si>
  <si>
    <t>DU7QK</t>
  </si>
  <si>
    <t>WOS:000382409500015</t>
  </si>
  <si>
    <t>Bates, ML; Bigot, M; Cropp, RA; Engwirda, D; Friedman, CL; Hawker, DW</t>
  </si>
  <si>
    <t>Bates, Michael L.; Bigot, Marie; Cropp, Roger A.; Engwirda, Darren; Friedman, Carey L.; Hawker, Darryl W.</t>
  </si>
  <si>
    <t>ON THE FORMULATION OF ENVIRONMENTAL FUGACITY MODELS AND THEIR NUMERICAL SOLUTIONS</t>
  </si>
  <si>
    <t>ENVIRONMENTAL TOXICOLOGY AND CHEMISTRY</t>
  </si>
  <si>
    <t>Environmental modeling; Persistent organic pollutants (POPs); Environmental partitioning; Fate modeling; Fugacity modeling; State-variable</t>
  </si>
  <si>
    <t>PERSISTENT ORGANIC POLLUTANTS; MASS-BALANCE MODELS; FATE; TRANSPORT; CHEMICALS; SORPTION; VAPORS; OCEAN; STATE; ICE</t>
  </si>
  <si>
    <t>Multimedia models based on chemical fugacity, solved numerically, play an important role in investigating and quantifying the environmental fate of chemicals such as persistent organic pollutants. These models have been used extensively in studying the local and global distribution of chemicals in the environment. The present study describes potential sources of error that may arise from the formulation and numerical solution of environmental fugacity models. The authors derive a general fugacity equation for the rate of change of mass in an arbitrary volume (e.g., an environmental phase). Deriving this general equation makes clear several assumptions that are often not articulated but can be important for successfully applying multimedia fugacity models. It shows that the homogeneity of fugacity and fugacity capacity in a volume (the homogeneity assumption) is fundamental to formulating discretized fugacity models. It also shows that when using the fugacity rather than mass as the state-variable, correction terms may be necessary to accommodate environmental factors such as varying phase temperatures and volume. Neglecting these can lead to conservation errors. The authors illustrate the manifestation of these errors using heuristic multimedia fugacity models. The authors also show that there are easily avoided errors that can arise in mass state-variable models if variables are not updated appropriately in the numerical integration scheme. (C) 2016 SETAC</t>
  </si>
  <si>
    <t>[Bates, Michael L.; Cropp, Roger A.; Hawker, Darryl W.] Griffith Univ, Griffith Sch Environm, Brisbane, Qld, Australia; [Bigot, Marie] Griffith Univ, Environm Futures Res Inst, Brisbane, Qld, Australia; [Engwirda, Darren] MIT, Dept Earth Atmospher &amp; Planetary Sci, Cambridge, MA USA; [Friedman, Carey L.] MIT, Ctr Global Change Sci, 77 Massachusetts Ave, Cambridge, MA 02139 USA</t>
  </si>
  <si>
    <t>Griffith University; Griffith University; Massachusetts Institute of Technology (MIT); Massachusetts Institute of Technology (MIT)</t>
  </si>
  <si>
    <t>Bates, ML (corresponding author), Griffith Univ, Griffith Sch Environm, Brisbane, Qld, Australia.</t>
  </si>
  <si>
    <t>m.bates@griffith.edu.au</t>
  </si>
  <si>
    <t>Cropp, Roger/C-1019-2008</t>
  </si>
  <si>
    <t>Engwirda, Darren/0000-0002-3379-9109; Bigot, Marie/0000-0002-9576-7954</t>
  </si>
  <si>
    <t>Australian Antarctic Science [4121]</t>
  </si>
  <si>
    <t>Australian Antarctic Science</t>
  </si>
  <si>
    <t>The authors thank M. MacLeod, F. Wania, and A. Hogg for helpful discussions and feedback. In addition, we thank 2 anonymous reviewers whose feedback improved the manuscript. The present study was made possible through funding from Australian Antarctic Science grant no. 4121. The numerical solutions to the fugacity models were obtained using the ODE module of SciPy [19] and plotting was done using matplotlib [33].</t>
  </si>
  <si>
    <t>0730-7268</t>
  </si>
  <si>
    <t>1552-8618</t>
  </si>
  <si>
    <t>ENVIRON TOXICOL CHEM</t>
  </si>
  <si>
    <t>Environ. Toxicol. Chem.</t>
  </si>
  <si>
    <t>10.1002/etc.3403</t>
  </si>
  <si>
    <t>Environmental Sciences; Toxicology</t>
  </si>
  <si>
    <t>Environmental Sciences &amp; Ecology; Toxicology</t>
  </si>
  <si>
    <t>DU4MZ</t>
  </si>
  <si>
    <t>WOS:000382188500006</t>
  </si>
  <si>
    <t>Holan, JR; King, CK; Davis, AR</t>
  </si>
  <si>
    <t>Holan, Jessica R.; King, Catherine K.; Davis, Andrew R.</t>
  </si>
  <si>
    <t>SENSITIVITY OF SIX SUBANTARCTIC MARINE INVERTEBRATES TO COMMON METAL CONTAMINANTS</t>
  </si>
  <si>
    <t>Metal toxicity; Marine toxicity tests; Water quality guidelines; Macquarie Island; Echinoderm; Platyhelminthes</t>
  </si>
  <si>
    <t>COPEPOD TIGRIOPUS-JAPONICUS; ACUTE TOXICITY; CARDIAC ACTIVITY; COPPER; TESTS; EXPOSURE; CADMIUM; HARPACTICOIDA; ACCUMULATION; TEMPERATURE</t>
  </si>
  <si>
    <t>A long history of anthropogenic activities in the relatively pristine subantarctic has resulted in areas of accumulated waste and contaminants. Sensitivities to metals of subantarctic and Antarctic species may contrast with related species from temperate and tropical areas because of the unique characteristics of polar biota. In addition, response to contaminants may be delayed, and hence longer exposure periods may be required in toxicity tests with polar species. In the present study, the sensitivity of 6 common subantarctic marine invertebrates to copper, zinc, and cadmium contaminants was determined. Large variations in sensitivities, both between species and between metals within species, were found. The bivalve Gaimardia trapesina and the copepod Harpacticus sp. were the most sensitive to copper, with 7-d median lethal concentration (LC50) values for both species ranging between 28 mu g/L and 62 mu g/L, whereas the copepod Tigriopus angulatus was the most tolerant of copper (7-d Cu LC50 1560 mu g/L). Sensitivity to zinc varied by approximately 1 order of magnitude between species (7-d LC50: 329-3057 mu g/L). Sensitivity to cadmium also varied considerably between species, with 7-d LC50 values ranging from 1612 mu g/L to &gt; 4383 mu g/L. The present study is the first to report the sensitivity of subantarctic marine invertebrate to metals, and contributes significantly to the understanding of latitudinal gradients in the sensitivity of biota to metals. Although sensitivity is highly variable between species, in a global comparison of copepod data, it appears that species from higher latitudes may be more sensitive to copper. (C) 2016 SETAC</t>
  </si>
  <si>
    <t>[Holan, Jessica R.; King, Catherine K.] Australian Antarctic Div, Antarctic Conservat &amp; Management, Kingston, Tas, Australia; [Holan, Jessica R.; Davis, Andrew R.] Univ Wollongong, Ctr Sustainable Ecosyst Solut, Wollongong, NSW 2522, Australia; [Holan, Jessica R.; Davis, Andrew R.] Univ Wollongong, Sch Biol Sci, Wollongong, NSW 2522, Australia</t>
  </si>
  <si>
    <t>Australian Antarctic Division; University of Wollongong; University of Wollongong</t>
  </si>
  <si>
    <t>Holan, JR (corresponding author), Australian Antarctic Div, Antarctic Conservat &amp; Management, Kingston, Tas, Australia.;Holan, JR (corresponding author), Univ Wollongong, Ctr Sustainable Ecosyst Solut, Wollongong, NSW 2522, Australia.;Holan, JR (corresponding author), Univ Wollongong, Sch Biol Sci, Wollongong, NSW 2522, Australia.</t>
  </si>
  <si>
    <t>jrh951@uowmail.edu.au</t>
  </si>
  <si>
    <t>Holan, Jessica/J-5399-2019; King, Catherine K/G-7059-2017; Davis, Andy/H-3607-2011</t>
  </si>
  <si>
    <t>Holan, Jessica/0000-0003-0080-4909; King, Catherine K/0000-0003-3356-0381; Davis, Andy/0000-0002-8146-7424</t>
  </si>
  <si>
    <t>Australian Antarctic Science Grant [AAS 4100]</t>
  </si>
  <si>
    <t>Australian Antarctic Science Grant</t>
  </si>
  <si>
    <t>The authors thank B. Sfiligoj in particular for assistance with field and experimental work, along with the expeditioners to Macquarie Island in 2013/2014 for support of this project. Thanks also to A. Cooper for assistance with ICP-OES data and general help throughout the project and to J. Wasley for comments on earlier drafts of this manuscript. Permits for collections were granted by the Department of Primary Industries, Parks, Water and Environment, Tasmania. This research was supported through an Australian Antarctic Science Grant (AAS 4100) awarded to C. King and through an Australian Postgraduate Award to J. Holan.</t>
  </si>
  <si>
    <t>10.1002/etc.3382</t>
  </si>
  <si>
    <t>WOS:000382188500014</t>
  </si>
  <si>
    <t>Sears, DWG</t>
  </si>
  <si>
    <t>Sears, Derek W. G.</t>
  </si>
  <si>
    <t>The CO chondrites: Major recent Antarctic finds, their thermal and radiation history, and describing the metamorphic history of members of the class</t>
  </si>
  <si>
    <t>CO chondrites; Metamorphism; Thermoluminescence; Antarctic meteorites</t>
  </si>
  <si>
    <t>NATURAL THERMOLUMINESCENCE; TERRESTRIAL AGES; CARBONACEOUS CHONDRITES; TYPE-3 CHONDRITES; OXYGEN-ISOTOPE; PARENT-BODY; METEORITES; LUMINESCENCE; ORBITS; CLASSIFICATION</t>
  </si>
  <si>
    <t>Thermoluminescence (TL) properties of 29 CO chondrites from the Miller Range (MIL) and five chondrites from the Dominion Range (DOM) have been measured. MIL has a relatively strong natural TL signal (19.6 +/- 14.7 krad), while some of the DOM samples have a very weak natural TL signal (&lt;1 krad) whereas others resemble the MIL meteorites. I argue that MIL and some of the DOM samples had a normal perihelion (similar to 1.0 AU) and terrestrial age of similar to 450-700 ka, while some of the DOM samples have a terrestrial age of similar to 100 ka but a perihelion of similar to 0.8 AU. The DOM meteorites also show considerable heterogeneity in their induced TL properties, also suggesting that the DOM fragments represent more than one fall. The induced TL data for the MIL samples studied here are consistent with them all being from a single fragmented meteorite. Small (50 mg) chips have TL properties similar to 500 mg chips, so that the smaller chips are representative, although samples taken from original masses less than similar to 2 g have low natural TL suggesting that they were heated during atmospheric fall. The properties of CO chondrites are reviewed in terms of their petrologic types. Correlations between TL sensitivity, the most quantitative technique for evaluating metamorphic alteration in CO chondrites, and data for olivine composition and heterogeneity, matrix composition, inert gas content, metal composition (Ni, Co, and Cr in the kamacite), bulk carbon, C and O isotopes, graphite ordering, spectral reflectance at 0.8 mu m, and textural characteristics of the ameboid olivine and Ca-rich inclusions are examined. The petrographic types appear to be largely metamorphic in origin with perhaps a minor role for metasomatism. Contrary to recent proposals it is here argued that petrologic type definitions should (1) be specific enough to be meaningful, but broad enough to be simple in application and robust to new developments, (2) be descriptive and not interpretative, (3) should not oversimplify and obscure important class-to-class differences, and (4) take account of all the available information, while avoiding reliance on any one technique or single observation whose application is based on interpretation. With these considerations in mind the petrographic type definitions for CO chondrites are restated and the petrologic type of 3.2 assigned to both the MIL and DOM CO chondrites. (C) 2016 Elsevier Ltd. All rights reserved.</t>
  </si>
  <si>
    <t>[Sears, Derek W. G.] NASA, Ames Res Ctr, Bay Area Environm Res Inst, Space Sci &amp; Astrobiol Div MS 245 3, Mountain View, CA 94035 USA</t>
  </si>
  <si>
    <t>National Aeronautics &amp; Space Administration (NASA); NASA Ames Research Center</t>
  </si>
  <si>
    <t>Sears, DWG (corresponding author), NASA, Ames Res Ctr, Bay Area Environm Res Inst, Space Sci &amp; Astrobiol Div MS 245 3, Mountain View, CA 94035 USA.</t>
  </si>
  <si>
    <t>NASA's Solar System Exploration and Research Virtual Institute</t>
  </si>
  <si>
    <t>I am grateful to Tim Lee and Chris McKay for providing facilities and an exciting research environment at NASA Ames Research Center and I am grateful to Mark Sittloh and his colleagues at the Bay Area Environmental Research Institute for management support. I am also grateful to the Antarctic Meteorite Working Group for providing the samples and the Meteorite Processing Laboratory at Johnson Space Center for so capably handling the sampling. I am also grateful to Hazel Sears for reviewing and proofing this paper, David Sears for help with the statistical analysis, four anonymous journal reviewers who provided much appreciated reviews (which included the suggestion to include Fig. 7), and Chris Herd for organizing these reviews. Finally, I am pleased to acknowledge the Field Investigations to Enable Solar System Science and Exploration team of NASA's Solar System Exploration and Research Virtual Institute (PI: Jennifer Heldmann) for financial support.</t>
  </si>
  <si>
    <t>10.1016/j.gca.2016.05.033</t>
  </si>
  <si>
    <t>DS4LN</t>
  </si>
  <si>
    <t>WOS:000380752700007</t>
  </si>
  <si>
    <t>Valdés-Pineda, R; Pizarro, R; Valdés, JB; Carrasco, JF; García-Chevesich, P; Olivares, C</t>
  </si>
  <si>
    <t>Valdes-Pineda, Rodrigo; Pizarro, Roberto; Valdes, Juan B.; Carrasco, Jorge F.; Garcia-Chevesich, Pablo; Olivares, Claudio</t>
  </si>
  <si>
    <t>Spatio-temporal trends of precipitation, its aggressiveness and concentration, along the Pacific coast of South America (36-49°S)</t>
  </si>
  <si>
    <t>HYDROLOGICAL SCIENCES JOURNAL</t>
  </si>
  <si>
    <t>precipitation trends; climatic aggressiveness; concentration of precipitation; Mann-Kendall; Gumbel PDF; bootstrapping</t>
  </si>
  <si>
    <t>SEA-SURFACE TEMPERATURE; RAINFALL EROSIVITY MAP; CENTRAL CHILE; ATMOSPHERIC CIRCULATION; SPATIAL-DISTRIBUTION; CONCENTRATION INDEX; UNITED-STATES; ANNULAR MODE; CLIMATE; HEMISPHERE</t>
  </si>
  <si>
    <t>Precipitation is the most critical climatic element that directly affects the availability of water resources. The objective of this study was to describe and discuss spatio-temporal patterns of annual precipitation, its aggressiveness, and its concentration along the southwest coast of South America (36 degrees-49 degrees S) from 1930 to 2006. An annual and multi-decadal analysis was applied to 107 sampling stations distributed throughout this region, using the Mann-Kendall test (MK), and the Sampling Uncertainty Analysis (SUA) coupled with Gumbel probability density function (SUA-Gumbel). The analysis revealed positive but not significant trends in annual precipitation and aggressiveness for the region between 36 degrees and 44 degrees S, at least during the last 50years of the analysed period. However, a significant decrease in annual precipitation and aggressiveness was observed between 44 degrees and 49 degrees S during the same period. The annual concentration of precipitation became slightly more seasonal in the last 50years within the entire study area.</t>
  </si>
  <si>
    <t>[Valdes-Pineda, Rodrigo; Valdes, Juan B.; Garcia-Chevesich, Pablo] Univ Arizona, Dept Hydrol &amp; Water Resources, Tucson, AZ 85721 USA; [Valdes-Pineda, Rodrigo; Pizarro, Roberto] Univ Talca, Technol Ctr Environm Hydrol, Talca, Chile; [Carrasco, Jorge F.] Univ Magallanes, Dept Antarctic &amp; Subantarctic Programs, Punta Arenas, Chile; [Olivares, Claudio] Minist Publ Works, Dept Hydrol Coyha, Direcc Reg Aguas DGA Aysen, Coyhaique, Chile</t>
  </si>
  <si>
    <t>University of Arizona; Universidad de Talca; Universidad de Magallanes</t>
  </si>
  <si>
    <t>Valdés-Pineda, R (corresponding author), Univ Arizona, Dept Hydrol &amp; Water Resources, Tucson, AZ 85721 USA.;Valdés-Pineda, R (corresponding author), Univ Talca, Technol Ctr Environm Hydrol, Talca, Chile.</t>
  </si>
  <si>
    <t>rvaldes@email.arizona.edu</t>
  </si>
  <si>
    <t>Carrasco, Jorge/ACG-6766-2022; Carrasco, Jorge/AAC-4799-2021</t>
  </si>
  <si>
    <t>Carrasco, Jorge/0000-0003-2154-5483; Carrasco, Jorge/0000-0003-2154-5483</t>
  </si>
  <si>
    <t>Technological Center of Environmental Hydrology, University of Talca, Chile</t>
  </si>
  <si>
    <t>This study was supported by the Technological Center of Environmental Hydrology, University of Talca, Chile.</t>
  </si>
  <si>
    <t>0262-6667</t>
  </si>
  <si>
    <t>2150-3435</t>
  </si>
  <si>
    <t>HYDROLOG SCI J</t>
  </si>
  <si>
    <t>Hydrol. Sci. J.</t>
  </si>
  <si>
    <t>10.1080/02626667.2015.1085989</t>
  </si>
  <si>
    <t>Water Resources</t>
  </si>
  <si>
    <t>DS8HR</t>
  </si>
  <si>
    <t>WOS:000381024600011</t>
  </si>
  <si>
    <t>Rigual-Hernández, AS; Trull, TW; Bray, SG; Armand, LK</t>
  </si>
  <si>
    <t>Rigual-Hernandez, Andres S.; Trull, Thomas W.; Bray, Stephen G.; Armand, Leanne K.</t>
  </si>
  <si>
    <t>The fate of diatom valves in the Subantarctic and Polar Frontal Zones of the Southern Ocean: Sediment trap versus surface sediment assemblages</t>
  </si>
  <si>
    <t>Diatoms; POC; Sediment traps; Surface sediments; Subantarctic Zone; Polar Frontal Zone</t>
  </si>
  <si>
    <t>EASTERN EQUATORIAL ATLANTIC; BIOGENIC SILICA; SEA-ICE; IRON FERTILIZATION; ORGANIC-CARBON; PARTICLE FLUXES; WORLD OCEAN; CIRCUMPOLAR CURRENT; SEASONAL EVOLUTION; PARTICULATE EXPORT</t>
  </si>
  <si>
    <t>An array of deep ocean sediment traps was initiated in 1997 within the Australian sector of the Southern Ocean, and serviced annually for over a decade (the Subantarctic site is ongoing as part of the Southern Ocean Time Series). Here, we expand on previous findings obtained from the shallow traps (similar to 1000 m depth) in the Polar Frontal Zone (PFZ) and Subantarctic Zone (SAZ) by examining the chemical composition and diatom assemblages collected by sediment traps deployed at bathypelagic depths in the PFZ (1500 m depth; years 1997-1998,19992000 and 2003-2004) and SAZ (2000 and 3800 m; year 1999-2000). Additionally, the diatom assemblages of the surface sediments below the traps were analyzed to document how the seasonal signal is recorded in the sedimentary record. Analysis of the changes of the BSi:POC ratios with depth at both sites confirms previous work suggesting that the decoupling between Si and C cycles in the Southern Ocean is not different from other biogeo-chemical provinces of the world's ocean. Comparison of the seasonal flux pattern registered by the traps indicates that the diatom assemblages in the sediments of the Antarctic Zone and PFZ mainly represent the summer period. In contrast, the assemblages found in the sediments of the SAZ are a reflection of the spring and summer months, a period characterized by a larger variability in chemical and physical parameters. The strong correlation between the POC fluxes and the relative abundance of a group of diatom species (mainly Pseudo-nitzschia and small Fragilariopsis) in the PFZ traps suggest that there is an intimate relationship between the development of these species and the POC pulses to the deepest layers of the water column in this region. Interestingly, analysis of the diatom assemblages in the surface sediments reveals that the strong dissolution in the sediment-water interface removed the signal of these carbon sinkers from the sedimentary record leaving the sediment assemblage enriched in heavily silicified species. (C) 2016 Elsevier B.V. All rights reserved.</t>
  </si>
  <si>
    <t>[Rigual-Hernandez, Andres S.; Armand, Leanne K.] Macquarie Univ, Dept Biol Sci, N Ryde, NSW 2109, Australia; [Trull, Thomas W.; Bray, Stephen G.] Univ Tasmania, Antarctic Climate &amp; Ecosyst Cooperat Res Ctr, Hobart, Tas 7001, Australia; [Trull, Thomas W.] CSIRO Oceans &amp; Atmosphere Flagship, Hobart, Tas 7001, Australia</t>
  </si>
  <si>
    <t>Macquarie University; Antarctic Climate &amp; Ecosystems Cooperative Research Centre (ACE CRC); University of Tasmania; Commonwealth Scientific &amp; Industrial Research Organisation (CSIRO)</t>
  </si>
  <si>
    <t>Rigual-Hernández, AS (corresponding author), Macquarie Univ, Dept Biol Sci, N Ryde, NSW 2109, Australia.</t>
  </si>
  <si>
    <t>andres.rigualhernandez@gmail.com</t>
  </si>
  <si>
    <t>Armand, Leanne K/C-9004-2009; Rigual-Hernández, Andrés/E-2041-2018</t>
  </si>
  <si>
    <t>Rigual-Hernández, Andrés/0000-0003-1521-3896; Armand, Leanne/0000-0003-3995-308X</t>
  </si>
  <si>
    <t>Australian Antarctic Sciences [AAS1156, AA2256]; US National Science Foundation Office of Polar Programs; Belgian Science and Policy Office; CSIRO Marine Laboratories; Australian Integrated Marine Observing System; Australian Government's Australian Antarctic Science Grant Program [4078]; Macquarie University</t>
  </si>
  <si>
    <t>Australian Antarctic Sciences; US National Science Foundation Office of Polar Programs(National Science Foundation (NSF)); Belgian Science and Policy Office; CSIRO Marine Laboratories(Commonwealth Scientific &amp; Industrial Research Organisation (CSIRO)); Australian Integrated Marine Observing System; Australian Government's Australian Antarctic Science Grant Program(Australian Government); Macquarie University</t>
  </si>
  <si>
    <t>The SAZ Project sediment trap moorings have received support the Australian Antarctic Sciences awards AAS1156 and AA2256 (T. Trull), the US National Science Foundation Office of Polar Programs (R. Francois, T. Trull, S. Honjo and S. Manganini), the Belgian Science and Policy Office (F. Dehairs), CSIRO Marine Laboratories, and the Australian Integrated Marine Observing System (of which they are currently a component of the IMOS Southern Ocean Time Series Facility; www.imos.org.au). The present work was made possible by the Australian Government's Australian Antarctic Science Grant Program (Project number 4078) and Macquarie University (A. Rigual-Hernandez and L. Armand). Dr Alexandra L. King (Geosciences Australia) is credited for supplying the surface sediment samples used in this study. The chlorophyll-a and PAR data sets and chlorophyll-a visualizations used in this paper were produced with the Giovanni online data system, developed and maintained by the NASA GES DISC. Diana M. Davies is thanked for performing biogeochemical analyses on the trap material. Helpful comments on an early version of the manuscript were given by Emmanuel C. Laurenceau-Cornec. Anne-Marie Ballegeer is acknowledged for her technical support in the preparation of samples and constructive comments on an early draft of the manuscript. The authors are thankful to Jessica Wilks and Kelly Lawler for their help in the microscopy analysis and taxonomic identifications. The authors acknowledge the assistance and support of Nicole Vella and Debra Birch from the Macquarie University Microscopy Unit in the scanning electron microscopy analysis. We also greatly appreciate comments and encouragement provided by Prof. Thierry Correge and an anonymous reviewer.</t>
  </si>
  <si>
    <t>10.1016/j.palaeo.2016.06.004</t>
  </si>
  <si>
    <t>DS2KQ</t>
  </si>
  <si>
    <t>WOS:000380598800010</t>
  </si>
  <si>
    <t>Potocki, M; Mayewski, PA; Kurbatov, AV; Simoes, JC; Dixon, DA; Goodwin, I; Carleton, AM; Handley, MJ; Jaña, R; Korotkikh, EV</t>
  </si>
  <si>
    <t>Potocki, Mariusz; Mayewski, Paul A.; Kurbatov, Andrei V.; Simoes, Jefferson C.; Dixon, Daniel A.; Goodwin, Ian; Carleton, Andrew M.; Handley, Michael J.; Jana, Ricardo; Korotkikh, Elena V.</t>
  </si>
  <si>
    <t>Recent increase in Antarctic Peninsula ice core uranium concentrations</t>
  </si>
  <si>
    <t>ATMOSPHERIC ENVIRONMENT</t>
  </si>
  <si>
    <t>Uranium; Pollution; Antarctic Peninsula; Antarctica</t>
  </si>
  <si>
    <t>HEAVY-METALS; COATS LAND; SNOW; CIRCULATION; CHEMISTRY</t>
  </si>
  <si>
    <t>Understanding the distribution of airborne uranium is important because it can result in both chemical and radiological toxicity. Ice cores offer the most robust reconstruction of past atmospheric levels of toxic substances. Here we present the first sub-annually dated, continuously sampled ice core documenting change in U levels in the Southern Hemisphere. The ice core was recovered from the Detroit Plateau, northern Antarctic Peninsula, in 2007 by a joint Brazilian-Chilean-US team. It displays a significant increase in U concentration that coincides with reported mining activities in the Southern Hemisphere, notably Australia. Raw U concentrations in the Detroit Plateau ice core increased by as much as 102 between the 1980s and 2000s accompanied by increased variability in recent years. Decadal mean U concentrations increased by a factor of similar to 3 from 1980 to 2007, reaching a mean of 205 pg/L from 2000 to 2007. The fact that other terrestrial source dust elements such as Ce, La, Pr, and Ti do not show a similar increase and that the increased U concentrations are enriched above natural crustal levels, supports an anthropogenic source for the U as opposed to a change in atmospheric circulation. (C) 2016 The Authors. Published by Elsevier Ltd.</t>
  </si>
  <si>
    <t>[Potocki, Mariusz; Mayewski, Paul A.; Kurbatov, Andrei V.; Simoes, Jefferson C.; Dixon, Daniel A.; Handley, Michael J.; Korotkikh, Elena V.] Univ Maine, Climate Change Inst, Orono, ME 04469 USA; [Potocki, Mariusz; Mayewski, Paul A.; Kurbatov, Andrei V.; Korotkikh, Elena V.] Univ Maine, Sch Earth &amp; Climate Sci, Orono, ME 04469 USA; [Simoes, Jefferson C.] Univ Fed Rio Grande do Sul, Ctr Polar &amp; Climat, Porto Alegre, RS, Brazil; [Goodwin, Ian] Macquarie Univ, Dept Environm &amp; Geog Environm Sci, N Ryde, NSW 2109, Australia; [Carleton, Andrew M.] Penn State Univ, Dept Geog, University Pk, PA 16802 USA; [Carleton, Andrew M.] Penn State Univ, Earth &amp; Environm Syst Inst, University Pk, PA 16802 USA; [Jana, Ricardo] Inst Antartico Chileno INACH, Punta Arenas, Chile</t>
  </si>
  <si>
    <t>University of Maine System; University of Maine Orono; University of Maine System; University of Maine Orono; Universidade Federal do Rio Grande do Sul; Macquarie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</si>
  <si>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Potocki, M (corresponding author), Univ Maine, Climate Change Inst, Orono, ME 04469 USA.</t>
  </si>
  <si>
    <t>mariusz.potocki@maine.edu</t>
  </si>
  <si>
    <t>Jaña, Ricardo/AAR-1225-2020; Mayewski, Paul Andrew/HRD-6969-2023; Simoes, Jefferson Cardia/D-7232-2013</t>
  </si>
  <si>
    <t>Jaña, Ricardo/0000-0003-3319-1168; Simoes, Jefferson Cardia/0000-0001-5555-3401; Goodwin, Ian/0000-0001-8682-6409; Kurbatov, Andrei/0000-0002-9819-9251</t>
  </si>
  <si>
    <t>National Science Foundation [1203640, 1042883]; National Oceanographic and Atmospheric Administration [NA08OAR4310867]; Brazilian National Council for Scientific and Technological Development (CNPq) [557053/2009-9]</t>
  </si>
  <si>
    <t>National Science Foundation(National Science Foundation (NSF)); National Oceanographic and Atmospheric Administration(National Oceanic Atmospheric Admin (NOAA) - USA); Brazilian National Council for Scientific and Technological Development (CNPq)(Conselho Nacional de Desenvolvimento Cientifico e Tecnologico (CNPQ))</t>
  </si>
  <si>
    <t>This work was funded by grants from the National Science Foundation (1203640, 1042883) and National Oceanographic and Atmospheric Administration (NA08OAR4310867) to Paul Mayewski, with additional support from the Brazilian National Council for Scientific and Technological Development (CNPq, 557053/2009-9) to Jefferson C. Simoes, Universidade Federal do Rio Grande do Sul. Field logistics provided by Instituto Antartico Chileno, Universidad de Magallanes, Oscar Viel Icebreaker, Fuerza Aerea de Chile, Alejo Contreras Staeding and Aerovias DAP and personal of Chilean base Escudero in King George Island. Data used in this paper are available at National Snow and Ice Data Center (http://nsidc.org/data). The authors gratefully acknowledge the NOAA Air Resources Laboratory (ARL) for the provision of the HYSPLIT transport and dispersion model and/or READY website (http://www.ready.noaa. gov) used in this publication.</t>
  </si>
  <si>
    <t>1352-2310</t>
  </si>
  <si>
    <t>1873-2844</t>
  </si>
  <si>
    <t>ATMOS ENVIRON</t>
  </si>
  <si>
    <t>Atmos. Environ.</t>
  </si>
  <si>
    <t>10.1016/j.atmosenv.2016.06.010</t>
  </si>
  <si>
    <t>DR7MG</t>
  </si>
  <si>
    <t>WOS:000380083200034</t>
  </si>
  <si>
    <t>Li, Z; Xing, MX; Wang, W; Wang, D; Zhu, JC; Sun, M</t>
  </si>
  <si>
    <t>Li Zhao; Xing Mengxin; Wang Wei; Wang Dan; Zhu Jiancheng; Sun Mi</t>
  </si>
  <si>
    <t>Phylogenetic diversity of culturable bacteria in surface seawater from the Drake Passage, Antarctica</t>
  </si>
  <si>
    <t>CHINESE JOURNAL OF OCEANOLOGY AND LIMNOLOGY</t>
  </si>
  <si>
    <t>Antarctic; surface seawater; culturable bacteria; phylogenetic diversity; catalase activities</t>
  </si>
  <si>
    <t>KING GEORGE ISLAND; RNA GENE SEQUENCE; HYDROGEN-PEROXIDE; SEA-ICE; FREE-RADICALS; BACTERIOPLANKTON; COMMUNITY; COASTAL; WATERS; INACTIVATION</t>
  </si>
  <si>
    <t>The Drake Passage is located between the Antarctic Peninsula and Tierra del Fuego in the south of South America. Surface seawater samples were collected at seven sites in the Drake Passage during the austral summer of 2012. The 16S rRNA sequences were analyzed from 187 isolated bacterial strains. Three phyla, 29 genera and 56 species were identified. The three phyla were Actinobacteria, Firmicutes and Proteobacteria; the Proteobacteria included alpha-Proteobacteria, beta-Proteobacteria and gamma-Proteobacteria. gamma-Proteobacteria, Actinobacteria and Firmicutes were the dominant class or phyla in terms of quantity and species. Gram-positive bacteria (Actinobacteria and Firmicutes) accounted for 57.8% of all types identified. There were nine dominant genera, including Curtobacterium, Staphylococcus, and Halomonas, and 14 dominant species including Curtobacterium flaccumfaciens, Curtobacterium pusillum, and Staphylococcus sciuri. Of the strains identified, 87.2% were catalase positive or weakly positive.</t>
  </si>
  <si>
    <t>[Li Zhao; Xing Mengxin; Wang Wei; Wang Dan; Zhu Jiancheng; Sun Mi] Chinese Acad Fishery Sci, Yellow Sea Fisheries Res Inst, Res Ctr Qual &amp; Safety Marine Biol Resources &amp; Con, Key Lab Sustainable Dev Marine Fisheries,Minist A, Qingdao 266000, Peoples R China</t>
  </si>
  <si>
    <t>Chinese Academy of Fishery Sciences; Yellow Sea Fisheries Research Institute, CAFS</t>
  </si>
  <si>
    <t>Sun, M (corresponding author), Chinese Acad Fishery Sci, Yellow Sea Fisheries Res Inst, Res Ctr Qual &amp; Safety Marine Biol Resources &amp; Con, Key Lab Sustainable Dev Marine Fisheries,Minist A, Qingdao 266000, Peoples R China.</t>
  </si>
  <si>
    <t>sunmi@ysfri.ac.cn</t>
  </si>
  <si>
    <t>Natural Science Foundation of China-United Fund [U1406402-5]; Postdoctoral Researcher Applied Research Project Funding of Qingdao, China [Q51201407]; International Cooperation and Exchanges in Science and Technology [2014DFG30890]</t>
  </si>
  <si>
    <t>Natural Science Foundation of China-United Fund(National Natural Science Foundation of China (NSFC)); Postdoctoral Researcher Applied Research Project Funding of Qingdao, China; International Cooperation and Exchanges in Science and Technology</t>
  </si>
  <si>
    <t>Supported by the Natural Science Foundation of China-United Fund (No. U1406402-5), the Postdoctoral Researcher Applied Research Project Funding of Qingdao, China (No. Q51201407), and the International Cooperation and Exchanges in Science and Technology (No. 2014DFG30890)</t>
  </si>
  <si>
    <t>16 DONGHUANGCHENGGEN NORTH ST, Building 5, Room 411, BEIJING, 100009, PEOPLES R CHINA</t>
  </si>
  <si>
    <t>0254-4059</t>
  </si>
  <si>
    <t>1993-5005</t>
  </si>
  <si>
    <t>CHIN J OCEANOL LIMN</t>
  </si>
  <si>
    <t>Chin. J. Oceanol. Limnol.</t>
  </si>
  <si>
    <t>10.1007/s00343-016-5132-z</t>
  </si>
  <si>
    <t>DR2LW</t>
  </si>
  <si>
    <t>WOS:000379737000007</t>
  </si>
  <si>
    <t>Yu, LY; Sun, GJ; Wei, JF; Wang, YZ; Du, C; Li, J</t>
  </si>
  <si>
    <t>Yu Leiye; Sun Guojie; Wei Jingfang; Wang Yingze; Du Chao; Li Jiang</t>
  </si>
  <si>
    <t>Activation of macrophages by an exopolysaccharide isolated from Antarctic Psychrobacter sp B-3</t>
  </si>
  <si>
    <t>exopolysaccharide (EPS); Antarctic bacterium; RAW264.7; TLR4; NF-kappa B</t>
  </si>
  <si>
    <t>NF-KAPPA-B; POLYSACCHARIDES; RECEPTORS</t>
  </si>
  <si>
    <t>An exopolysaccharide (EPS) was isolated and purified from an Antarctic psychrophilic bacterium B-3, identified as Psychrobacter sp., and the activation of RAW264.7 cells by B-3 EPS was investigated. The results show that B-3 EPS, over a certain concentration range, promoted cell viability, nitric oxide production, tumor necrosis factor (TNF) a secretion, and phagocytic ability. Furthermore, TAK-242, an inhibitor of the toll-like receptor 4 (TLR4) significantly reduced nitric oxide production by these cells after stimulation with B-3 EPS. Moreover, B-3 EPS induced p65 phosphorylation and I kappa B alpha degradation in these cells. In conclusion, B-3 EPS might have activated RAW264.7 cells by combining with TLR4 on cell surface and triggering activation of NF-kappa B signaling pathways, implying that this EPS could activate macrophages and regulate initial immune response.</t>
  </si>
  <si>
    <t>[Yu Leiye; Sun Guojie; Wei Jingfang; Wang Yingze; Du Chao] Hebei Univ Sci &amp; Technol, Coll Bioscience &amp; Bioengn, Shijiazhuang 050018, Peoples R China; [Li Jiang] State Ocean Adm, Inst Oceanog 1, Key Lab Marine Bioact Subst, Qingdao 266061, Peoples R China</t>
  </si>
  <si>
    <t>Hebei University of Science &amp; Technology; First Institute of Oceanography, Ministry of Natural Resources</t>
  </si>
  <si>
    <t>Li, J (corresponding author), State Ocean Adm, Inst Oceanog 1, Key Lab Marine Bioact Subst, Qingdao 266061, Peoples R China.</t>
  </si>
  <si>
    <t>lijiang@fio.org.cn</t>
  </si>
  <si>
    <t>yingze, wang/H-4974-2018; , lijiang/AAD-4033-2021</t>
  </si>
  <si>
    <t>yingze, wang/0000-0003-2775-5166</t>
  </si>
  <si>
    <t>Chinese Polar Environment Comprehensive Investigation &amp; Assessment Programs [CHINARE2013-01-05]; National Science &amp; Technology Major Project [2011ZX8001-003]; Hebei Province Science &amp; Technology Support Program [12220407D]; National Natural Science Foundation of China [31100715]</t>
  </si>
  <si>
    <t>Chinese Polar Environment Comprehensive Investigation &amp; Assessment Programs; National Science &amp; Technology Major Project; Hebei Province Science &amp; Technology Support Program; National Natural Science Foundation of China(National Natural Science Foundation of China (NSFC))</t>
  </si>
  <si>
    <t>Supported by the Chinese Polar Environment Comprehensive Investigation &amp; Assessment Programs (No. CHINARE2013-01-05), the National Science &amp; Technology Major Project (No. 2011ZX8001-003), the Hebei Province Science &amp; Technology Support Program (No. 12220407D), and the National Natural Science Foundation of China (No. 31100715)</t>
  </si>
  <si>
    <t>16 DONGHUANGCHENGGEN NORTH ST, BEIJING, 100717, PEOPLES R CHINA</t>
  </si>
  <si>
    <t>10.1007/s00343-016-4393-x</t>
  </si>
  <si>
    <t>WOS:000379737000018</t>
  </si>
  <si>
    <t>Sokolov, S; Gordeev, I; Lebedeva, D</t>
  </si>
  <si>
    <t>Sokolov, Sergey; Gordeev, Ilya; Lebedeva, Daria</t>
  </si>
  <si>
    <t>Redescription of Proctophantastes gillissi (Overstreet et Pritchard, 1977) (Trematoda: Zoogonidae) with discussion on the systematic position of the genus Proctophantastes Odhner, 1911</t>
  </si>
  <si>
    <t>ACTA PARASITOLOGICA</t>
  </si>
  <si>
    <t>Zoogonidae; Lepidophyllinae; Proctophantastes gillissi; Muraenolepis marmorata; 28S rDNA; Antarctic</t>
  </si>
  <si>
    <t>DIGENEA; PLATYHELMINTHES; CLASSIFICATION; FISHES</t>
  </si>
  <si>
    <t>The redescription of Proctophantastes gillissi (Overstreet et Pritchard, 1977) (Trematoda: Zoogonidae) was made on specimens collected from Muraenolepis marmorata Gunther, 1880 (Gadiformes) caught in the Ross Sea and the Amundsen Sea (Antarctic). The fish is a new host of this parasite. Phylogenetic relations of P. gillissi were inferred by Maximum Likelihood and Bayesian inference analysis of partial sequences from 28S rDNA. The findings from analysis of the molecular data are not consistent with the traditional point of view about the position of the genus Proctophantastes Odhner, 1911 in the subfamily Lepidophyllinae. The taxonomical position of the genus needs further revision.</t>
  </si>
  <si>
    <t>[Sokolov, Sergey] AN Severtsov Inst Ecol &amp; Evolut RAS, Ctr Parasitol, 33 Leninskij Prosp, Moscow 119071, Russia; [Gordeev, Ilya] Russian Fed Res Inst Fisheries &amp; Oceanog, V Krasnoselskaya Str 17, Moscow 107140, Russia; [Lebedeva, Daria] Inst Biol Karelian Res Ctr RAS, Pushkinskaya Str 11, Petrozavodsk 185910, Russia</t>
  </si>
  <si>
    <t>Russian Academy of Sciences; Saratov Scientific Center of the Russian Academy of Sciences; Severtsov Institute of Ecology &amp; Evolution; Research lnstitute of Fisheries &amp; Oceanography; Russian Academy of Sciences; Karelian Research Centre of the Russian Academy of Sciences; Institute of Biology of Karelian Research Centre RAS</t>
  </si>
  <si>
    <t>Lebedeva, D (corresponding author), Inst Biol Karelian Res Ctr RAS, Pushkinskaya Str 11, Petrozavodsk 185910, Russia.</t>
  </si>
  <si>
    <t>daryal78@gmail.com</t>
  </si>
  <si>
    <t>Sokolov, Sergey/AAC-3505-2022; Lebedeva, Daria/ITV-6835-2023; Gordeev, Ilya/F-2972-2017</t>
  </si>
  <si>
    <t>Sokolov, Sergey/0000-0002-4822-966X; Lebedeva, Daria/0000-0002-9185-3900; Gordeev, Ilya/0000-0002-6650-9120</t>
  </si>
  <si>
    <t>RFBR [15-29-02528, 0221-2014-0004]</t>
  </si>
  <si>
    <t>RFBR(Russian Foundation for Basic Research (RFBR))</t>
  </si>
  <si>
    <t>The authors wish to thank Research Zoologist Anna J. Phillips, PhD (Smithsonian Institution, Washington, USA) for essential help with examination of the Proctophantastes gillissi holotype stored in the National Museum of Natural History. The work was supported by RFBR grant # 15-29-02528 and state order 0221-2014-0004.</t>
  </si>
  <si>
    <t>SPRINGER INT PUBL AG</t>
  </si>
  <si>
    <t>CHAM</t>
  </si>
  <si>
    <t>GEWERBESTRASSE 11, CHAM, CH-6330, SWITZERLAND</t>
  </si>
  <si>
    <t>1230-2821</t>
  </si>
  <si>
    <t>1896-1851</t>
  </si>
  <si>
    <t>ACTA PARASITOL</t>
  </si>
  <si>
    <t>Acta Parasitolog.</t>
  </si>
  <si>
    <t>10.1515/ap-2016-0070</t>
  </si>
  <si>
    <t>Parasitology; Veterinary Sciences; Zoology</t>
  </si>
  <si>
    <t>EB0QB</t>
  </si>
  <si>
    <t>WOS:000387048300012</t>
  </si>
  <si>
    <t>Cornford, SL; Martin, DF; Lee, V; Payne, AJ; Ng, EG</t>
  </si>
  <si>
    <t>Cornford, S. L.; Martin, D. F.; Lee, V.; Payne, A. J.; Ng, E. G.</t>
  </si>
  <si>
    <t>Adaptive mesh refinement versus subgrid friction interpolation in simulations of Antarctic ice dynamics</t>
  </si>
  <si>
    <t>ice dynamics; ice streams; ice-sheet modelling</t>
  </si>
  <si>
    <t>GROUNDING LINE; SHEET MODELS; PARAMETERIZATION; COLLAPSE</t>
  </si>
  <si>
    <t>At least in conventional hydrostatic ice-sheet models, the numerical error associated with grounding line dynamics can be reduced by modifications to the discretization scheme. These involve altering the integration formulae for the basal traction and/or driving stress close to the grounding line and exhibit lower - if still first-order - error in the MISMIP3d experiments. MISMIP3d may not represent the variety of real ice streams, in that it lacks strong lateral stresses, and imposes a large basal traction at the grounding line. We study resolution sensitivity in the context of extreme forcing simulations of the entire Antarctic ice sheet, using the BISICLES adaptive mesh ice-sheet model with two schemes: the original treatment, and a scheme, which modifies the discretization of the basal traction. The second scheme does indeed improve accuracy - by around a factor of two - for a given mesh spacing, but. 1 km resolution is still necessary. For example, in coarser resolution simulations Thwaites Glacier retreats so slowly that other ice streams divert its trunk. In contrast, with. 1 km meshes, the same glacier retreats far more quickly and triggers the final phase of West Antarctic collapse a century before any such diversion can take place.</t>
  </si>
  <si>
    <t>[Cornford, S. L.; Lee, V.; Payne, A. J.] Univ Bristol, Sch Geog Sci, Ctr Polar Observat &amp; Modelling, Bristol, Avon, England; [Martin, D. F.; Ng, E. G.] Lawrence Berkeley Natl Lab, Computat Res Div, Berkeley, CA USA</t>
  </si>
  <si>
    <t>University of Bristol; United States Department of Energy (DOE); Lawrence Berkeley National Laboratory</t>
  </si>
  <si>
    <t>Cornford, SL (corresponding author), Univ Bristol, Sch Geog Sci, Ctr Polar Observat &amp; Modelling, Bristol, Avon, England.</t>
  </si>
  <si>
    <t>s.l.cornford@bristol.ac.uk</t>
  </si>
  <si>
    <t>payne, antony/A-8916-2008</t>
  </si>
  <si>
    <t>payne, antony/0000-0001-8825-8425; Martin, Daniel/0000-0003-4488-2538; Cornford, Stephen/0000-0003-1844-274X</t>
  </si>
  <si>
    <t>NERC CPOM project; iSTAR project; iGlass consortium project; Scientific Discovery through Advanced Computing (SciDAC) project - US Department of Energy, Office of Science, Advanced Scientific Computing Research and Biological and Environmental Research [DE-AC02-05CH11231]; Office of Science of the US Department of Energy [DE-AC0-205CH11231]; NERC [NE/J005738/1, NE/I010874/1, cpom30001] Funding Source: UKRI; Natural Environment Research Council [NE/I010874/1, NE/J005738/1, cpom30001] Funding Source: researchfish</t>
  </si>
  <si>
    <t>NERC CPOM project; iSTAR project; iGlass consortium project; Scientific Discovery through Advanced Computing (SciDAC) project - US Department of Energy, Office of Science, Advanced Scientific Computing Research and Biological and Environmental Research(United States Department of Energy (DOE)); Office of Science of the US Department of Energy(United States Department of Energy (DOE)); NERC(UK Research &amp; Innovation (UKRI)Natural Environment Research Council (NERC)); Natural Environment Research Council(UK Research &amp; Innovation (UKRI)Natural Environment Research Council (NERC))</t>
  </si>
  <si>
    <t>Work at the University of Bristol was supported by the NERC CPOM, iSTAR and iGlass consortium projects. Work at Lawrence Berkeley National Laboratory was supported by the Scientific Discovery through Advanced Computing (SciDAC) project funded by the US Department of Energy, Office of Science, Advanced Scientific Computing Research and Biological and Environmental Research under Contract No. DE-AC02-05CH11231. Simulations were carried out using the computational facilities of the Advanced Computing Research Centre, University of Bristol, and resources of the National Energy Research Scientific Computing Center, a DOE Office of Science User Facility supported by the Office of Science of the US Department of Energy under Contract No. DE-AC0-205CH11231. We thank the editor, Jo Jacka, and two anonymous referees for their contributions to this paper.</t>
  </si>
  <si>
    <t>10.1017/aog.2016.13</t>
  </si>
  <si>
    <t>WOS:000388953800002</t>
  </si>
  <si>
    <t>Siegert, MJ; Ross, N; Li, JL; Schroeder, DM; Rippin, D; Ashmore, D; Bingham, R; Gogineni, P</t>
  </si>
  <si>
    <t>Siegert, Martin J.; Ross, Neil; Li, Jilu; Schroeder, Dustin M.; Rippin, David; Ashmore, David; Bingham, Robert; Gogineni, Prasad</t>
  </si>
  <si>
    <t>Subglacial controls on the flow of Institute Ice Stream, West Antarctica</t>
  </si>
  <si>
    <t>basal hydrology; ice dynamics; radio-echo sounding; sediments</t>
  </si>
  <si>
    <t>WEDDELL SEA SECTOR; THWAITES GLACIER; EAST ANTARCTICA; SHEET; BED; BENEATH; ONSET; CRYOSAT-2; GEOLOGY; SURFACE</t>
  </si>
  <si>
    <t>The Institute Ice Stream (IIS) rests on a reverse-sloping bed, extending &gt; 150 km upstream into the similar to 1.8 km deep Robin Subglacial Basin, placing it at the threshold of marine ice-sheet instability. Understanding IIS vulnerability has focused on the effect of grounding-line melting, which is forecast to increase significantly this century. Changes to ice-flow dynamics are also important to IIS stability, yet little is known about them. Here we reveal that the trunk of the IIS occurs downstream of the intersection of three discrete subglacial features; a large 'active' subglacial lake, a newly-discovered sharp transition to a zone of weak basal sediments and a major tectonic rift. The border of IIS trunk flow is confined by the sediment on one side, and by a transition between basal melting and freezing at the border with the Bungenstock Ice Rise. By showing how basal sediment and water dictate present-day flow of IIS, we reveal that ice-sheet stability here is dependent on this unusual arrangement.</t>
  </si>
  <si>
    <t>[Siegert, Martin J.] Imperial Coll London, Grantham Inst, London, England; [Siegert, Martin J.] Imperial Coll London, Dept Earth Sci &amp; Engn, London, England; [Ross, Neil] Newcastle Univ, Sch Geog Polit &amp; Sociol, Claremont Rd, Newcastle Upon Tyne, Tyne &amp; Wear, England; [Li, Jilu; Gogineni, Prasad] Univ Kansas, Ctr Remote Sensing Ice Sheets, Lawrence, KS 66045 USA; [Schroeder, Dustin M.] Stanford Univ, Dept Geophys, Stanford, CA 94305 USA; [Rippin, David] Univ York, Environm Dept, York, N Yorkshire, England; [Ashmore, David] Aberystwyth Univ, Ctr Glaciol, Aberystwyth, Dyfed, Wales; [Bingham, Robert] Univ Edinburgh, Sch GeoSci, Edinburgh, Midlothian, Scotland</t>
  </si>
  <si>
    <t>Imperial College London; Imperial College London; Newcastle University - UK; University of Kansas; Stanford University; University of York - UK; Aberystwyth University; University of Edinburgh</t>
  </si>
  <si>
    <t>Siegert, MJ (corresponding author), Imperial Coll London, Grantham Inst, London, England.;Siegert, MJ (corresponding author), Imperial Coll London, Dept Earth Sci &amp; Engn, London, England.</t>
  </si>
  <si>
    <t>m.siegert@imperial.ac.uk</t>
  </si>
  <si>
    <t>Siegert, Martin J/A-3826-2008; Rippin, David Manish/AAW-5063-2021; Siegert, Martin/M-9939-2019; Bingham, Robert G/G-3576-2017; Bingham, Robert/N-2042-2019</t>
  </si>
  <si>
    <t>Siegert, Martin J/0000-0002-0090-4806; Rippin, David Manish/0000-0001-7757-9880; Siegert, Martin/0000-0002-0090-4806; Bingham, Robert G/0000-0002-0630-2021; Ashmore, David/0000-0003-4829-7854; Bingham, Robert/0000-0002-9843-7635; Schroeder, Dustin/0000-0003-1916-3929</t>
  </si>
  <si>
    <t>NASA; NSF; NERC Antarctic Funding Initiative [NE/G013071/1]; NERC [NE/G013071/2, NE/G00465X/3, NE/G013098/2, NE/G013098/1, NE/G013071/1] Funding Source: UKRI; Natural Environment Research Council [NE/G013071/2, NE/G00465X/3, NE/G013098/2, NE/G013071/1, NE/G013098/1] Funding Source: researchfish</t>
  </si>
  <si>
    <t>NASA(National Aeronautics &amp; Space Administration (NASA)); NSF(National Science Foundation (NSF)); NERC Antarctic Funding Initiative(UK Research &amp; Innovation (UKRI)Natural Environment Research Council (NERC)); NERC(UK Research &amp; Innovation (UKRI)Natural Environment Research Council (NERC)); Natural Environment Research Council(UK Research &amp; Innovation (UKRI)Natural Environment Research Council (NERC))</t>
  </si>
  <si>
    <t>Data used for this article are available at the UK Airborne Geophysics Data Portal https://secure.antarctica.ac.uk/data/aerogeo/ and at the Center for the Remote Sensing of Ice Sheets data portal https://data.cresis.ku.edu/. Funding for CReSIS data collection and development of radars is provided by NASA and NSF. M. J. S. and N. R. acknowledge funding by NERC Antarctic Funding Initiative (Ref. NE/G013071/1). Part of the research was carried out at the Jet Propulsion Laboratory, California Institute of Technology, under a contract with the National Aeronautics and Space Administration.</t>
  </si>
  <si>
    <t>10.1017/aog.2016.17</t>
  </si>
  <si>
    <t>WOS:000388953800004</t>
  </si>
  <si>
    <t>Sun, S; Cornford, SL; Gwyther, DE; Gladstone, RM; Galton-Fenzi, BK; Zhao, L; Moore, JC</t>
  </si>
  <si>
    <t>Sun, S.; Cornford, S. L.; Gwyther, D. E.; Gladstone, R. M.; Galton-Fenzi, B. K.; Zhao, L.; Moore, J. C.</t>
  </si>
  <si>
    <t>Impact of ocean forcing on the Aurora Basin in the 21st and 22nd centuries</t>
  </si>
  <si>
    <t>atmosphere/ice/ocean interactions; ice-sheet modelling</t>
  </si>
  <si>
    <t>ANTARCTIC ICE-SHEET; GLACIER; SURFACE; TOTTEN; SYSTEM; FLOW</t>
  </si>
  <si>
    <t>The grounded ice in the Totten and Dalton glaciers is an essential component of the buttressing for the marine-based Aurora basin, and hence their stability is important to the future rate of mass loss from East Antarctica. Totten and Vanderford glaciers are joined by a deep east-west running subglacial trench between the continental ice sheet and Law Dome, while a shallower trench links the Totten and Dalton glaciers. All three glaciers flow into the ocean close to the Antarctic circle and experience ocean-driven ice shelf melt rates comparablewith the Amundsen Sea Embayment. We investigate this combination of trenches and ice shelves with the BISICLES adaptive mesh ice-sheet model and ocean-forcing melt rates derived from two global climate models. We find that ice shelf ablation at a rate comparable with the present day is sufficient to cause widespread grounding line retreat in an east-west direction across Totten and Dalton glaciers, with projected future warming causing faster retreat. Meanwhile, southward retreat is limited by the shallower ocean facing slopes between the coast and the bulk of the Aurora sub-glacial trench. However the two climate models produce completely different future ice shelf basal melt rates in this region: HadCM3 drives increasing sub-ice shelf melting to similar to 2150, while ECHAM5 shows little or no increase in sub-ice shelf melting under the two greenhouse gas forcing scenarios.</t>
  </si>
  <si>
    <t>[Sun, S.; Zhao, L.; Moore, J. C.] Beijing Normal Univ, Coll Global Change &amp; Earth Systerm Sci, Beijing, Peoples R China; [Cornford, S. L.] Univ Bristol, Sch Geog Sci, Bristol BS8 1SS, Avon, England; [Gwyther, D. E.] Univ Tasmania, Inst Marine &amp; Antarctic Studies, Private Bag 129, Hobart, Tas 7001, Australia; [Gwyther, D. E.; Galton-Fenzi, B. K.] Univ Tasmania, Antarctic Climate &amp; Ecosyst Cooperat Res Ctr, Private Bag 80, Hobart, Tas 7001, Australia; [Gladstone, R. M.] ETH, Hydrol &amp; Glaziol VAW, HIA C 58,Honggerbergring 26, CH-8093 Zurich, Switzerland; [Galton-Fenzi, B. K.] Australian Antarctic Div, Kingston, Tas, Australia; [Moore, J. C.] Univ Lapland, Arctic Ctr, PL122, Rovaniemi 96100, Finland</t>
  </si>
  <si>
    <t>Beijing Normal University; University of Bristol; University of Tasmania; Antarctic Climate &amp; Ecosystems Cooperative Research Centre (ACE CRC); University of Tasmania; Swiss Federal Institutes of Technology Domain; ETH Zurich; Australian Antarctic Division; University of Lapland</t>
  </si>
  <si>
    <t>Moore, JC (corresponding author), Beijing Normal Univ, Coll Global Change &amp; Earth Systerm Sci, Beijing, Peoples R China.;Moore, JC (corresponding author), Univ Lapland, Arctic Ctr, PL122, Rovaniemi 96100, Finland.</t>
  </si>
  <si>
    <t>john.moore.bnu@gmail.com</t>
  </si>
  <si>
    <t>Moore, John C/B-2868-2013; Gwyther, David E/Q-2987-2018; Gwyther, David E/O-4880-2017</t>
  </si>
  <si>
    <t>Moore, John C/0000-0001-8271-5787; Gwyther, David E/0000-0002-7218-2785; Gwyther, David E/0000-0002-7218-2785; Cornford, Stephen/0000-0003-1844-274X; Galton-Fenzi, Benjamin Keith/0000-0003-1404-4103</t>
  </si>
  <si>
    <t>China Postdoctoral Science Foundation [212400240]; National Natural Science Foundation of China [41506212]; National Key Science Program for Global Change Research [2012\CB957702, 2015CB953601, 2015CB953602]; US Department of Energy; UK Natural Environment Research Council; NERC [cpom30001] Funding Source: UKRI; Natural Environment Research Council [cpom30001] Funding Source: researchfish</t>
  </si>
  <si>
    <t>China Postdoctoral Science Foundation(China Postdoctoral Science Foundation); National Natural Science Foundation of China(National Natural Science Foundation of China (NSFC)); National Key Science Program for Global Change Research; US Department of Energy(United States Department of Energy (DOE));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</si>
  <si>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supported by China Postdoctoral Science Foundation NO. 212400240; the National Natural Science Foundation of China (41506212); National Key Science Program for Global Change Research NO. 2012 vertical bar CB957702, 2015CB953601 and 2015CB953602. BISICLES development is with financial support provided by the US Department of Energy and the UK Natural Environment Research Council.</t>
  </si>
  <si>
    <t>10.1017/aog.2016.27</t>
  </si>
  <si>
    <t>WOS:000388953800010</t>
  </si>
  <si>
    <t>Wenzel, L; Gilbert, N; Goldsworthy, L; Tesar, C; Mcconnell, M; Okter, M</t>
  </si>
  <si>
    <t>Wenzel, Lauren; Gilbert, Neil; Goldsworthy, Lyn; Tesar, Clive; Mcconnell, Martha; Okter, Melis</t>
  </si>
  <si>
    <t>Polar opposites? Marine conservation tools and experiences in the changing Arctic and Antarctic</t>
  </si>
  <si>
    <t>NATIONAL JURISDICTION; HIGH SEAS; PROTECTED AREAS; SUSTAINABLE USE; BIODIVERSITY; MANAGEMENT; NETWORK; CONVENTION; CHALLENGES</t>
  </si>
  <si>
    <t>1. The polar regions are undergoing vast changes in the land and seascape. They serve as major components of the Earth's climate system and are particularly vulnerable to climate change impacts. Warming temperatures, combined with increased human use and resource extraction, are putting increasing pressure on these vulnerable regions. 2. While the Arctic and Antarctic are distinct from one another in their governance and human use, the 2014 World Parks Congress provided a platform for joint learning on progress and options for protecting marine areas in these unique regions. Though they remain among the remotest places on earth, their important role for global biodiversity, climate processes and economic activity have made them a focus for conservation efforts. 3. Establishing a robust, integrated network of protected areas is one important tool for protecting ecosystem function and enhancing resilience as these regions face climate change impacts as well as increasing pressures for resource exploitation. This paper describes some major efforts to establish marine protected areas (MPAs) in the Arctic and Antarctic and analyses the similarities and differences in marine protection initiatives in the Earth's polar regions. As a basis for the analysis the authors focus on the following two themes: pressures - what are they and how fast are they growing; and governance -are there appropriate governance structures to establish and manage MPAs at appropriate geographic scales? Copyright (C) 2016 John Wiley &amp; Sons, Ltd.</t>
  </si>
  <si>
    <t>[Wenzel, Lauren] NOAA Natl Marine Protected Areas Ctr, Silver Spring, MD USA; [Gilbert, Neil] Constantia Consulting Ltd, Christchurch, New Zealand; [Goldsworthy, Lyn] Australian Natl Univ, Frank Fenner Fdn, Canberra, ACT, Australia; [Mcconnell, Martha] US Coast Guard Acad, New London, CT USA; [Okter, Melis] Middlebury Inst Int Studies, Monterey, CA USA</t>
  </si>
  <si>
    <t>Australian National University</t>
  </si>
  <si>
    <t>Wenzel, L (corresponding author), NOAA Natl Marine Protected Areas Ctr, Silver Spring, MD USA.</t>
  </si>
  <si>
    <t>Gilbert, Neil/AAD-7842-2022</t>
  </si>
  <si>
    <t>Gilbert, Neil/0000-0003-2055-4249; Goldsworthy, Lynda/0000-0003-1426-4915</t>
  </si>
  <si>
    <t>10.1002/aqc.2649</t>
  </si>
  <si>
    <t>Science Citation Index Expanded (SCI-EXPANDED); Social Science Citation Index (SSCI); Conference Proceedings Citation Index - Science (CPCI-S)</t>
  </si>
  <si>
    <t>WOS:000383668500007</t>
  </si>
  <si>
    <t>Nicoll, R; Vick, C; Laffoley, D; Hajduk, T; Zuccarino-Crowe, C; Bianco, M; Russell, S; Flood, K; Parry, L; Keenleyside, K</t>
  </si>
  <si>
    <t>Nicoll, Rob; Vick, Charlotte; Laffoley, Dan; Hajduk, Tracy; Zuccarino-Crowe, Chiara; Bianco, Mariasole; Russell, Sean; Flood, Kathleen; Parry, Lorna; Keenleyside, Karen</t>
  </si>
  <si>
    <t>MPAs, aquatic conservation and connecting people to nature</t>
  </si>
  <si>
    <t>marine protected area; inspiring; engagement; awareness; attitudes; behaviour; aquatic; conservation; biodiversity</t>
  </si>
  <si>
    <t>MARINE PROTECTED AREAS; NORTHWESTERN HAWAIIAN-ISLANDS; ECOSYSTEM-BASED MANAGEMENT; COASTAL ECOSYSTEMS; BIODIVERSITY LOSS; SPATIAL-PATTERNS; PHOENIX ISLANDS; CENTRAL PACIFIC; REEF FISHES; CHALLENGES</t>
  </si>
  <si>
    <t>1. The human affinity for aquatic species and environments is exemplified through the ubiquity of aquatic themed popular culture including a significant portion of global tourism providing access to places linked to aquatic environments. Yet this affinity does not appear to translate to the widespread support required for the achievement of ambitious aquatic biodiversity conservation goals. 2. Achieving conservation goals is contingent upon broad awareness of the values of biodiversity and what can be done to conserve and use it sustainably as embodied by Aichi Biodiversity Target 1. 3. This paper identifies seven lessons to support marine protected area (MPA) managers and ocean conservation professionals to implement programmes that Inspire a New Generation (ING) to learn about, value and conserve aquatic environments: (1) Prioritize Experience; (2) Embrace Technology; (3) Integrate; (4) Focus on Youth; (5) Make it Relevant; (6) Make it Positive; and (7) Engage Other Sectors. 4. These lessons are discussed alongside examples of ING programmes from MPA management authorities and aquatic conservation organizations. The effective application of these lessons requires appropriate levels of institutional commitment and investment in order to achieve success in ING as a precursor to the achievement of aquatic conservation goals. Copyright (C) 2016 John Wiley &amp; Sons, Ltd.</t>
  </si>
  <si>
    <t>[Nicoll, Rob] Antarctic &amp; Southern Ocean Coalit, 1320 19 St NW,Fifth Floor, Washington, DC 20036 USA; [Vick, Charlotte] Mission Blue, Napa, CA USA; [Laffoley, Dan] IUCN, World Commiss Protected Areas, Gland, Switzerland; [Hajduk, Tracy; Zuccarino-Crowe, Chiara] NOAA, Off Natl Marine Sanctuaries, Honolulu, HI USA; [Russell, Sean] Youth Ocean Conservat Summit, Sarasota, FL USA; [Flood, Kathleen] Cascade Game Foundry, Seattle, WA USA; [Parry, Lorna] Ocean Agcy, Chicago, IL USA; [Keenleyside, Karen] Protected Areas Estab &amp; Conservat Directorate Pk, Montreal, PQ, Canada</t>
  </si>
  <si>
    <t>National Oceanic Atmospheric Admin (NOAA) - USA</t>
  </si>
  <si>
    <t>Nicoll, R (corresponding author), Antarctic &amp; Southern Ocean Coalit, 1320 19 St NW,Fifth Floor, Washington, DC 20036 USA.</t>
  </si>
  <si>
    <t>rob@antarcticocean.org</t>
  </si>
  <si>
    <t>Lobo, Diele/I-9106-2012</t>
  </si>
  <si>
    <t>10.1002/aqc.2678</t>
  </si>
  <si>
    <t>WOS:000383668500011</t>
  </si>
  <si>
    <t>Galarza, A; Arce, F; Navedo, JG; Arizaga, J</t>
  </si>
  <si>
    <t>Galarza, Aitor; Arce, Fernando; Navedo, Juan G.; Arizaga, Juan</t>
  </si>
  <si>
    <t>DISPERSAL OF LITTLE EGRETS EGRETTA GARZETTA FROM NORTHERN SPANISH ATLANTIC COLONIES</t>
  </si>
  <si>
    <t>ARDEOLA-INTERNATIONAL JOURNAL OF ORNITHOLOGY</t>
  </si>
  <si>
    <t>estuaries; herons; Iberian Peninsula; natal dispersal; waterbirds</t>
  </si>
  <si>
    <t>POPULATION; WATERBIRDS; CAMARGUE; BIRDS</t>
  </si>
  <si>
    <t>We studied the movements of little egrets Egretta garzetta from breeding colonies in northern Spanish Atlantic estuaries using sighting data of colour-ringed birds. Data on 304 resightings of 95 out of 457 little egrets ringed as chicks in two colonies on the southern Bay of Biscay were analysed. Most egrets (68.9%) were observed less than 50 km from their natal colonies and thus exhibited low dispersal, supporting the view that these birds belong to a resident population breeding along the coasts of the Bay of Biscay. Nearly all resightings (95.5%) occurred in estuaries across an east-west axis corresponding to the Atlantic coast of northern Spain and had a west-biased dispersal direction. We suggest that the recently formed northern Atlantic Spanish population is a consequence of a westward colonisation pattern originating in the French Atlantic colonies.</t>
  </si>
  <si>
    <t>[Galarza, Aitor] Biscay Cty Council, Dept Sustainabil &amp; Environm, Bilbao 48014, Spain; [Galarza, Aitor; Arizaga, Juan] Aranzadi Sci Soc, Dept Ornithol, San Sebastian 20014, Spain; [Arce, Fernando] Univ Tasmania, Inst Marine &amp; Antarctic Studies, Hobart, Tas 7001, Australia; [Navedo, Juan G.] Univ Austral Chile, Inst Ciencias Marinas &amp; Limnol, Valdivia, Chile</t>
  </si>
  <si>
    <t>University of Tasmania; Universidad Austral de Chile</t>
  </si>
  <si>
    <t>Galarza, A (corresponding author), Biscay Cty Council, Dept Sustainabil &amp; Environm, Bilbao 48014, Spain.;Galarza, A (corresponding author), Aranzadi Sci Soc, Dept Ornithol, San Sebastian 20014, Spain.</t>
  </si>
  <si>
    <t>aitorgalarzai@gmail.com</t>
  </si>
  <si>
    <t>Arce, Fernando/0000-0002-7622-3791; Arizaga, Juan/0000-0003-1911-4078</t>
  </si>
  <si>
    <t>Department of Sustainability and Environment of the Biscay County Council</t>
  </si>
  <si>
    <t>We are grateful to the people who collaborated during the fieldwork, especially Jon Hidalgo, Ignacio Garcia, Francisco Martinez, Txomin Diaz, Eneko Diez, Pablo Perez, Alejandro Onrubia and David Arranz. We also wish to thank those birders that shared data on sightings. Ringing was authorised by the Biscay County Council and the Regional Government of Cantabria. The comments of Diego Gil, Pilar Rodriguez and two anonymous referees were of great value in improving an earlier version of this work. This research was partly funded by the Department of Sustainability and Environment of the Biscay County Council.</t>
  </si>
  <si>
    <t>SOC ESPANOLA ORNITOLGIA</t>
  </si>
  <si>
    <t>MELQUIADAS BIENCINTO 34, E-28053 MADRID, SPAIN</t>
  </si>
  <si>
    <t>0570-7358</t>
  </si>
  <si>
    <t>2341-0825</t>
  </si>
  <si>
    <t>ARDEOLA</t>
  </si>
  <si>
    <t>Ardeola</t>
  </si>
  <si>
    <t>10.13157/arla.63.2.2016.sc4</t>
  </si>
  <si>
    <t>DX7NA</t>
  </si>
  <si>
    <t>WOS:000384573300012</t>
  </si>
  <si>
    <t>McGee, J</t>
  </si>
  <si>
    <t>McGee, Jeffrey</t>
  </si>
  <si>
    <t>Climate Justice and Disaster Law</t>
  </si>
  <si>
    <t>ASIA PACIFIC JOURNAL OF ENVIRONMENTAL LAW</t>
  </si>
  <si>
    <t>Book Review</t>
  </si>
  <si>
    <t>[McGee, Jeffrey] Univ Tasmania, Inst Marine &amp; Antarctic Studies, Fac Law, Climate Change Marine &amp; Antarctic Law, Hobart, Tas, Australia</t>
  </si>
  <si>
    <t>McGee, J (corresponding author), Univ Tasmania, Inst Marine &amp; Antarctic Studies, Fac Law, Climate Change Marine &amp; Antarctic Law, Hobart, Tas, Australia.</t>
  </si>
  <si>
    <t>McGee, Jeffrey/K-7322-2015</t>
  </si>
  <si>
    <t>McGee, Jeffrey/0000-0002-2093-5896</t>
  </si>
  <si>
    <t>EDWARD ELGAR PUBLISHING LTD</t>
  </si>
  <si>
    <t>CHELTENHAM</t>
  </si>
  <si>
    <t>THE LYPIATTS, 15 LANSDOWN RD, CHELTENHAM, GLOS GL50 2JA, ENGLAND</t>
  </si>
  <si>
    <t>1385-2140</t>
  </si>
  <si>
    <t>1875-8258</t>
  </si>
  <si>
    <t>ASIA PAC J ENVIRON</t>
  </si>
  <si>
    <t>Asia Pac. J. Environ. Law</t>
  </si>
  <si>
    <t>10.4337/apjel.2016.01.10</t>
  </si>
  <si>
    <t>Environmental Studies; Law</t>
  </si>
  <si>
    <t>Environmental Sciences &amp; Ecology; Government &amp; Law</t>
  </si>
  <si>
    <t>VH6RK</t>
  </si>
  <si>
    <t>WOS:000453948100011</t>
  </si>
  <si>
    <t>Phillips, RA; Gales, R; Baker, GB; Double, MC; Favero, M; Quintana, F; Tasker, ML; Weimerskirch, H; Uhart, M; Wolfaardt, A</t>
  </si>
  <si>
    <t>Phillips, R. A.; Gales, R.; Baker, G. B.; Double, M. C.; Favero, M.; Quintana, F.; Tasker, M. L.; Weimerskirch, H.; Uhart, M.; Wolfaardt, A.</t>
  </si>
  <si>
    <t>The conservation status and priorities for albatrosses and large petrels</t>
  </si>
  <si>
    <t>Anthropogenic impacts; Conservation management; Invasive species; Non-target species; Population trends; Regional fisheries management organisations</t>
  </si>
  <si>
    <t>PELAGIC LONGLINE FISHERIES; WHITE-CHINNED PETRELS; PRINCE EDWARD ISLANDS; AT-SEA DISTRIBUTION; BLACK-BROWED ALBATROSSES; GREY-HEADED ALBATROSSES; MANTLED SOOTY ALBATROSS; SOUTHERN-OCEAN SEABIRDS; YELLOW-NOSED ALBATROSS; CYTOCHROME-B GENE</t>
  </si>
  <si>
    <t>Seabirds are amongst the most globally-threatened, of all groups of birds, and conservation issues specific to albatrosses (Diomedeidae) and large petrels (Procellaria spp. and giant petrels Macronectes spp.) led to drafting of the multi-lateral Agreement on the Conservation of Albatrosses and Petrels (ACAP). Here we review the taxonomy, breeding and foraging distributions, population status and trends, threats and priorities for the 29 species covered by ACAP. Nineteen (66%) are listed as threatened by IUCN, and 11 (38%) are declining. Most have extensive at-sea distributions, and the greatest threat is incidental mortality (bycatch) in industrial pelagic or demersal longline, trawl or artisanal fisheries, often in both national and international waters. Mitigation measures are available that reduce bycatch in most types of fisheries, but some management bodies are yet to make these mandatory, levels of implementation and monitoring of compliance are often inadequate, and there are insufficient observer programmes collecting robust data on bycatch rates. Intentional take, pollution (including plastic ingestion), and threats at colonies affect fewer species than bycatch; however, the impacts of disease (mainly avian cholera) and of predation by introduced species, including feral cats (Felis catus), rats (Rattus spp.) and house mice (Mus musculus), are severe for some breeding populations. Although major progress has been made in recent years in reducing bycatch rates and in controlling or eradicating pests at breeding sites, unless conservation efforts are intensified, the future prospects of many species of albatrosses and large petrels will remain bleak. (C) 2016 Elsevier Ltd. All rights reserved.</t>
  </si>
  <si>
    <t>[Phillips, R. A.] British Antarctic Survey, Nat Environm Res Council, High Cross,Madingley Rd, Cambridge CB3 0ET, England; [Gales, R.] 259 Howden Rd, Howden, Tas, Australia; [Baker, G. B.] Inst Marine &amp; Antarctic Studies IMAS Hobart, Private Bag 129, Hobart, Tas 7001, Australia; [Double, M. C.] Australian Antarctic Div, 203 Channel Highway, Kingston, Tas 7050, Australia; [Favero, M.] CONICET UNMDP, IIMyC, Mar Del Plata, Argentina; [Quintana, F.] Consejo Nacl Invest Cient &amp; Tecn, Inst Biol Organismos Marines IBIOMAR, Puerto Madryn U9120ACD, Chubut, Argentina; [Tasker, M. L.] Joint Nat Conservat Comm, Inverdee House,Baxter St, Aberdeen AB11 9QA, Scotland; [Weimerskirch, H.] CNRS, Ctr Etud Biol Chize, F-79360 Villiers En Bois, France; [Uhart, M.] Univ Calif Davis, Sch Vet Med, Hlth Inst 1, Davis, CA 95616 USA; [Wolfaardt, A.] POB 64, ZA-6602 Crags, South Africa</t>
  </si>
  <si>
    <t>UK Research &amp; Innovation (UKRI); Natural Environment Research Council (NERC); NERC British Antarctic Survey; Australian Antarctic Division; Consejo Nacional de Investigaciones Cientificas y Tecnicas (CONICET); National University of Mar del Plata; Consejo Nacional de Investigaciones Cientificas y Tecnicas (CONICET); Centre National de la Recherche Scientifique (CNRS); University of California System; University of California Davis</t>
  </si>
  <si>
    <t>Phillips, RA (corresponding author), British Antarctic Survey, Nat Environm Res Council, High Cross,Madingley Rd, Cambridge CB3 0ET, England.</t>
  </si>
  <si>
    <t>raphil@bas.ac.uk</t>
  </si>
  <si>
    <t>Weimerskirch, Henri/F-5562-2013; Weimerskirch, Henri/K-7306-2019; Favero, Marco/AGF-7428-2022</t>
  </si>
  <si>
    <t>Weimerskirch, Henri/0000-0002-0457-586X; Favero, Marco/0000-0003-1293-3417; Baker, G. Barry/0000-0003-4766-8182; Quintana, Flavio/0000-0003-0696-2545</t>
  </si>
  <si>
    <t>Natural Environment Research Council [bas0100035, bas0100025] Funding Source: researchfish; NERC [bas0100035, bas0100025] Funding Source: UKRI</t>
  </si>
  <si>
    <t>10.1016/j.biocon.2016.06.017</t>
  </si>
  <si>
    <t>DY0JJ</t>
  </si>
  <si>
    <t>WOS:000384782800019</t>
  </si>
  <si>
    <t>Bennett, KR; Hogg, ID; Adams, BJ; Hebert, PDN</t>
  </si>
  <si>
    <t>Bennett, Kristi R.; Hogg, Ian D.; Adams, Byron J.; Hebert, Paul D. N.</t>
  </si>
  <si>
    <t>High levels of intraspecific genetic divergences revealed for Antarctic springtails: evidence for small-scale isolation during Pleistocene glaciation</t>
  </si>
  <si>
    <t>Collembola; glaciation; population genetics; refugia; Ross Sea region; springtails</t>
  </si>
  <si>
    <t>SOUTHERN VICTORIA LAND; GOMPHIOCEPHALUS-HODGSONI; COLLEMBOLA; MOUNTAINS; VARIABILITY; DIVERSITY; PATTERNS; PLIOCENE; ISLANDS; HISTORY</t>
  </si>
  <si>
    <t>We examined levels of genetic variability within and among populations of three Antarctic springtail species (Arthropoda: Collembola) and tested the hypothesis that genetic divergences occur among glacially-isolated habitats. The study was conducted in southern Victoria Land, Ross Dependency, Antarctica, and samples were collected from locations in the vicinity of the Mackay Glacier. We analyzed mtDNA (cytochrome c oxidase subunit I; COI) sequence variability for 97 individuals representing three species (Gomphiocephalus hodgsoni, N = 67; Cryptopygus nivicolus, N = 20; and Antarcticinella monoculata, N = 8). Haplotype diversity and genetic divergences were calculated and used to indicate population variability and also to infer divergence times of isolated populations using molecular clock estimates. Two of the three species showed high levels of genetic divergence. Gomphiocephalus hodgsoni, a widespread and common species, showed 7.6% sequence divergence on opposite sides of the Mackay Glacier. The more range restricted C. nivicolus showed 4.0% divergence among populations. The third species, A. monoculata, was found in only one location. Molecular clock estimates based on sequence divergences suggest that populations separated within the last 4 Mya. We conclude that habitat fragmentation resulting from Pliocene (5 Mya) and Pleistocene (2 Mya to 10 Kya) glaciations has promoted and maintained high levels of diversity among isolated springtail populations on relatively small spatial scales. The region surrounding the Mackay Glacier is likely to have provided refugia for springtail populations during glacial maxima and remains an area of high genetic and species diversity for Collembola within the Ross Sea region. (C) 2016 The Linnean Society of London</t>
  </si>
  <si>
    <t>[Bennett, Kristi R.; Hogg, Ian D.] Univ Waikato, Sch Sci, Private Bag 3105, Hamilton 3240, New Zealand; [Adams, Byron J.] Brigham Young Univ, Dept Biol, 4102 LSB, Provo, UT 84602 USA; [Adams, Byron J.] Brigham Young Univ, Evolutionary Ecol Labs, 4102 LSB, Provo, UT 84602 USA; [Hebert, Paul D. N.] Univ Guelph, Biodivers Inst Ontario, 50 Stone Rd East, Guelph, ON N1G 2W1, Canada</t>
  </si>
  <si>
    <t>University of Waikato; Brigham Young University; Brigham Young University</t>
  </si>
  <si>
    <t>Hogg, ID (corresponding author), Univ Waikato, Sch Sci, Private Bag 3105, Hamilton 3240, New Zealand.</t>
  </si>
  <si>
    <t>hogg@waikato.ac.nz</t>
  </si>
  <si>
    <t>Hebert, Paul DN/C-4161-2013; Hogg, Ian D./HNS-7393-2023; Adams, Byron/C-3808-2009</t>
  </si>
  <si>
    <t>Hogg, Ian D./0000-0002-6685-0089; Adams, Byron/0000-0002-7815-3352</t>
  </si>
  <si>
    <t>New Zealand Post scholarship; University of Waikato; International Centre for Terrestrial Antarctic Research (ICTAR); Antarctica New Zealand; US National Science Foundation through McMurdo LTER NSF OPP grant [1115245]; Government of Canada through Genome Canada; Ontario Genomics Institute; Office of Polar Programs (OPP); Directorate For Geosciences [1115245] Funding Source: National Science Foundation</t>
  </si>
  <si>
    <t>New Zealand Post scholarship; University of Waikato; International Centre for Terrestrial Antarctic Research (ICTAR); Antarctica New Zealand; US National Science Foundation through McMurdo LTER NSF OPP grant; Government of Canada through Genome Canada(Genome Canada); Ontario Genomics Institute; Office of Polar Programs (OPP); Directorate For Geosciences(National Science Foundation (NSF)NSF - Directorate for Geosciences (GEO))</t>
  </si>
  <si>
    <t>We are grateful to three anonymous reviewers for their thoughtful and constructive suggestions that improved the quality of the manuscript. We thank M. Knox, C. Beet, U. Nielsen, D. Wall, and D. McKnight (US Antarctic LTER Programme) for helpful advice and/or assistance in the field/laboratory, as well as members of the Pacific Biosystematics Research group (University of Waikato) for discussion and comments during manuscript preparation. Glen Stichbury provided help preparing Fig. 1, which was derived from the SCAR Antarctic Digital Database and the Landsat Image Mosaic of Antarctica (LIMA) project. Financial support was provided to KRB through a New Zealand Post scholarship administered by Antarctica New Zealand, a University of Waikato Masters Research Scholarship, and The International Centre for Terrestrial Antarctic Research (ICTAR) Young Investigator Award. Field work was supported by Antarctica New Zealand and the US National Science Foundation through the McMurdo LTER NSF OPP grant 1115245. Sequencing at the Biodiversity Institute of Ontario was supported by funding from the Government of Canada through Genome Canada and the Ontario Genomics Institute.</t>
  </si>
  <si>
    <t>10.1111/bij.12796</t>
  </si>
  <si>
    <t>WOS:000386918500013</t>
  </si>
  <si>
    <t>Lenaerts, JTM; Vizcaino, M; Fyke, J; van Kampenhout, L; van den Broeke, MR</t>
  </si>
  <si>
    <t>Lenaerts, Jan T. M.; Vizcaino, Miren; Fyke, Jeremy; van Kampenhout, Leo; van den Broeke, Michiel R.</t>
  </si>
  <si>
    <t>Present-day and future Antarctic ice sheet climate and surface mass balance in the Community Earth System Model</t>
  </si>
  <si>
    <t>Antarctica; Ice sheets; Surface mass balance; Climate modelling; Sea level; Climate change</t>
  </si>
  <si>
    <t>AMUNDSEN SEA EMBAYMENT; WEST ANTARCTICA; SNOW ACCUMULATION; EAST ANTARCTICA; ENERGY BALANCE; ANNULAR MODE; VARIABILITY; EXTENT; PENINSULA; CLOUDS</t>
  </si>
  <si>
    <t>We present climate and surface mass balance (SMB) of the Antarctic ice sheet (AIS) as simulated by the global, coupled ocean-atmosphere-land Community Earth System Model (CESM) with a horizontal resolution of in the past, present and future (1850-2100). CESM correctly simulates present-day Antarctic sea ice extent, large-scale atmospheric circulation and near-surface climate, but fails to simulate the recent expansion of Antarctic sea ice. The present-day Antarctic ice sheet SMB equals , which concurs with existing independent estimates of AIS SMB. When forced by two CMIP5 climate change scenarios (high mitigation scenario RCP2.6 and high-emission scenario RCP8.5), CESM projects an increase of Antarctic ice sheet SMB of about 70 per degree warming. This increase is driven by enhanced snowfall, which is partially counteracted by more surface melt and runoff along the ice sheet's edges. This intensifying hydrological cycle is predominantly driven by atmospheric warming, which increases (1) the moisture-carrying capacity of the atmosphere, (2) oceanic source region evaporation, and (3) summer AIS cloud liquid water content.</t>
  </si>
  <si>
    <t>[Lenaerts, Jan T. M.; van Kampenhout, Leo; van den Broeke, Michiel R.] Univ Utrecht, Inst Marine &amp; Atmospher Res Utrecht, Princetonpl 5, NL-3584 CC Utrecht, Netherlands; [Vizcaino, Miren] Delft Univ Technol, Dept Geosci &amp; Remote Sensing, Delft, Netherlands; [Fyke, Jeremy] Los Alamos Natl Lab, Los Alamos, NM USA</t>
  </si>
  <si>
    <t>Utrecht University; Delft University of Technology; United States Department of Energy (DOE); Los Alamos National Laboratory</t>
  </si>
  <si>
    <t>Lenaerts, JTM (corresponding author), Univ Utrecht, Inst Marine &amp; Atmospher Res Utrecht, Princetonpl 5, NL-3584 CC Utrecht, Netherlands.</t>
  </si>
  <si>
    <t>j.lenaerts@uu.nl</t>
  </si>
  <si>
    <t>Lenaerts, Jan/D-9423-2012; Van den Broeke, Michiel R./F-7867-2011; Vizcaino, Miren/D-4443-2013</t>
  </si>
  <si>
    <t>Lenaerts, Jan/0000-0003-4309-4011; Van den Broeke, Michiel R./0000-0003-4662-7565; Vizcaino, Miren/0000-0002-9553-7104</t>
  </si>
  <si>
    <t>Utrecht University; Ministry of Education, Culture and Science (OCW); NWO Exacte Wetenschappen; NWO ALW through a Veni postdoctoral grant; Regional and Global Climate Modeling Project of the US Department of Energy Biological and Environmental Research Program</t>
  </si>
  <si>
    <t>Utrecht University; Ministry of Education, Culture and Science (OCW)(Ministry of Education, Culture, Sports, Science and Technology, Japan (MEXT)); NWO Exacte Wetenschappen; NWO ALW through a Veni postdoctoral grant; Regional and Global Climate Modeling Project of the US Department of Energy Biological and Environmental Research Program</t>
  </si>
  <si>
    <t>This study is funded by Utrecht University through its strategic theme Sustainability, sub-theme Water, Climate &amp; Ecosystems. This work was carried out under the program of the Netherlands Earth System Science Centre (NESSC), financially supported by the Ministry of Education, Culture and Science (OCW). The CESM simulations are performed on the SurfSARA high-performance Cartesius system, with support from NWO Exacte Wetenschappen. Jan Lenaerts is supported by NWO ALW through a Veni postdoctoral grant. Jeremy Fyke is supported by the Regional and Global Climate Modeling Project of the US Department of Energy Biological and Environmental Research Program. We thank Bill Sacks (NCAR), Dave Lawrence (NCAR) and Mark Flanner (University of Michigan) for their valuable input. Graphics in this paper were constructed using the NCAR Command Line software [NCL version 6.2.1, UCAR/NCAR/CISL/VETS (2014)].</t>
  </si>
  <si>
    <t>10.1007/s00382-015-2907-4</t>
  </si>
  <si>
    <t>Green Published, hybrid, Green Submitted</t>
  </si>
  <si>
    <t>WOS:000382112000002</t>
  </si>
  <si>
    <t>Desbruyères, D; McDonagh, EL; King, BA</t>
  </si>
  <si>
    <t>Desbruyeres, Damien; McDonagh, Elaine L.; King, Brian A.</t>
  </si>
  <si>
    <t>Observational Advances in Estimates of Oceanic Heating</t>
  </si>
  <si>
    <t>CURRENT CLIMATE CHANGE REPORTS</t>
  </si>
  <si>
    <t>Oceanic heating; Argo; Repeat hydrography; GO-SHIP; North Atlantic</t>
  </si>
  <si>
    <t>MERIDIONAL OVERTURNING CIRCULATION; ANTARCTIC BOTTOM WATER; SEA-LEVEL RISE; MULTIDECADAL VARIABILITY; GLOBAL HEAT; ATLANTIC; PACIFIC; HIATUS; TEMPERATURE; SLOWDOWN</t>
  </si>
  <si>
    <t>Since the early twenty-first century, improvements in understanding climate variability resulted from the growth of the ocean observing system. The potential for a closure of the Earth's energy budget has emerged with the unprecedented coverage of Argo profiling floats, which now provide a decade (2006-2015) of invaluable information on ocean heat content changes above 2000 m. The expertise gained from Argo and repeat hydrography sections motivated the extension of the array toward the ocean bottom, which will progressively reveal the poorly known deep ocean and reduce the uncertainty of its presumed 10-15 % contribution to the 2006-2015 global ocean warming trend of 0.65-0.80 W m(-2). The sustainability and synergy of various observing systems helped to corroborate numerical models and decipher the internal variability of distinct ocean basins. Due to unique observations of the circulation in the North Atlantic, particular attention is paid to heat content changes and their relationship to dynamic variability in that region.</t>
  </si>
  <si>
    <t>[Desbruyeres, Damien; McDonagh, Elaine L.; King, Brian A.] Natl Oceanog Ctr, Waterfront Campus,European Way, Southampton SO14 3ZH, Hants, England</t>
  </si>
  <si>
    <t>University of Southampton; NERC National Oceanography Centre</t>
  </si>
  <si>
    <t>Desbruyères, D (corresponding author), Natl Oceanog Ctr, Waterfront Campus,European Way, Southampton SO14 3ZH, Hants, England.</t>
  </si>
  <si>
    <t>dades@noc.ac.uk</t>
  </si>
  <si>
    <t>KIng, Brian/KDN-7191-2024; Desbruyères, Damien/AAG-7009-2019</t>
  </si>
  <si>
    <t>Desbruyères, Damien/0000-0003-0405-421X; McDonagh, Elaine/0000-0002-8813-4585</t>
  </si>
  <si>
    <t>British National Environmental Research Council (NERC) [NE/K004387/1]; NERC [NE/N018095/1, NE/K005480/1, NE/K004387/1] Funding Source: UKRI</t>
  </si>
  <si>
    <t>British National Environmental Research Council (NERC); NERC(UK Research &amp; Innovation (UKRI)Natural Environment Research Council (NERC))</t>
  </si>
  <si>
    <t>This work is a contribution to the DEEP-C project, funded by the British National Environmental Research Council (NERC-grant NE/K004387/1). GO-SHIP CTD data were made available by data originators either as public data on the CCHDO website (http://cchdo.ucsd.edu), where cruise participants can be identified, or directly by cruise PIs. Argo data (http://doi.org/10.17882/42182) were collected and made freely available by the International Argo Program and the national programs that contribute to it (http://www.argo.ucsd.edu, http://argo.jcommops.org). The Argo Program is part of the Global Ocean Observing System. The 26.5 degrees N array is a collaborative effort supported through the NERC RAPID-WATCH program, the NSF meridional overturning circulation heat-flux array project and the NOAA western boundary time series project. Data from the RAPID-WATCH and MOCHA projects are freely available online (www.rapid.ac.uk/rapidmoc; www.rsmas.miami.edu/users/mocha). We thank the many investigators who contribute to these observing systems, and gratefully acknowledge the two anonymous reviewers for their positive feedback and their help in improving the clarity of the paper.</t>
  </si>
  <si>
    <t>2198-6061</t>
  </si>
  <si>
    <t>CURR CLIM CHANGE REP</t>
  </si>
  <si>
    <t>Curr. Clim. Chang. Rep.</t>
  </si>
  <si>
    <t>10.1007/s40641-016-0037-7</t>
  </si>
  <si>
    <t>VI2LS</t>
  </si>
  <si>
    <t>WOS:000463899100005</t>
  </si>
  <si>
    <t>Rembauville, M; Manno, C; Tarling, GA; Blain, S; Salter, I</t>
  </si>
  <si>
    <t>Rembauville, M.; Manno, C.; Tarling, G. A.; Blain, S.; Salter, I.</t>
  </si>
  <si>
    <t>Strong contribution of diatom resting spores to deep-sea carbon transfer in naturally iron-fertilized waters downstream of South Georgia</t>
  </si>
  <si>
    <t>Carbon export; Southern Ocean; Diatom resting spores; Natural iron fertilization</t>
  </si>
  <si>
    <t>PARTICULATE ORGANIC-CARBON; ANTARCTIC CIRCUMPOLAR CURRENT; PLANKTONIC COMMUNITY STRUCTURE; POLAR FRONT; SCOTIA SEA; KERGUELEN PLATEAU; BIOGENIC SILICA; MARINE DIATOM; EXPORT FLUXES; CHAETOCEROS-PSEUDOCURVISETUS</t>
  </si>
  <si>
    <t>Biogeochemical and diatom export fluxes are presented from two bathypelagic sediment trap deployments in the Antarctic Zone of the Southern Ocean. One of the sediment traps was deployed in very productive, naturally iron-fertilized waters downStream of South Georgia (P3, 2000 m) and compared to a deployment in moderately productive waters upstream of the island system (P2,1500 m). At both sites significant diatom export events occurred in spring (November) and contained mostly empty cells that were associated with low particulate organic carbon (POC) fluxes. A summer export pulse occurred one month later at P2 (end February/March) compared to P3 (end January). Diatom fluxes at P3 were one order of magnitude higher than at P2, a difference mainly attributed to the short and intense export of resting spores from Chaetoceros Hyalochaete and Thalassiosira antarctica species. Aside from these resting spores, diatom export assemblages at both sites were dominated by empty Fragilariopsis kerguelensis frustules. The fraction of diatoms exported as empty frustules was considerably lower at P3 (52%) than P2 (91%). This difference was related to the flux of intact diatom resting spores at P3 and may partially explain the lower Si:C export stoichiometry observed at P3 (1.1) compared to P2 (1.5). Through the enumeration of full diatom frustules and subsequent biomass calculations we estimate that diatom resting spores account for 42% of annual POC flux in the productive waters downstream of South Georgia. At both sites the contribution of diatom vegetative stages to POC fluxes was considerably lower (&lt; 5%). From these analyses we conclude that resting spore export contributes towards the slightly higher bathypelagic (POC) flux at P3 (40.6 mmol m(-2) y(-1)) compared to P2 (26.4 mmol m(-2) y(-1)). We compared our sediment trap records with previously published diatom assemblage data from the mixed layer and surface sediments (3760 m) around South Georgia. The relative proportion of diatom resting spores within diatom assemblages increases as a function of depth and is explained by selective preservation of their robust frustules. Our study highlights the significance of diatom resting spore export as a carbon vector out of the mixed layer. Furthermore, the contribution or resting spores to POC flux in the bathypelagic ocean and sediments suggests they play a particularly important role in sequestering biologically fixed CO2 over climatically relevant timescales. (C) 2016 Elsevier Ltd. All rights reserved.</t>
  </si>
  <si>
    <t>[Rembauville, M.; Blain, S.; Salter, I.] UPMC Univ Paris 06, Sorbonne Univ, CNRS, Lab Oceanog Microbienne LOMIC,Observ Oceanol, F-66650 Banyuls Sur Mer, France; [Manno, C.; Tarling, G. A.] British Antarctic Survey, Nat Environm Res Council, Madingley Rd, Cambridge CB3 0ET, England; [Salter, I.] Alfred Wegener Inst Polar &amp; Marine Res, Bremerhaven, Germany</t>
  </si>
  <si>
    <t>Sorbonne Universite; Centre National de la Recherche Scientifique (CNRS); UK Research &amp; Innovation (UKRI); Natural Environment Research Council (NERC); NERC British Antarctic Survey; Helmholtz Association; Alfred Wegener Institute, Helmholtz Centre for Polar &amp; Marine Research</t>
  </si>
  <si>
    <t>Rembauville, M (corresponding author), UPMC Univ Paris 06, Sorbonne Univ, CNRS, Lab Oceanog Microbienne LOMIC,Observ Oceanol, F-66650 Banyuls Sur Mer, France.</t>
  </si>
  <si>
    <t>rembauville@obs-banyuls.fr</t>
  </si>
  <si>
    <t>blain, stephane/F-6917-2010</t>
  </si>
  <si>
    <t>blain, stephane/0000-0002-5234-2446; Salter, Ian/0000-0002-4513-0314</t>
  </si>
  <si>
    <t>Ecosystems programme at the British Antarctic Survey (Natural Environment Research Council); French research programme of INSU-CNRS LEFE-CYBER; NERC [bas0100035] Funding Source: UKRI; Natural Environment Research Council [bas0100035] Funding Source: researchfish</t>
  </si>
  <si>
    <t>Ecosystems programme at the British Antarctic Survey (Natural Environment Research Council); French research programme of INSU-CNRS LEFE-CYBER; NERC(UK Research &amp; Innovation (UKRI)Natural Environment Research Council (NERC)); Natural Environment Research Council(UK Research &amp; Innovation (UKRI)Natural Environment Research Council (NERC))</t>
  </si>
  <si>
    <t>We are grateful to the officers and crew of the RRS James Clark Ross for their assistance in carrying out marine operations in the Southern Ocean. We thank Sophie Fielding, Peter Enderlain and Gabriele Stowasser for helping with deployment and recovering of sediment traps. This work was supported by the Ecosystems programme at the British Antarctic Survey (Natural Environment Research Council) and the French research programme of INSU-CNRS LEFE-CYBER.</t>
  </si>
  <si>
    <t>10.1016/j.dsr.2016.05.002</t>
  </si>
  <si>
    <t>Green Submitted, Green Accepted, Green Published</t>
  </si>
  <si>
    <t>WOS:000386984200003</t>
  </si>
  <si>
    <t>Meiners, KM; Golden, KM; Heil, P; Lieser, JL; Massom, R; Meyer, B; Williams, GD</t>
  </si>
  <si>
    <t>Meiners, Klaus M.; Golden, Ken M.; Heil, Petra; Lieser, Jan L.; Massom, Rob; Meyer, Bettina; Williams, Guy D.</t>
  </si>
  <si>
    <t>Introduction: SIPEX-2: A study of sea-ice physical, biogeochemical and ecosystem processes off East Antarctica during spring 2012</t>
  </si>
  <si>
    <t>PACK-ICE; EUPHAUSIA-SUPERBA; PRIMARY PRODUCTIVITY; DISSOLVED IRON; BOTTOM WATER; WINTER; SNOW; VARIABILITY; GROWTH; OCEAN</t>
  </si>
  <si>
    <t>[Meiners, Klaus M.; Heil, Petra; Massom, Rob] Australian Antarctic Div, Dept Environm, 203 Channel Highway, Kingston, Tas 7050, Australia; [Meiners, Klaus M.; Heil, Petra; Lieser, Jan L.; Massom, Rob; Williams, Guy D.] Univ Tasmania, Antarctic Climate &amp; Ecosyst Cooperat Res Ctr, Private Bag 80, Hobart, Tas 7001, Australia; [Golden, Ken M.] Univ Utah, Dept Math, 155 S 1400 E RM 233, Salt Lake City, UT 84112 USA; [Lieser, Jan L.; Williams, Guy D.] Univ Tasmania, Inst Marine &amp; Antarctic Studies, Private Bag 129, Hobart, Tas 7001, Australia; [Meyer, Bettina] Helmholtz Ctr Polar &amp; Marine Res, Alfred Wegener Inst, Postfach 120161, D-27515 Bremerhaven, Germany; [Meyer, Bettina] Carl von Ossietzky Univ Oldenburg, Inst Chem &amp; Biol Marine Environm, Carl von Ossietzky Str 9-11, D-26111 Oldenburg, Germany</t>
  </si>
  <si>
    <t>Australian Antarctic Division; University of Tasmania; Antarctic Climate &amp; Ecosystems Cooperative Research Centre (ACE CRC); Utah System of Higher Education; University of Utah; University of Tasmania; Helmholtz Association; Alfred Wegener Institute, Helmholtz Centre for Polar &amp; Marine Research; Carl von Ossietzky Universitat Oldenburg</t>
  </si>
  <si>
    <t>Meiners, KM (corresponding author), Australian Antarctic Div, Dept Environm, 203 Channel Highway, Kingston, Tas 7050, Australia.;Meiners, KM (corresponding author), Univ Tasmania, Antarctic Climate &amp; Ecosyst Cooperat Res Ctr, Private Bag 80, Hobart, Tas 7001, Australia.</t>
  </si>
  <si>
    <t>klaus.meiners@aad.gov.au</t>
  </si>
  <si>
    <t>Meyer, Bettina/ABB-5311-2020; Lieser, Jan/J-7157-2014</t>
  </si>
  <si>
    <t>Meyer, Bettina/0000-0001-6804-9896; Lieser, Jan/0000-0001-6870-1311; Heil, Petra/0000-0003-2078-0342; Massom, Robert/0000-0003-1533-5084</t>
  </si>
  <si>
    <t>Direct For Mathematical &amp; Physical Scien; Division Of Mathematical Sciences [1413454, 0940249] Funding Source: National Science Foundation</t>
  </si>
  <si>
    <t>Direct For Mathematical &amp; Physical Scien; Division Of Mathematical Sciences(National Science Foundation (NSF)NSF - Directorate for Mathematical &amp; Physical Sciences (MPS))</t>
  </si>
  <si>
    <t>10.1016/j.dsr2.2016.06.010</t>
  </si>
  <si>
    <t>WOS:000383942700001</t>
  </si>
  <si>
    <t>Heil, P; Stammerjohn, S; Reid, P; Massom, RA; Hutchings, JK</t>
  </si>
  <si>
    <t>Heil, P.; Stammerjohn, S.; Reid, P.; Massom, R. A.; Hutchings, J. K.</t>
  </si>
  <si>
    <t>SIPEX 2012: Extreme sea-ice and atmospheric conditions off East Antarctica</t>
  </si>
  <si>
    <t>Sea-ice changes; Antarctic ice drift; Snow on sea ice; Ocean-ice-atmosphere system</t>
  </si>
  <si>
    <t>SOUTHERN-OCEAN; VARIABILITY; DRIVEN; TRENDS</t>
  </si>
  <si>
    <t>In 2012, Antarctic sea-ice coverage was marked by weak annual-mean climate anomalies that consisted of opposing anomalies early and late in the year (some setting new records) which were interspersed by near-average conditions for most of the austral autumn and winter. Here, we investigate the ocean-ice atmosphere system off East Antarctica, prior to and during the Sea Ice Physics and Ecosystems eXperiment [SIPEX] 2012, by exploring relationships between atmospheric and oceanic forcing together with the sea-ice and snow characteristics. During August and September 2012, just prior to SIPEX 2012, atmospheric circulation over the Southern Ocean was near-average, setting up the ocean-ice-atmosphere system for near-average conditions. However, below-average surface pressure and temperature as well as strengthened circumpolar winds prevailed during June and July 2012. This led to a new record (19.48 x 10(6) km(2)) in maximum Antarctic sea-ice extent recorded in late September. In contrast to the weak circum-Antarctic conditions, the East Antarctic sector (including the SIPEX 2012 region) experienced positive sea-ice extent and concentration anomalies during most of 2012, coincident with negative atmospheric pressure and sea-surface temperature anomalies. Heavily deformed sea ice appeared to be associated with intensified wind stress due to increased cyclonicity as well as an increased influx of sea ice from the east. This increased westward ice flux is likely linked to the break-up of nearly 80% of the Mertz Glacier Tongue in 2010, which strongly modified the coastal configuration and hence the width of the westward coastal current. Combined with favourable atmospheric conditions the associated changed coastal configuration allowed more sea ice to remain within the coastal current at the expense of a reduced northward flow in the region around 141 degrees-145 degrees E. In addition a westward propagating positive anomaly of sea-ice extent from the western Ross Sea during austral winter 2012 has been identified to have fed into the westward current of the SIPEX 2012 region. A pair of large grounded icebergs appears to have modified the local stress state as well as the structure of the ice pack upstream and also towards the Dalton Glacier Tongue. Together with the increased influx of sea ice into the regions, this contributed to the difficulties in navigating the SIPEX 2012 region. (C) 2016 Elsevier Ltd. All rights reserved.</t>
  </si>
  <si>
    <t>[Heil, P.; Reid, P.] Australian Antarctic Div, Kingston, Tas, Australia; [Heil, P.; Reid, P.; Massom, R. A.] Univ Tasmania, Antarctic Climate &amp; Ecosyst CRC, Hobart, Tas, Australia; [Stammerjohn, S.] Univ Colorado, Boulder, CO 80309 USA; [Reid, P.] Bur Meteorol, Hobart, Tas, Australia; [Hutchings, J. K.] Oregon State Univ, Corvallis, OR 97331 USA</t>
  </si>
  <si>
    <t>Australian Antarctic Division; University of Tasmania; University of Colorado System; University of Colorado Boulder; Bureau of Meteorology - Australia; Oregon State University</t>
  </si>
  <si>
    <t>Heil, P (corresponding author), Univ Tasmania, Hobart, Tas 7001, Australia.</t>
  </si>
  <si>
    <t>petra.heil@utas.edu.au</t>
  </si>
  <si>
    <t>Hutchings, Jennifer K/P-6356-2017</t>
  </si>
  <si>
    <t>Heil, Petra/0000-0003-2078-0342; Massom, Robert/0000-0003-1533-5084</t>
  </si>
  <si>
    <t>Australian Government's Cooperative Research Centres Programme through Antarctic Climate and Ecosystems Cooperative Research Centre; The International Space Science Institute (Bern, Switzerland) through project Space-borne monitoring of polar sea ice [169]; National Science Foundation's Office of Polar Programs grant [1023662]; NASA; Office of Polar Programs (OPP); Directorate For Geosciences [1023662] Funding Source: National Science Foundation</t>
  </si>
  <si>
    <t>Australian Government's Cooperative Research Centres Programme through Antarctic Climate and Ecosystems Cooperative Research Centre(Australian GovernmentDepartment of Industry, Innovation and ScienceCooperative Research Centres (CRC) Programme); The International Space Science Institute (Bern, Switzerland) through project Space-borne monitoring of polar sea ice; National Science Foundation's Office of Polar Programs grant; NASA(National Aeronautics &amp; Space Administration (NASA)); Office of Polar Programs (OPP); Directorate For Geosciences(National Science Foundation (NSF)NSF - Directorate for Geosciences (GEO))</t>
  </si>
  <si>
    <t>GSFC SMMR-SSM/I sea-ice concentration data were acquired from the EOS Distributed Active Archive Center at the National Snow and Ice Data Center, USA. Daily sea-ice motion data were obtained from the US National Snow and Ice Data Center, USA (http://nsidc.org/data/docs/daac/nsidc0116icemotion.gd.html). MODIS imagery were obtained from NASA's MODIS archive (http://ladsweb.nascom.nasa.gov/). Precipitation data were derived from the European Centre for Medium range Weather Forecasts (ECMWF) Interim Reanalysis dataset (http://www.ecmwfintiresearchiera/do/get/era-interim). National Center for Environmental Prediction [NCEP] - 2 reanalysis data are from the NOAA/OAR/ESRL PSD, Boulder, Colorado, USA (http://www.cdc.noaa.gold). NOAA's Earth Systems Research Laboratory provided the SST data, updated from Reynolds et al. (2002), (http://www.esrLnoaa.gov/psd/data/gridded/data.noaa.oisstv2.html). The SAM index was based on Marshall [2003] (http://www.nerc-bas.ac.uk/icd/gjma/sam.html). Bathymetry data are from GEBCO (http://www.bodcac.uk/dataionline_delivery/gebco/). Brigham Young University [USA] are thanked for their Antarctic Iceberg Tracking Database obtained from the NASA sponsored Scatterometer Climate Record Pathfinder, courtesy of D.G. Long [http://www.scp.byu.edu/data/iceberg/database1.html].; This work was supported by the Australian Government's Cooperative Research Centres Programme through the Antarctic Climate and Ecosystems Cooperative Research Centre. The International Space Science Institute (Bern, Switzerland) is thanked for supporting scientific collaborations of this study through project Space-borne monitoring of polar sea ice (#169). JKH's SIPEX 2012 involvement was funded by the National Science Foundation's Office of Polar Programs grant 1023662.</t>
  </si>
  <si>
    <t>10.1016/j.dsr2.2016.06.015</t>
  </si>
  <si>
    <t>WOS:000383942700002</t>
  </si>
  <si>
    <t>Steer, A; Heil, P; Watson, C; Massom, RA; Lieser, JL; Ozsoy-Cicek, B</t>
  </si>
  <si>
    <t>Steer, Adam; Heil, Petra; Watson, Christopher; Massom, Robert A.; Lieser, Jan L.; Ozsoy-Cicek, Burcu</t>
  </si>
  <si>
    <t>Estimating small-scale snow depth and ice thickness from total freeboard for East Antarctic sea ice</t>
  </si>
  <si>
    <t>Sea ice; East Antarctica; Snow depth; Empirical modelling; Total freeboard; Ice-thickness estimate</t>
  </si>
  <si>
    <t>PRODUCTS; BELLINGSHAUSEN; VALIDATION; ROUGHNESS; ALTIMETRY; DENSITY; VOLUME</t>
  </si>
  <si>
    <t>Deriving the snow depth on Antarctic sea ice is a key factor in estimating sea-ice thickness distributions from space or airborne altimeters. Using a linear regression to model snow depth from observed 'total freeboard', or the snow/ice surface elevation relative to sea level is an efficient and promising method for the estimation of snow depth for instruments which only detect the uppermost surface of the sea-ice conglomerate (e.g. laser altimetry). However the Antarctic pack-ice zone is subject to substantial variability due to synoptic-scale weather forcing. Ice formation, motion and melt undergo large spatio-temporal variability throughout the year. In this paper we estimate snow depth from total freeboard for the ARISE (2003), SIPEX (2007) and SIPEX-II (2012) research voyages to the East Antarctic pack-ice zone. Using in situ data we investigate variability in snow depth and show that for East Antarctica, relationships between snow depth and total freeboard vary between each voyage. At a resolution of metres to tens of metres, we show how regression-based snow-depth models track total freeboard and generally over-estimate snow depth, especially on highly deformed sea ice and at sites where ice freeboard makes a substantial contribution to total freeboard. For a set of 3192 records we obtain an in situ mean snow depth of 0.21 m (sigma = 0.19 m). Using a regression model derived from all in situ points we obtain the same mean, with a slightly lower variability (sigma = 0.16 m). Using voyage-specific subsets of the data to derive regression models and estimate snow depth, mean snow depths ranged from 0.19 m (model derived from SIPEX observations) to 0.25 m (model derived from SIPEX-II observations). While small, these discrepancies impact ice thickness estimation using the assumption of hydrostatic equilibrium. Mean in situ ice thickness for all samples is 1.44 m (sigma = 1.19 m). Using empirical models for snow depth, ice thickness varies from 1.0 to 1.8 m with the best match to the in situ mean given when snow depth is derived using a snow depth model from all observations (1.53 m, sigma = 1.55 m). However, mean values only tell part of the story when investigating the sea-ice thickness distribution. Here we explicitly show how modelling snow depth and ice thickness based on a total freeboard signal compares with in situ observations. This provides insight into the confidence we place in ice thickness distributions derived using a total freeboard signal and empirically-derived models for snow depth. (C) 2016 Elsevier Ltd All rights reserved.</t>
  </si>
  <si>
    <t>[Steer, Adam; Heil, Petra; Massom, Robert A.] Australian Antarctic Div, Dept Environm, Kingston, Tas, Australia; [Steer, Adam; Heil, Petra; Massom, Robert A.; Lieser, Jan L.] Univ Tasmania, Antarctic Climate &amp; Ecosyst Cooperat Res Ctr, Hobart, Tas, Australia; [Steer, Adam; Watson, Christopher] Univ Tasmania, Sch Land &amp; Food, Hobart, Tas, Australia; [Ozsoy-Cicek, Burcu] Istanbul Tech Univ, Maritime Fac, Istanbul, Turkey</t>
  </si>
  <si>
    <t>Australian Antarctic Division; University of Tasmania; Antarctic Climate &amp; Ecosystems Cooperative Research Centre (ACE CRC); University of Tasmania; Istanbul Technical University</t>
  </si>
  <si>
    <t>Steer, A (corresponding author), Australian Antarctic Div, Dept Environm, Kingston, Tas, Australia.;Steer, A (corresponding author), Univ Tasmania, Antarctic Climate &amp; Ecosyst Cooperat Res Ctr, Hobart, Tas, Australia.;Steer, A (corresponding author), Univ Tasmania, Sch Land &amp; Food, Hobart, Tas, Australia.</t>
  </si>
  <si>
    <t>adam.steer@utas.edu.au</t>
  </si>
  <si>
    <t>Ozsoy, Burcu/AAH-5348-2020; Lieser, Jan/J-7157-2014</t>
  </si>
  <si>
    <t>Ozsoy, Burcu/0000-0003-4320-1796; Lieser, Jan/0000-0001-6870-1311; Massom, Robert/0000-0003-1533-5084; Heil, Petra/0000-0003-2078-0342; Steer, Adam/0000-0003-0046-7236</t>
  </si>
  <si>
    <t>Australian Government's Cooperative Research Centres Programme through the Antarctic Climate and Ecosystems Cooperative Research Centre; MS projects [2298, 2901, 4073]</t>
  </si>
  <si>
    <t>Australian Government's Cooperative Research Centres Programme through the Antarctic Climate and Ecosystems Cooperative Research Centre(Australian GovernmentDepartment of Industry, Innovation and ScienceCooperative Research Centres (CRC) Programme); MS projects</t>
  </si>
  <si>
    <t>This research was supported by the Australian Government's Cooperative Research Centres Programme through the Antarctic Climate and Ecosystems Cooperative Research Centre; and MS projects 2298, 2901, 4073. We thank the crew of RSV Aurora Australis, MD voyage management, science technical support and all field support personnel for assistance with in situ data collection. We thank the reviewers for their assistance in clarifying and strengthening this work.</t>
  </si>
  <si>
    <t>10.1016/j.dsr2.2016.04.025</t>
  </si>
  <si>
    <t>WOS:000383942700005</t>
  </si>
  <si>
    <t>Toyota, T; Massom, R; Lecomte, O; Nomura, D; Heil, P; Tamura, T; Fraser, AD</t>
  </si>
  <si>
    <t>Toyota, Takenobu; Massom, Robert; Lecomte, Olivier; Nomura, Daiki; Heil, Petra; Tamura, Takeshi; Fraser, Alexander D.</t>
  </si>
  <si>
    <t>On the extraordinary snow on the sea ice off East Antarctica in late winter, 2012</t>
  </si>
  <si>
    <t>Antarctic snow on sea ice; Snow accumulation around the Antarctic; Snow-ice formation; Loss of snow into leads; ERA-Interim; Regional index term: East Antarctica</t>
  </si>
  <si>
    <t>SURFACE MASS-BALANCE; SOUTHERN-OCEAN; AMUNDSEN SEAS; WEDDELL SEA; BELLINGSHAUSEN; VARIABILITY; PROFILE; COVER; DEPTH; ACCUMULATION</t>
  </si>
  <si>
    <t>In late winter-early spring 2012, the second Sea Ice Physics and Ecosystems Experiment (SIPEX II) was conducted off Wilkes Land, East Antarctica, onboard R/V Aurora Australis. The sea-ice conditions were characterized by significantly thick first-year ice and snow, trapping the ship for about 10 days in the near coastal region. The deep snow cover was particularly remarkable, in that its average value of 0.45 m was almost three times that observed between 1992 and 2007 in the region. To reveal factors responsible, we used in situ observations and ERA-Interim reanalysis (1990-2012) to examine the relative contribution of the different components of the local-regional snow mass balance equation i.e., snow accumulation on sea ice, precipitation minus evaporation (P-E), and loss by (i) snow-ice formation and (ii) entering into leads due to drifting snow. Results show no evidence for significantly high P-E in the winter of 2012. Ice core analysis has shown that although the snow-ice layer was relatively thin, indicating less transformation from snow to snow-ice in 2012 as compared to measurements from 2007, the difference was not enough to explain the extraordinarily deep snow. Based on these results, we deduce that lower loss of snow into leads was probably responsible for the extraordinary snow in 2012. Statistical analysis and satellite images suggest that the reduction in loss of snow into leads is attributed to rough ice surface associated with active deformation processes and larger floe size due to sea-ice expansion. This highlights the importance of snow-sea ice interaction in determining the mean snow depth on Antarctic sea ice. (C) 2016 Elsevier Ltd. All rights reserved.</t>
  </si>
  <si>
    <t>[Toyota, Takenobu; Nomura, Daiki; Fraser, Alexander D.] Hokkaido Univ, Inst Low Temp Sci, Kita Ku, N19W8, Sapporo, Hokkaido 0600819, Japan; [Massom, Robert; Heil, Petra] Australian Antarctic Div, Dept Environm, 203 Channel Highway, Kingston, Tas 7050, Australia; [Massom, Robert; Heil, Petra; Tamura, Takeshi; Fraser, Alexander D.] Univ Tasmania, Antarctic Climate &amp; Ecosyst Cooperat Res Ctr, Private Bag 80, Hobart, Tas 7001, Australia; [Lecomte, Olivier] Catholic Univ Louvain, Earth &amp; Life Inst, Louvain La Neuve, Belgium; [Tamura, Takeshi] Natl Inst Polar Res, Tokyo, Japan; [Tamura, Takeshi] Grad Univ Adv Studies, SOKENDAI, Tachikawa, Tokyo 1908518, Japan</t>
  </si>
  <si>
    <t>Hokkaido University; Australian Antarctic Division; University of Tasmania; Antarctic Climate &amp; Ecosystems Cooperative Research Centre (ACE CRC); Universite Catholique Louvain; Research Organization of Information &amp; Systems (ROIS); National Institute of Polar Research (NIPR) - Japan; Graduate University for Advanced Studies - Japan</t>
  </si>
  <si>
    <t>toyota@lowtem.hokudai.ac.jp</t>
  </si>
  <si>
    <t>Fraser, Alexander/0000-0003-1924-0015; Heil, Petra/0000-0003-2078-0342; Massom, Robert/0000-0003-1533-5084</t>
  </si>
  <si>
    <t>AAS [4073]; JSPS KAKENHI [21510002, 25.03748]; Australian Government's Cooperative Research Centre program through the Antarctic Climate &amp; Ecosystems Cooperative Research Centre; Grants-in-Aid for Scientific Research [13F03748, 21510002, 26740007, 15K16135, 15H05116, 16K00511] Funding Source: KAKEN</t>
  </si>
  <si>
    <t>AAS; JSPS KAKENHI(Ministry of Education, Culture, Sports, Science and Technology, Japan (MEXT)Japan Society for the Promotion of ScienceGrants-in-Aid for Scientific Research (KAKENHI)); Australian Government's Cooperative Research Centre program through the Antarctic Climate &amp; Ecosystems Cooperative Research Centre(Australian GovernmentDepartment of Industry, Innovation and ScienceCooperative Research Centres (CRC) Programme); Grants-in-Aid for Scientific Research(Ministry of Education, Culture, Sports, Science and Technology, Japan (MEXT)Japan Society for the Promotion of ScienceGrants-in-Aid for Scientific Research (KAKENHI))</t>
  </si>
  <si>
    <t>The authors deeply appreciate the support given by the captain, crew and scientists aboard the R/V Aurora Australis during SIPEX II. Special thanks are given to the chief scientist of SIPEX II, Dr. K. Meiners, for his dedicated assistance. We gratefully thank C. Dietz and C. Cook (Central Science Laboratory, UTAS) for delta18O measurements and Dr. A. Moy (AAD) for further processing and collating the delta18O data. Discussions with Dr. T. Maksym and Dr. G. Williams were very helpful. Comments by two anonymous reviewers were also helpful to improve the paper. This work was supported by AAS 4073 and partly by JSPS KAKENHI 21510002 [Grant-in-Aid for Scientific Research (C)] for TT and 25.03748 for AF, and by the Australian Government's Cooperative Research Centre program through the Antarctic Climate &amp; Ecosystems Cooperative Research Centre. For RM and PH, the work contributes to MS projects 4116 and 4072 and 4301, respectively.</t>
  </si>
  <si>
    <t>10.1016/j.dsr2.2016.02.003</t>
  </si>
  <si>
    <t>WOS:000383942700006</t>
  </si>
  <si>
    <t>Wallis, JR; Swadling, KM; Everett, JD; Suthers, IM; Jones, HJ; Buchanan, PJ; Crawford, CM; James, LC; Johnson, R; Meiners, KM; Virtue, P; Westwood, K; Kawaguchi, S</t>
  </si>
  <si>
    <t>Wallis, Jake R.; Swadling, Kerrie M.; Everett, Jason D.; Suthers, Iain M.; Jones, Hugh J.; Buchanan, Pearse J.; Crawford, Christine M.; James, Lainey C.; Johnson, Robert; Meiners, Klaus M.; Virtue, Patti; Westwood, Karen; Kawaguchi, So</t>
  </si>
  <si>
    <t>Zooplankton abundance and biomass size spectra in the East Antarctic sea-ice zone during the winter-spring transition</t>
  </si>
  <si>
    <t>Antarctica; Sea ice; Cryo-pelagic coupling; Calanus propinquus; Oithona similis; Stephos longipes; Optical plankton counter</t>
  </si>
  <si>
    <t>OPTICAL PLANKTON COUNTER; SOUTHERN-OCEAN SOUTH; WEDDELL SEA; COMMUNITY STRUCTURE; CALANOIDES-ACUTUS; LIFE-CYCLE; SEASONAL SUCCESSION; CALANUS-PROPINQUUS; RHINCALANUS-GIGAS; PACK ICE</t>
  </si>
  <si>
    <t>Sea ice is an influential feature in Southern Ocean-Antarctic marine environments creating a 2-phase vertical ecosystem. The lack of information on how this system influences community structure during the winter-spring transition, however, is largely lacking. Zooplankton form the link that bridges these environments, with the meiofaunal and algal communities within sea ice directly influencing the epipelagic zooplankton community at the ice-water interface. A combination of methods including sea-ice coring, umbrella net sampling and Laser Optical Plankton Counter were used to describe the vertical structure of zooplankton and meiofaunal communities. The distribution of meiofauna and chlorophyll a both played important roles in structuring the zooplankton community within this dynamic region. Many dominant taxa, including Calanus propinguus and Oithona similis, directly responded to the high availability of algae present within the bottom strata of sea ice. The sea-ice associated species Stephos longipes represented a strong link between this 2-phase ecosystem. Observations of the vertical distribution of biomass obtained from the LOPC suggests that the responses of these species to the sea ice directly influences the vertical structure of zooplanlcton during the winter-spring transition. (C) 2015 Elsevier Ltd. All rights reserved.</t>
  </si>
  <si>
    <t>[Wallis, Jake R.; Swadling, Kerrie M.; Jones, Hugh J.; Buchanan, Pearse J.; Crawford, Christine M.; James, Lainey C.; Virtue, Patti] Univ Tasmania, Inst Marine &amp; Antarctic Studies, Private Bag 129, Hobart, Tas 7001, Australia; [Swadling, Kerrie M.; Johnson, Robert; Meiners, Klaus M.; Virtue, Patti; Kawaguchi, So] Univ Tasmania, Antarctic Climate &amp; Ecosyst Cooperat Res Ctr, Private Bag 80, Hobart, Tas 7001, Australia; [Everett, Jason D.; Suthers, Iain M.] Univ New South Wales, Sch Biol Earth &amp; Environm Sci, Evolut &amp; Ecol Res Ctr, Sydney, NSW 2052, Australia; [Everett, Jason D.; Suthers, Iain M.] Sydney Inst Marine Sci, Bldg 22,Chowder Bay Rd, Mosman, NSW 2088, Australia; [Johnson, Robert] Bur Meteorol, 700 Collins St, Melbourne, Vic 3001, Australia; [Meiners, Klaus M.; Westwood, Karen; Kawaguchi, So] Australian Antarctic Div, Dept Environm, 203 Channel Highway, Kingston, Tas 7050, Australia</t>
  </si>
  <si>
    <t>University of Tasmania; Antarctic Climate &amp; Ecosystems Cooperative Research Centre (ACE CRC); University of Tasmania; University of New South Wales Sydney; Sydney Institute of Marine Science; Bureau of Meteorology - Australia; Melbourne Genomics Health Alliance; Australian Antarctic Division</t>
  </si>
  <si>
    <t>Wallis, JR (corresponding author), Univ Tasmania, Inst Marine &amp; Antarctic Studies, Private Bag 129, Hobart, Tas 7001, Australia.</t>
  </si>
  <si>
    <t>jrwallis@utas.edu.au</t>
  </si>
  <si>
    <t>Buchanan, Pearse/JZE-1421-2024; Kawaguchi, So/N-1795-2017; Suthers, Iain/C-4559-2008; Johnson, Robert/E-7321-2012; Everett, Jason/C-4557-2008</t>
  </si>
  <si>
    <t>Wallis, Jake/0000-0003-2932-612X; Virtue, Patti/0000-0002-9870-1256; Westwood, Karen/0000-0003-1060-7140; Kawaguchi, So/0000-0002-2042-5095; Suthers, Iain/0000-0002-9340-7461; Johnson, Robert/0000-0002-5915-5416; Jones, Hugh/0000-0002-5851-2661; Everett, Jason/0000-0002-6681-8054; Swadling, Kerrie/0000-0002-7620-841X</t>
  </si>
  <si>
    <t>Australian Government's Cooperative Research Centre Program through the Antarctic Climate and Ecosystems Cooperative Research Centre (ACE CRC); Australian Government's Cooperative Research Centre Program through the Australian Antarctic Science [4140, 4073]</t>
  </si>
  <si>
    <t>Australian Government's Cooperative Research Centre Program through the Antarctic Climate and Ecosystems Cooperative Research Centre (ACE CRC)(Australian GovernmentDepartment of Industry, Innovation and ScienceCooperative Research Centres (CRC) Programme); Australian Government's Cooperative Research Centre Program through the Australian Antarctic Science(Australian GovernmentDepartment of Industry, Innovation and ScienceCooperative Research Centres (CRC) Programme)</t>
  </si>
  <si>
    <t>We thank the crew of the Aurora Australis for help in deployment of gear. This work was supported by the Australian Government's Cooperative Research Centre Program through the Antarctic Climate and Ecosystems Cooperative Research Centre (ACE CRC) and through Australian Antarctic Science Grants 4140 and 4073.</t>
  </si>
  <si>
    <t>10.1016/j.dsr2.2015.10.002</t>
  </si>
  <si>
    <t>WOS:000383942700016</t>
  </si>
  <si>
    <t>Li, HJ; Fu, JJ; Zhang, AG; Zhang, QH; Wang, YW</t>
  </si>
  <si>
    <t>Li, Huijuan; Fu, Jianjie; Zhang, Aigian; Zhang, Qinghua; Wang, Yawei</t>
  </si>
  <si>
    <t>Occurrence, bioaccumulation and long-range transport of short-chain chlorinated paraffins on the Fildes Peninsula at King George Island, Antarctica</t>
  </si>
  <si>
    <t>ENVIRONMENT INTERNATIONAL</t>
  </si>
  <si>
    <t>Short-chain chlorinated paraffins (SCCPs); Antarctica; Biomagnification; Long-range transport</t>
  </si>
  <si>
    <t>PERSISTENT ORGANIC POLLUTANTS; POLYBROMINATED DIPHENYL ETHERS; N-ALKANES C-10-C-12; DIETARY ACCUMULATION; TROPHIC TRANSFER; LAKE-ONTARIO; FOOD-WEB; POLYCHLORINATED-BIPHENYLS; TEMPORAL TRENDS; MARINE MAMMALS</t>
  </si>
  <si>
    <t>As a candidate persistent organic pollutant of the Stockholm Convention, short-chain chlorinated paraffins (SCCPs) have recently received particular attention. In this study, we investigated, for the first time, the concentrations of SCCPs in biota samples collected from the Fildes Peninsula at King George Island and Ardley Island, Antarctica. The concentrations of SCCPs ranged from 3.5 to 256.6 dg/g (dry weight, dw), with a mean of 76.6 +/- 61.8 ng/g dw, which was lower than those detected in mid- and low-latitude regions. The long-range transport behaviour of SCCPs was confirmed by both the detection of SCCPs in Antarctic remote areas and their special congener profiles. Short carbon chain (C-10) congeners predominated in the Antarctic samples, which accounted for 56.1% of the total SCCP contamination. Such enrichment of C-10 congeners indicated the high potential for the long-range transport of shorter chain congeners. In addition, SCCPs tended to be enriched in the species with high lipid contents. The biomagnification potential of SCCPs was found between Archeogastropoda (Agas) and Neogastropoda (Ngas), and the biomagnification factors of shorter chain congeners of SCCPs were higher than that of the longer chain ones. Considering that the endemic species in polar regions may be sensitive and vulnerable to the adverse effects of environmental contaminants, more attention should be paid on the bioaccumulation and toxicological risks of SCCPs.in polar environments. (C) 2016 Published by Elsevier Ltd.</t>
  </si>
  <si>
    <t>[Li, Huijuan; Fu, Jianjie; Zhang, Aigian; Zhang, Qinghua; Wang, Yawei] Chinese Acad Sci, Res Ctr Ecoenvironm Sci, State Key Lab Environm Chem &amp; Ecotoxicol, Beijing 100085, Peoples R China</t>
  </si>
  <si>
    <t>Chinese Academy of Sciences; Research Center for Eco-Environmental Sciences (RCEES)</t>
  </si>
  <si>
    <t>Fu, JJ; Zhang, AG (corresponding author), Chinese Acad Sci, Res Ctr Ecoenvironm Sci, Beijing 100085, Peoples R China.</t>
  </si>
  <si>
    <t>jjfu@rcees.ac.cn; aqzhang@rcees.ac.cn</t>
  </si>
  <si>
    <t>Fu, Jianjie/ABI-2640-2020; Wang, Yawei/C-5628-2015; zhang, qinghua/HMP-3611-2023</t>
  </si>
  <si>
    <t>Wang, Yawei/0000-0002-5300-7121; zhang, qinghua/0000-0002-9707-4051</t>
  </si>
  <si>
    <t>Chinese Academy of Sciences [XDB14030500, YSW2013B01]; National Natural Science Foundation [21277164, 41276195, 21177146]; Young Scientists Fund of RCEES [RCEES-QN-20130047F]; State Oceanic Administration, P.R. China [2012GW02002]</t>
  </si>
  <si>
    <t>Chinese Academy of Sciences(Chinese Academy of Sciences); National Natural Science Foundation(National Natural Science Foundation of China (NSFC)); Young Scientists Fund of RCEES; State Oceanic Administration, P.R. China</t>
  </si>
  <si>
    <t>This study was jointly supported by the Chinese Academy of Sciences, Grant No. XDB14030500, YSW2013B01, and the National Natural Science Foundation (21277164, 41276195, and 21177146), the Young Scientists Fund of RCEES (RCEES-QN-20130047F), and the State Oceanic Administration, P.R. China (2012GW02002). The authors would also greatly thank Chinese Arctic and Antarctic Ministration for the arrangement during 29th Chinese Antarctic Expedition.</t>
  </si>
  <si>
    <t>0160-4120</t>
  </si>
  <si>
    <t>1873-6750</t>
  </si>
  <si>
    <t>ENVIRON INT</t>
  </si>
  <si>
    <t>Environ. Int.</t>
  </si>
  <si>
    <t>10.1016/j.envint.2016.05.005</t>
  </si>
  <si>
    <t>DU6QF</t>
  </si>
  <si>
    <t>WOS:000382339000044</t>
  </si>
  <si>
    <t>Becker, PH; Goutner, V; Ryan, PG; González-Solís, J</t>
  </si>
  <si>
    <t>Becker, Peter H.; Goutner, Vassilis; Ryan, Peter G.; Gonzalez-Solis, Jacob</t>
  </si>
  <si>
    <t>Feather mercury concentrations in Southern Ocean seabirds: Variation by species, site and time</t>
  </si>
  <si>
    <t>Polar front; Trophie level; Diet; 25 marine bird species; Hg monitoring</t>
  </si>
  <si>
    <t>PERSISTENT ORGANIC POLLUTANTS; HEAVY-METAL CONCENTRATIONS; GIANT PETRELS; STABLE-ISOTOPES; ENVIRONMENTAL-CHANGE; TROPHIC CALCULATIONS; LIVINGSTON-ISLAND; LARUS-ARGENTATUS; CHEMICAL FORM; MARION ISLAND</t>
  </si>
  <si>
    <t>We studied mercury contamination in 25 seabird species breeding along a latitudinal gradient across the Southern Ocean, from Gough Island (40 degrees S) through Marion Island (47 degrees S) to Byers Peninsula (63 degrees S). Total mercury concentrations in body feather samples of adults caught at breeding colonies from 2008 to 2011 were determined. Krill (Euphausia spp.) and other zooplankton consumers had low mercury concentrations (gentoo penguin Pygoscelis papua, chinstrap penguin Pseudomonas Antarctica, common diving petrel Pelecanoides urinatrix, broad-billed prion Pachyptila vittata; mean levels 308-753 ng g(-1)), whereas seabirds consuming squid or carrion had high mercury concentrations (ascending order: Kerguelen petrel Aphrodroma brevirostris, southern giant petrel Macronectes giganteus, soft-plumaged petrel Pterodroma mollis, sooty albatross Phoebetria fusca, Atlantic petrel Pterodroma incerta, northern giant petrel Macronectes halli, great-winged petrel Pterodroma macroptera; 10,720-28038 ng g(-1)). The two species with the highest mercury concentrations, northern giant petrels and great-winged petrels, bred at Marion Island. Among species investigated at multiple sites, southern giant petrels had higher mercury levels at Marion than at Gough Island and Byers Peninsula. Mercury levels among Byers Peninsula seabirds were low, in two species even lower than levels measured 10 years before at Bird Island, South Georgia. Replicate measurements after about 25 years at Gough Island showed much higher mercury levels in feathers of sooty albatrosses (by 187%), soft-plumaged petrels (53%) and Atlantic petrels (49%). Concentrations similar to the past were detected in southern giant petrels at Gough and Marion islands, and in northern giant petrels at Marion. There were no clear indications that timing of moult or migratory behavior affected mercury contamination patterns among species. Causes of inter-site or temporal differences in mercury contamination could not be verified due to a lack of long-term data related to species' diet and trophic levels, which should be collected in future together with data on mercury contamination. (C) 2016 Elsevier Ltd. All rights reserved.</t>
  </si>
  <si>
    <t>[Becker, Peter H.] Inst Avian Res Vogelwarte Helgoland, Vogelwarte 21, D-26386 Wilhelmshaven, Germany; [Goutner, Vassilis] Aristotle Univ Thessaloniki, Sch Biol, Dept Zool, GR-54124 Thessaloniki, Greece; [Ryan, Peter G.] Univ Cape Town, DST NRF Ctr Excellence, Percy Fitzpatrick Inst African Ornithol, ZA-7701 Rondebosch, South Africa; [Gonzalez-Solis, Jacob] Dept Biol Anim, Ave Diagonal 643, Barcelona 08028, Spain</t>
  </si>
  <si>
    <t>Aristotle University of Thessaloniki; National Research Foundation - South Africa; University of Cape Town</t>
  </si>
  <si>
    <t>Becker, PH (corresponding author), Inst Avian Res Vogelwarte Helgoland, Vogelwarte 21, D-26386 Wilhelmshaven, Germany.</t>
  </si>
  <si>
    <t>peter.becker@ifv-vogelwarte.de; vgoutner@bio.auth.gr; pryan31@gmail.com; jgsolis@ub.edu</t>
  </si>
  <si>
    <t>González-Solís, Jacob/AAB-1161-2019; Gonzalez-Solis, Jacob/C-3942-2008</t>
  </si>
  <si>
    <t>Gonzalez-Solis, Jacob/0000-0002-8691-9397</t>
  </si>
  <si>
    <t>South African Department of Environment Affairs, through the South African National Antarctic Programme; Ministerio de Educacion y Ciencia from the Spanish Governament [CGL2006-01315/BOS, POL2006-06635, CGL2009-11278/BOS]; Ministerio de Ciencia e Innovacion from the Spanish Governament [CGL2006-01315/BOS, POL2006-06635, CGL2009-11278/BOS]; Fondos FEDER</t>
  </si>
  <si>
    <t>South African Department of Environment Affairs, through the South African National Antarctic Programme; Ministerio de Educacion y Ciencia from the Spanish Governament(German Research Foundation (DFG)); Ministerio de Ciencia e Innovacion from the Spanish Governament; Fondos FEDER(European Union (EU))</t>
  </si>
  <si>
    <t>We thank U. Pijanowska, H. Muhlichen for assistance during the chemical analyses, and R. Ramos Garcia, Katharina Weissenfels for collating information on species diets and migration, and Olav Geiter, Benita Gottschlich, Frank Mattig, Rieke Schafer, Marie-Theres Stiegler and Gotz Wagenknecht for preparing tables and figures. We also thank Antje Steinfurth, Rob Ronconi and Jose Antonio Gil-Delgado for their help in the field. Logistical and financial support was provided by the South African Department of Environment Affairs, through the South African National Antarctic Programme and by the projects CGL2006-01315/BOS, POL2006-06635, CGL2009-11278/BOS from the Ministerio de Educacion y Ciencia and Ministerio de Ciencia e Innovacion from the Spanish Governament and Fondos FEDER. The valuable comments of three anonymous referees helped to improve the paper. V. Goutner was supported with a sabbatical from the University of Thessaloniki.</t>
  </si>
  <si>
    <t>10.1016/j.envpol.2016.05.061</t>
  </si>
  <si>
    <t>WOS:000383930500028</t>
  </si>
  <si>
    <t>Mwangi, JK; Lee, WJ; Wang, LC; Sung, PJ; Fang, LS; Lee, YY; Chang-Chien, GP</t>
  </si>
  <si>
    <t>Mwangi, John Kennedy; Lee, Wen-Jhy; Wang, Lin-Chi; Sung, Ping-Jyun; Fang, Lee-Shing; Lee, Yen-Yi; Chang-Chien, Guo-Ping</t>
  </si>
  <si>
    <t>Persistent organic pollutants in the Antarctic coastal environment and their bioaccumulation in penguins</t>
  </si>
  <si>
    <t>POPs; PBDEs; PBDD/Fs; Biomagnification; Penguin</t>
  </si>
  <si>
    <t>POLYBROMINATED DIPHENYL ETHERS; KING GEORGE ISLAND; BROMINATED FLAME RETARDANTS; DIBENZO-P-DIOXINS; POLYCHLORINATED-BIPHENYLS PCBS; FOOD-WEB; ORGANOCHLORINE PESTICIDES; ADELIE PENGUINS; LOCAL-SOURCES; POLAR BEAR</t>
  </si>
  <si>
    <t>Persistent organic pollutants (POPs), including polychlorinated dibenzo-p-dioxins and dibenzofurans (PCDD/Fs), polychlorinated biphenyls (PCBs), polybrominated dibenzo-p-dioxins and dibenzofurans (PBDD/Fs), polybrominated biphenyls (PBBs), and polybrominated diphenyl ethers (PBDEs), have been identified in penguins, lichens, soils, and ornithogenic soils in the Antarctic coastal environment in this study. To the best of our knowledge, no previous study has reported PBDD/F and PBB data from Antarctica. The POP mass contents in penguins were in the following order: PCBs &gt;&gt; PBDEs PCDD/Fs; PCBs were the dominant pollutants (6310-144,000 pg/g-lipid), with World Health Organization toxic equivalency values being 2-14 times higher than those of PCDD/Fs. Long-range atmospheric transport is the most primary route by which POPs travel to Antarctica; however, local sources, such as research activities and penguin colonies, also influence POP distribution in the local Antarctic environment. In penguins, the biomagnification factor (BMF) of PCBs was 61.3-3760, considerably higher than that for other POPs. According to BMF data in Adelie penguins, hydrophobic PBDE congeners were more biomagnified at log K-ow &gt; 6, and levels decreased at log K-ow &gt; 7.5 because larger molecular sizes inhibited transfer across cell membranes. (C) 2016 Elsevier Ltd. All rights reserved.</t>
  </si>
  <si>
    <t>[Mwangi, John Kennedy; Lee, Wen-Jhy; Lee, Yen-Yi] Natl Cheng Kung Univ, Dept Environm Engn, 1 Univ Rd, Tainan 70101, Taiwan; [Wang, Lin-Chi] Cheng Shiu Univ, Dept Civil Engn &amp; Geomat, 840 Chengching Rd, Kaohsiung 833, Taiwan; [Sung, Ping-Jyun] Natl Museum Marine Biol &amp; Aquarium, Pingtung 944, Taiwan; [Fang, Lee-Shing] Cheng Shiu Univ, Dept Leisure &amp; Sport Management, 840 Chengching Rd, Kaohsiung 833, Taiwan; [Chang-Chien, Guo-Ping] Cheng Shiu Univ, Dept Cosmet &amp; Fash Styling, 840 Chengching Rd, Kaohsiung 833, Taiwan</t>
  </si>
  <si>
    <t>National Cheng Kung University; Cheng Shiu University; National Museum of Marine Biology &amp; Aquarium; Cheng Shiu University; Cheng Shiu University</t>
  </si>
  <si>
    <t>Lee, WJ (corresponding author), Natl Cheng Kung Univ, Dept Environm Engn, 1 Univ Rd, Tainan 70101, Taiwan.;Wang, LC (corresponding author), Cheng Shiu Univ, Dept Civil Engn &amp; Geomat, 840 Chengching Rd, Kaohsiung 833, Taiwan.</t>
  </si>
  <si>
    <t>wjlee@mail.ncku.edu.tw; lcwang@csu.edu.tw</t>
  </si>
  <si>
    <t>Sung, Ping-Jyun/Z-4162-2019; wang, lin/HZK-4145-2023; wang, lin/HHM-2225-2022; Wang, Lin-Chi/A-1397-2012</t>
  </si>
  <si>
    <t>Wang, Lin-Chi/0000-0002-5126-1046</t>
  </si>
  <si>
    <t>National Science Council of Taiwan [NSC 100-2628-E-230-001-MY3]</t>
  </si>
  <si>
    <t>National Science Council of Taiwan(Ministry of Science and Technology, Taiwan)</t>
  </si>
  <si>
    <t>The authors thank the National Science Council of Taiwan for supporting this work under Grant NSC 100-2628-E-230-001-MY3.</t>
  </si>
  <si>
    <t>10.1016/j.envpol.2016.07.001</t>
  </si>
  <si>
    <t>WOS:000383930500101</t>
  </si>
  <si>
    <t>Martin, DL; Chiari, Y; Boone, E; Sherman, TD; Ross, C; Wyllie-Echeverria, S; Gaydos, JK; Boettcher, AA</t>
  </si>
  <si>
    <t>Martin, Daniel L.; Chiari, Ylenia; Boone, Emily; Sherman, Timothy D.; Ross, Cliff; Wyllie-Echeverria, Sandy; Gaydos, Joseph K.; Boettcher, Anne A.</t>
  </si>
  <si>
    <t>Functional, Phylogenetic and Host-Geographic Signatures of Labyrinthula spp. Provide for Putative Species Delimitation and a Global-Scale View of Seagrass Wasting Disease</t>
  </si>
  <si>
    <t>ESTUARIES AND COASTS</t>
  </si>
  <si>
    <t>18S; SSU; ITS; rDNA; Biogeography; Emerging infectious diseases; Opportunist; Parasite; Phylogeography; Plant-pathogen interactions; Virulence; Labyrinthula zosterae; Thalassia testudinum; Zostera marina</t>
  </si>
  <si>
    <t>CLIMATE-CHANGE; INFECTIOUS-DISEASES; POPULATION-DYNAMICS; ECOLOGY; EVOLUTION; PATHOGEN; DIVERSITY; EELGRASS; COASTAL; VIRULENCE</t>
  </si>
  <si>
    <t>Seagrass meadows form ecologically and economically valuable coastal habitat on every continental margin except the Antarctic, but their areal extent is declining by approximately 2-5 % per year. Seagrass wasting disease is a contributing factor in these declines, with the protist Labyrinthula identified as the etiologic agent. To help elucidate the role of Labyrinthula spp. in global seagrass declines, we surveyed roughly one fourth of all seagrass species to identify Labyrinthula diversity at the strain and/or species level, combining results from culturing methods and two common nuclear DNA markers: the ITS and 18S regions of the ribosomal RNA gene complex. After assaying a subset of the resulting isolates (of which 170 were newly sequenced), we produced a cladogenic context for putative seagrass-pathogenic versus non-pathogenic Labyrinthula while also defining host and geographic ranges. Assays also suggest that pathogenicity is consistently high (when present; and, even when comparing susceptibility of US East- versus West Coast Zostera marina hosts) while virulence is variable, that some isolate-host combinations have the potential for host cross-infection, and that several modes of transmission can be effective. Taken together, these data provide additional means for delimiting putative species of Labyrinthula, suggesting at least five seagrass-pathogenic and perhaps ten or more non-pathogenic marine species, yielding a working definition for ecologists and epidemiologists attempting to reconcile the sundry data related to seagrass wasting disease.</t>
  </si>
  <si>
    <t>[Martin, Daniel L.; Chiari, Ylenia; Sherman, Timothy D.; Boettcher, Anne A.] Univ S Alabama, Dept Biol, Mobile, AL 36688 USA; [Martin, Daniel L.; Gaydos, Joseph K.] Univ Calif Davis, SeaDoc Soc, Karen C Drayer Wildlife Hlth Ctr, Orcas Isl Off, Eastsound, WA 98245 USA; [Boone, Emily] Univ Richmond, Dept Biol, Richmond, VA 23173 USA; [Ross, Cliff] Univ North Florida, Dept Biol, Jacksonville, FL USA; [Wyllie-Echeverria, Sandy] Univ Washington, Friday Harbor Labs, Friday Harbor, WA 98250 USA; [Wyllie-Echeverria, Sandy] Univ Virgin Isl, Coll Sci &amp; Math, Ctr Marine &amp; Environm Studies, St Thomas, VI USA; [Boettcher, Anne A.] Embry Riddle Aeronaut Univ, Prescott, AZ USA</t>
  </si>
  <si>
    <t>University of South Alabama; University of California System; University of California Davis; University of Richmond; State University System of Florida; University of North Florida; University of Washington; University of the Virgin Islands; Embry-Riddle Aeronautical University</t>
  </si>
  <si>
    <t>Martin, DL (corresponding author), Univ S Alabama, Dept Biol, Mobile, AL 36688 USA.;Martin, DL (corresponding author), Univ Calif Davis, SeaDoc Soc, Karen C Drayer Wildlife Hlth Ctr, Orcas Isl Off, Eastsound, WA 98245 USA.</t>
  </si>
  <si>
    <t>DanMartin1547@gmail.com</t>
  </si>
  <si>
    <t>Chiari, Ylenia/AAW-3108-2020</t>
  </si>
  <si>
    <t>Chiari, Ylenia/0000-0003-2338-8602</t>
  </si>
  <si>
    <t>Biology Department, University South Alabama; Sea Doc Society through the Karen C. Drayer Wildlife Health Center, School of Veterinary Medicine, University of California, Davis; Coastal Biology Program, University of North Florida; R/V Bellows ship-time-Florida Institute of Oceanography</t>
  </si>
  <si>
    <t>We are indebted to the numerous colleagues, both locally and abroad, that so graciously provided samples and time for this project, especially C. Tanner and A. Schwarzschild for providing many of the Z. marina shoots for our assays. We further thank the S. Palumbi lab/PISCO Summer Working Group for providing the inexpensive DNA prep protocol, K. Baya for assistance with primers, and B. Axsmith for generous access to his microscopes. K. Lohan kindly provided helpful comments on an earlier draft of this manuscript; this work also benefitted from the comments of two reviewers. Although the majority of this project was produced pro bono publico, partial funding was provided by: Biology Department, University South Alabama (to DLM); Sea Doc Society through the Karen C. Drayer Wildlife Health Center, School of Veterinary Medicine, University of California, Davis (to DLM, SWE, JKG, AAB); Coastal Biology Program, University of North Florida, with R/V Bellows ship-time-Florida Institute of Oceanography (to CR).</t>
  </si>
  <si>
    <t>1559-2723</t>
  </si>
  <si>
    <t>1559-2731</t>
  </si>
  <si>
    <t>ESTUAR COAST</t>
  </si>
  <si>
    <t>Estuaries Coasts</t>
  </si>
  <si>
    <t>10.1007/s12237-016-0087-z</t>
  </si>
  <si>
    <t>DS0EO</t>
  </si>
  <si>
    <t>WOS:000380268400008</t>
  </si>
  <si>
    <t>Vimercati, L; Hamsher, S; Schubert, Z; Schmidt, SK</t>
  </si>
  <si>
    <t>Vimercati, L.; Hamsher, S.; Schubert, Z.; Schmidt, S. K.</t>
  </si>
  <si>
    <t>Growth of high-elevation Cryptococcus sp during extreme freeze-thaw cycles</t>
  </si>
  <si>
    <t>EXTREMOPHILES</t>
  </si>
  <si>
    <t>Freeze-thaw cycles; Llullaillaco; Psychrophilic yeast; Astrobiology; Dry limits to life</t>
  </si>
  <si>
    <t>SEQUENCE ALIGNMENT; SOCOMPA VOLCANO; SOIL; COMMUNITIES; TEMPERATURE; STRESS; YEAST; ADAPTATION; STARVATION; RESISTANCE</t>
  </si>
  <si>
    <t>Soils above 6000 m.a.s.l. are among the most extreme environments on Earth, especially on high, dry volcanoes where soil temperatures cycle between -10 and 30 A degrees C on a typical summer day. Previous studies have shown that such sites are dominated by yeast in the cryophilic Cryptococcus group, but it is unclear if they can actually grow (or are just surviving) under extreme freeze-thaw conditions. We carried out a series of experiments to determine if Cryptococcus could grow during freeze-thaw cycles similar to those measured under field conditions. We found that Cryptococcus phylotypes increased in relative abundance in soils subjected to 48 days of freeze-thaw cycles, becoming the dominant organisms in the soil. In addition, pure cultures of Cryptococcus isolated from these same soils were able to grow in liquid cultures subjected to daily freeze-thaw cycles, despite the fact that the culture medium froze solid every night. Furthermore, we showed that this organism is metabolically versatile and phylogenetically almost identical to strains from Antarctic Dry Valley soils. Taken together these results indicate that this organism has unique metabolic and temperature adaptations that make it able to thrive in one of the harshest and climatically volatile places on Earth.</t>
  </si>
  <si>
    <t>[Vimercati, L.; Hamsher, S.; Schubert, Z.; Schmidt, S. K.] Univ Colorado, Dept Ecol &amp; Evolutionary Biol, Campus Box 334, Boulder, CO 80309 USA</t>
  </si>
  <si>
    <t>University of Colorado System; University of Colorado Boulder</t>
  </si>
  <si>
    <t>Schmidt, SK (corresponding author), Univ Colorado, Dept Ecol &amp; Evolutionary Biol, Campus Box 334, Boulder, CO 80309 USA.</t>
  </si>
  <si>
    <t>lara.vimercati@colorado.edu; sarah.hamsher@colorado.edu; zachary.schubert@colorado.edu; steve.schmidt@colorado.edu</t>
  </si>
  <si>
    <t>Facility, BioFrontiers Next Generation Sequencing/AAJ-8616-2020; Vimercati, Lara/AAB-1139-2020; SCHMIDT, STEVEN K/G-2771-2010</t>
  </si>
  <si>
    <t>SCHMIDT, STEVEN K/0000-0002-9175-2085</t>
  </si>
  <si>
    <t>NSF [DEB-1258160]; USAF Office of Scientific Research [FA9550-14-1-0006]; Direct For Biological Sciences; Division Of Environmental Biology [1457827] Funding Source: National Science Foundation; Direct For Biological Sciences; Division Of Environmental Biology [1656978] Funding Source: National Science Foundation</t>
  </si>
  <si>
    <t>NSF(National Science Foundation (NSF)); USAF Office of Scientific Research; Direct For Biological Sciences; Division Of Environmental Biology(National Science Foundation (NSF)NSF - Directorate for Biological Sciences (BIO)); Direct For Biological Sciences; Division Of Environmental Biology(National Science Foundation (NSF)NSF - Directorate for Biological Sciences (BIO))</t>
  </si>
  <si>
    <t>We thank J. L. Darcy and E. Gendron for assistance in the lab and P. Sowell for collecting the soils used in this study. Funding was provided by NSF Grant DEB-1258160 and a Grant from the USAF Office of Scientific Research (FA9550-14-1-0006).</t>
  </si>
  <si>
    <t>SPRINGER JAPAN KK</t>
  </si>
  <si>
    <t>SHIROYAMA TRUST TOWER 5F, 4-3-1 TORANOMON, MINATO-KU, TOKYO, 105-6005, JAPAN</t>
  </si>
  <si>
    <t>1431-0651</t>
  </si>
  <si>
    <t>1433-4909</t>
  </si>
  <si>
    <t>Extremophiles</t>
  </si>
  <si>
    <t>10.1007/s00792-016-0844-8</t>
  </si>
  <si>
    <t>Biochemistry &amp; Molecular Biology; Microbiology</t>
  </si>
  <si>
    <t>DU3WH</t>
  </si>
  <si>
    <t>WOS:000382142400001</t>
  </si>
  <si>
    <t>Martinez, A; Cavello, I; Garmendia, G; Rufo, C; Cavalitto, S; Vero, S</t>
  </si>
  <si>
    <t>Martinez, A.; Cavello, I.; Garmendia, G.; Rufo, C.; Cavalitto, S.; Vero, S.</t>
  </si>
  <si>
    <t>Yeasts from sub-Antarctic region: biodiversity, enzymatic activities and their potential as oleaginous microorganisms</t>
  </si>
  <si>
    <t>Bioenergetics; Enzymes; Psychrophiles</t>
  </si>
  <si>
    <t>SEA-SURFACE MICROLAYER; NILE RED FLUORESCENCE; INTRACELLULAR LIPIDS; SP NOV.; DIVERSITY; CRYPTOCOCCUS; ENVIRONMENTS; PULLULANS; FUNGI; SOIL</t>
  </si>
  <si>
    <t>Various microbial groups are well known to produce a range of extracellular enzymes and other secondary metabolites. However, the occurrence and importance of investment in such activities have received relatively limited attention in studies of Antarctic soil microbiota. Sixty-one yeasts strains were isolated from King George Island, Antarctica which were characterized physiologically and identified at the molecular level using the D1/D2 region of rDNA. Fifty-eight yeasts (belonging to the genera Cryptococcus, Leucosporidiella, Rhodotorula, Guehomyces, Candida, Metschnikowia and Debaryomyces) were screened for extracellular amylolytic, proteolytic, esterasic, pectinolytic, inulolytic xylanolytic and cellulolytic activities at low and moderate temperatures. Esterase activity was the most common enzymatic activity expressed by the yeast isolates regardless the assay temperature and inulinase was the second most common enzymatic activity. No cellulolytic activity was detected. One yeast identified as Guehomyces pullulans (8E) showed significant activity across six of seven enzymes types tested. Twenty-eight yeast isolates were classified as oleaginous, being the isolate 8E the strain that accumulated the highest levels of saponifiable lipids (42 %).</t>
  </si>
  <si>
    <t>[Martinez, A.; Garmendia, G.; Vero, S.] Univ Republica, Fac Quim, Dept Biociencias, Catedra Microbiol, Montevideo, Uruguay; [Cavello, I.; Cavalitto, S.] UNLP, CONICET, CINDEFI, Res &amp; Dev Ctr Ind Fermentat, Calle 47 &amp; 15 B1900ASH, La Plata, Buenos Aires, Argentina; [Rufo, C.] Univ Republ, Inst Polo Tecnol, Fac Quim, Pass Ruta 8 S-N, Pando, Canelones, Uruguay</t>
  </si>
  <si>
    <t>Universidad de la Republica, Uruguay; Consejo Nacional de Investigaciones Cientificas y Tecnicas (CONICET); National University of La Plata; Universidad de la Republica, Uruguay</t>
  </si>
  <si>
    <t>Vero, S (corresponding author), Univ Republica, Fac Quim, Dept Biociencias, Catedra Microbiol, Montevideo, Uruguay.</t>
  </si>
  <si>
    <t>svero@fq.edu.uy</t>
  </si>
  <si>
    <t>Rufo, Caterina/O-4602-2017; Martínez-Silveira, Adalgisa/M-6469-2019; Vero, Silvana/AAF-1887-2019</t>
  </si>
  <si>
    <t>Martínez-Silveira, Adalgisa/0000-0002-7287-9515; Vero, Silvana/0000-0002-8934-6379; Rufo, Caterina/0000-0001-9044-8818</t>
  </si>
  <si>
    <t>Agencia Nacional de Investigacion e Innovacion (ANII) [FSE 102780]; Instituto Antartico Uruguayo (IAU); Pedeciba; Consejo Nacional de Investigaciones Cientificas y Tecnicas (CONICET) [PIP 112-201101-00662]; Agencia Nacional de PromocionCientifica y Tecnologica [PICT 2014-1655]</t>
  </si>
  <si>
    <t>Agencia Nacional de Investigacion e Innovacion (ANII); Instituto Antartico Uruguayo (IAU); Pedeciba; Consejo Nacional de Investigaciones Cientificas y Tecnicas (CONICET)(Consejo Nacional de Investigaciones Cientificas y Tecnicas (CONICET)); Agencia Nacional de PromocionCientifica y Tecnologica(ANPCyTSpanish Government)</t>
  </si>
  <si>
    <t>This work was supported by grants from Agencia Nacional de Investigacion e Innovacion (ANII, FSE 102780), Instituto Antartico Uruguayo (IAU), Pedeciba, Consejo Nacional de Investigaciones Cientificas y Tecnicas (CONICET, PIP 112-201101-00662) and Agencia Nacional de PromocionCientifica y Tecnologica (PICT 2014-1655).</t>
  </si>
  <si>
    <t>CHIYODA FIRST BLDG EAST, 3-8-1 NISHI-KANDA, CHIYODA-KU, TOKYO, 101-0065, JAPAN</t>
  </si>
  <si>
    <t>10.1007/s00792-016-0865-3</t>
  </si>
  <si>
    <t>WOS:000382142400016</t>
  </si>
  <si>
    <t>Tytgat, B; Verleyen, E; Sweetlove, M; D'hondt, S; Clercx, P; Van Ranst, E; Peeters, K; Roberts, S; Namsaraev, Z; Wilmotte, A; Vyverman, W; Willems, A</t>
  </si>
  <si>
    <t>Tytgat, Bjorn; Verleyen, Elie; Sweetlove, Maxime; D'hondt, Sofie; Clercx, Pia; Van Ranst, Eric; Peeters, Karolien; Roberts, Stephen; Namsaraev, Zorigto; Wilmotte, Annick; Vyverman, Wim; Willems, Anne</t>
  </si>
  <si>
    <t>Bacterial community composition in relation to bedrock type and macrobiota in soils from the Sor Rondane Mountains, East Antarctica</t>
  </si>
  <si>
    <t>Illumina; terrestrial environment; 16S rRNA; inland nunataks; ice free</t>
  </si>
  <si>
    <t>16S RIBOSOMAL-RNA; DRONNING-MAUD-LAND; INTERGENIC SPACER ANALYSIS; MICROBIAL DIVERSITY; CYANOBACTERIAL DIVERSITY; ROCK GEOCHEMISTRY; ECOLOGICAL DATA; SEQUENCES; NITROGEN; VALLEY</t>
  </si>
  <si>
    <t>Antarctic soils are known to be oligotrophic and of having low buffering capacities. It is expected that this is particularly the case for inland high-altitude regions. We hypothesized that the bedrock type and the presence of macrobiota in these soils enforce a high selective pressure on their bacterial communities. To test this, we analyzed the bacterial community structure in 52 soil samples from the western Sor Rondane Mountains (Dronning Maud Land, East Antarctica), using the Illumina MiSeq platform in combination with ARISA fingerprinting. The samples were taken along broad environmental gradients in an area covering nearly 1000 km(2). Ordination and variation partitioning analyses revealed that the total organic carbon content was the most significant variable in structuring the bacterial communities, followed by pH, electric conductivity, bedrock type and the moisture content, while spatial distance was of relatively minor importance. Acidobacteria (Chloracidobacteria) and Actinobacteria (Actinomycetales) dominated gneiss derived mineral soil samples, while Proteobacteria (Sphingomonadaceae), Cyanobacteria, Armatimonadetes and candidate division FBP-dominated soil samples with a high total organic carbon content that were mainly situated on granite derived bedrock.Lichen- and moss-associated carbon and moisture content, and physicochemical characteristics of bedrock type structure prokaryotic communities in the Sor Rondane Mountains, East Antarctica.Lichen- and moss-associated carbon and moisture content, and physicochemical characteristics of bedrock type structure prokaryotic communities in the Sor Rondane Mountains, East Antarctica.</t>
  </si>
  <si>
    <t>[Tytgat, Bjorn; Clercx, Pia; Peeters, Karolien; Willems, Anne] Univ Ghent, Dept Microbiol &amp; Biochem, Microbiol Lab, B-9000 Ghent, Belgium; [Verleyen, Elie; Sweetlove, Maxime; D'hondt, Sofie; Vyverman, Wim] Univ Ghent, Dept Biol, Lab Protistol &amp; Aquat Ecol, B-9000 Ghent, Belgium; [Van Ranst, Eric] Univ Ghent, Dept Geol &amp; Soil Sci, Lab Soil Sci, B-9000 Ghent, Belgium; [Roberts, Stephen] British Antarctic Survey, Nat Environm Res, Cambridge CB3 0ET, England; [Namsaraev, Zorigto] NRC Kurchatov Inst, Dept Biotechnol &amp; Bioenergy, Moscow 123182, Russia; [Namsaraev, Zorigto] Winogradsky Inst Microbiol RAS, Moscow 117312, Russia; [Wilmotte, Annick] Univ Liege, Dept Life Sci, Ctr Prot Engn, B-4000 Liege, Belgium</t>
  </si>
  <si>
    <t>Ghent University; Ghent University; Ghent University; UK Research &amp; Innovation (UKRI); Natural Environment Research Council (NERC); NERC British Antarctic Survey; National Research Centre - Kurchatov Institute; Russian Academy of Sciences; Research Center of Biotechnology RAS; University of Liege</t>
  </si>
  <si>
    <t>Tytgat, B (corresponding author), Univ Ghent, Dept Biochem &amp; Microbiol, KL Ledeganckstr 35, B-9000 Ghent, Belgium.</t>
  </si>
  <si>
    <t>bjorn.tytgat@ugent.be</t>
  </si>
  <si>
    <t>Namsaraev, Zorigto/A-3696-2014; Wilmotte, Annick/H-1686-2011; Willems, Anne/B-2872-2010</t>
  </si>
  <si>
    <t>Namsaraev, Zorigto/0000-0002-9701-5721; Roberts, Stephen/0000-0003-3407-9127; Willems, Anne/0000-0002-8421-2881; Wilmotte, Annick/0000-0003-3546-3489</t>
  </si>
  <si>
    <t>Special Research Fund BOF of Ghent University [0J28410]; Belgian Science Policy Office (BelSPO) [EA/00/05, SD/BA/01A, SD/BA/03A]; Natural Environment Research Council [bas0100030] Funding Source: researchfish; NERC [bas0100030] Funding Source: UKRI</t>
  </si>
  <si>
    <t>Special Research Fund BOF of Ghent University(Ghent University); Belgian Science Policy Office (BelSPO)(Belgian Federal Science Policy Office); Natural Environment Research Council(UK Research &amp; Innovation (UKRI)Natural Environment Research Council (NERC)); NERC(UK Research &amp; Innovation (UKRI)Natural Environment Research Council (NERC))</t>
  </si>
  <si>
    <t>This research was funded by the Special Research Fund BOF of Ghent University (grant 0J28410) and by the Belgian Science Policy Office (BelSPO) projects BELDIVA (EA/00/05), AMBIO (SD/BA/01A) and CCAMBIO (SD/BA/03A). A. Wilmotte is Research Associate of the FRS-FNRS. This study is a contribution to the State of the Antarctic Ecosystem (AntEco) research program of the Scientific Committee on Antarctic Research (SCAR).</t>
  </si>
  <si>
    <t>fiw126</t>
  </si>
  <si>
    <t>10.1093/femsec/fiw126</t>
  </si>
  <si>
    <t>DW8IL</t>
  </si>
  <si>
    <t>WOS:000383898400002</t>
  </si>
  <si>
    <t>Watson, RA; Green, BS; Tracey, SR; Farmery, A; Pitcher, TJ</t>
  </si>
  <si>
    <t>Watson, Reg A.; Green, Bridget S.; Tracey, Sean R.; Farmery, Anna; Pitcher, Tony J.</t>
  </si>
  <si>
    <t>Provenance of global seafood</t>
  </si>
  <si>
    <t>FISH AND FISHERIES</t>
  </si>
  <si>
    <t>Export; import; mapping; seafood</t>
  </si>
  <si>
    <t>HUMAN-POPULATION DENSITY; FOOD SECURITY; FISHERIES; MANAGEMENT; ILLEGAL; FISH; SUSTAINABILITY; MARKETS; SAFETY; TRENDS</t>
  </si>
  <si>
    <t>Knowing where and how seafood is caught or farmed is central to empowering consumers, and the importers that supply them, with informed choices. Given the wide-ranging, complex and at times commercially sensitive nature of global seafood trade, it can prove very challenging to link imported seafood with information about its provenance. The databases involved are incomplete, at times vague and not harmonized. Here, we present a first attempt to link all global seafood imports through a virtual marketplace to exports and map their origins. Considerable work remains to ground-truth the specific origins of all seafood commodities. We illustrate the flow of seafood and its evolution since the 1970s when supporting records began. This work allows the impact of fishing or marine farming to be associated with seafood imports.</t>
  </si>
  <si>
    <t>[Watson, Reg A.; Green, Bridget S.; Tracey, Sean R.; Farmery, Anna] Univ Tasmania, Inst Marine &amp; Antarctic Studies, Private Bag 129, Hobart, Tas 7001, Australia; [Pitcher, Tony J.] Univ British Columbia, Fisheries Ctr, Vancouver, BC V6T 1Z4, Canada</t>
  </si>
  <si>
    <t>University of Tasmania; University of British Columbia</t>
  </si>
  <si>
    <t>Watson, RA (corresponding author), Univ Tasmania, Inst Marine &amp; Antarctic Studies, Private Bag 129, Hobart, Tas 7001, Australia.</t>
  </si>
  <si>
    <t>rwatson@ecomarres.com</t>
  </si>
  <si>
    <t>Watson, Reg A/F-4850-2012; Green, Bridget S/G-3368-2014; Farmery, Anna/H-9696-2014; Tracey, Sean/J-7446-2014</t>
  </si>
  <si>
    <t>Watson, Reg A/0000-0001-7201-8865; Farmery, Anna/0000-0002-8938-0040; Tracey, Sean/0000-0002-6735-5899</t>
  </si>
  <si>
    <t>Australian Research Council [DP140101377]; Science and Engineering Council of Canada</t>
  </si>
  <si>
    <t>Australian Research Council(Australian Research Council); Science and Engineering Council of Canada</t>
  </si>
  <si>
    <t>Authors acknowledge the provision of databases developed by the Sea Around Us project, a scientific collaboration between the University of British Columbia and the Pew Environment Group. We thank Bob Gerlt (ESRI - Applications Prototype Lab) for making the procedures we used for mapping the distributed flow of seafood available. R.A.W., B.S.G. and S.T. acknowledge funding support from the Australian Research Council Discovery project support (DP140101377). T.J.P. acknowledges an operating grant from the Science and Engineering Council of Canada.</t>
  </si>
  <si>
    <t>1467-2960</t>
  </si>
  <si>
    <t>1467-2979</t>
  </si>
  <si>
    <t>FISH FISH</t>
  </si>
  <si>
    <t>Fish. Fish.</t>
  </si>
  <si>
    <t>10.1111/faf.12129</t>
  </si>
  <si>
    <t>DU8VW</t>
  </si>
  <si>
    <t>WOS:000382494600003</t>
  </si>
  <si>
    <t>Pratt, L; Barkan, R; Rypina, I</t>
  </si>
  <si>
    <t>Pratt, Larry; Barkan, Roy; Rypina, Irina</t>
  </si>
  <si>
    <t>Scalar Flux Kinematics</t>
  </si>
  <si>
    <t>FLUIDS</t>
  </si>
  <si>
    <t>residual scalar fluxes; transport barriers; Lagrangian coherent structures; stable and unstable manifolds; dynamical fluxes; Antarctic Circumpolar Current; PACS; J0101</t>
  </si>
  <si>
    <t>LAGRANGIAN COHERENT STRUCTURES; LOBE DYNAMICS; APERIODIC FLOWS; DOUBLE-GYRE; TRANSPORT; EDDY; RECIRCULATION; VORTICITY; ATLANTIC; EXCHANGE</t>
  </si>
  <si>
    <t>The first portion of this paper contains an overview of recent progress in the development of dynamical-systems-based methods for the computation of Lagrangian transport processes in physical oceanography. We review the considerable progress made in the computation and interpretation of key material features such as eddy boundaries, and stable and unstable manifolds (or their finite-time approximations). Modern challenges to the Lagrangian approach include the need to deal with the complexity of the ocean submesoscale and the difficulty in computing fluxes of properties other than volume. We suggest a new approach that reduces complexity through time filtering and that directly addresses non-material, residual scalar fluxes. The approach is semi-Lagrangian insofar as it contemplates trajectories of a velocity field related to a residual scalar flux, usually not the fluid velocity. Two examples are explored, the first coming from a canonical example of viscous adjustment along a flat plate and the second from a numerical simulation of a turbulent Antarctic Circumpolar Current in an idealized geometry. Each example concentrates on the transport of dynamically relevant scalars, and the second illustrates how substantial material exchange across a baroclinically unstable jet coexists with zero residual buoyancy flux.</t>
  </si>
  <si>
    <t>[Pratt, Larry; Rypina, Irina] Woods Hole Oceanog Inst, Dept Phys Oceanog, Mail Stop 21,266 Woods Hole Rd, Woods Hole, MA 02543 USA; [Barkan, Roy] Univ Calif Los Angeles, Dept Atmospher &amp; Ocean Sci, Los Angeles, CA 90095 USA</t>
  </si>
  <si>
    <t>Woods Hole Oceanographic Institution; University of California System; University of California Los Angeles</t>
  </si>
  <si>
    <t>Pratt, L (corresponding author), Woods Hole Oceanog Inst, Dept Phys Oceanog, Mail Stop 21,266 Woods Hole Rd, Woods Hole, MA 02543 USA.</t>
  </si>
  <si>
    <t>lpratt@whoi.edu; rbarkan@atmos.ucla.edu; irypina@whoi.edu</t>
  </si>
  <si>
    <t>Barkan, Roy/GZK-9665-2022</t>
  </si>
  <si>
    <t>Rypina, Irina/0000-0002-2115-4522</t>
  </si>
  <si>
    <t>DOD (MURI) [N000141110087]</t>
  </si>
  <si>
    <t>DOD (MURI)(MURIUnited States Department of Defense)</t>
  </si>
  <si>
    <t>The authors are grateful for support through DOD (MURI) Grant N000141110087, administered by the Office of Naval Research. We also thank two reviewers for thoughtful suggestions and George Haller for pointing out the result listed at the end of Section 2.1.</t>
  </si>
  <si>
    <t>2311-5521</t>
  </si>
  <si>
    <t>Fluids</t>
  </si>
  <si>
    <t>10.3390/fluids1030027</t>
  </si>
  <si>
    <t>Mechanics; Physics, Fluids &amp; Plasmas</t>
  </si>
  <si>
    <t>Mechanics; Physics</t>
  </si>
  <si>
    <t>FR0JI</t>
  </si>
  <si>
    <t>WOS:000418747400008</t>
  </si>
  <si>
    <t>Han, ML; Chen, YY; Shen, LL; Song, J; Vlasák, J; Dai, YC; Cui, BK</t>
  </si>
  <si>
    <t>Han, Mei-Ling; Chen, Yuan-Yuan; Shen, Lu-Lu; Song, Jie; Vlasak, Josef; Dai, Yu-Cheng; Cui, Bao-Kai</t>
  </si>
  <si>
    <t>Taxonomy and phylogeny of the brown-rot fungi: Fomitopsis and its related genera</t>
  </si>
  <si>
    <t>FUNGAL DIVERSITY</t>
  </si>
  <si>
    <t>Fomitopsidaceae; Multi-marker analysis; Phylogeny; Polypore; Systematics</t>
  </si>
  <si>
    <t>ANTARCTIC PIPTOPORUS POLYPORACEAE; SP-NOV POLYPORALES; MOLECULAR PHYLOGENY; MORPHOLOGICAL CHARACTERS; RIBOSOMAL DNA; BASIDIOMYCOTA; MUSHROOMS; LAETIPORUS; CONFIDENCE; INFERENCE</t>
  </si>
  <si>
    <t>Taxonomic and phylogenetic studies on the brown-rot fungi, Fomitopsis and its related genera, are carried out. On the basis of morphological characters and phylogenetic evidence of DNA sequences of multiple loci including the internal transcribed spacer (ITS) regions, the large subunit nuclear ribosomal RNA gene (nLSU), the small subunit nuclear ribosomal RNA gene (nSSU), the small subunit mitochondrial rRNA gene sequences (mtSSU), the translation elongation factor 1-alpha gene (tef1) and the second subunit of RNA polymerase II (rpb2), six new genera, Fragifomes, Niveoporofomes, Piptoporellus, Rhodofomitopsis, Rubellofomes and Ungulidaedalea are established. Four new species, Buglossoporus eucalypticola, Daedalea allantoidea, Piptoporellus hainanensis and P. triqueter are descibed from China. Illustrated descriptions of the novel species are provided. Identification keys to Fomitopsis and its related genera, as well as keys to the species of each genus are provided.</t>
  </si>
  <si>
    <t>[Han, Mei-Ling; Chen, Yuan-Yuan; Shen, Lu-Lu; Song, Jie; Dai, Yu-Cheng; Cui, Bao-Kai] Beijing Forestry Univ, Inst Microbiol, POB 61, Beijing 100083, Peoples R China; [Vlasak, Josef] Acad Sci Czech Republ, Ctr Biol, Ceske Budejovice, Czech Republic</t>
  </si>
  <si>
    <t>Beijing Forestry University; Czech Academy of Sciences; Biology Centre of the Czech Academy of Sciences</t>
  </si>
  <si>
    <t>Cui, BK (corresponding author), Beijing Forestry Univ, Inst Microbiol, POB 61, Beijing 100083, Peoples R China.</t>
  </si>
  <si>
    <t>baokaicui2013@gmail.com</t>
  </si>
  <si>
    <t>dai, yu/JJE-1621-2023; Vlasak, Josef/G-8083-2014; cui, baokai/P-8328-2014</t>
  </si>
  <si>
    <t>cui, baokai/0000-0003-3059-9344</t>
  </si>
  <si>
    <t>National Natural Science Foundation of China [31170018, 31422001]; National Science and Technology Foundation Project of China [2014FY210400]; Beijing Higher Education Young Elite Teacher Project [YETP0774]</t>
  </si>
  <si>
    <t>National Natural Science Foundation of China(National Natural Science Foundation of China (NSFC)); National Science and Technology Foundation Project of China; Beijing Higher Education Young Elite Teacher Project</t>
  </si>
  <si>
    <t>We express our gratitude to the curators of BAFC, E, H, IFP, K, LY, O and PAC for loan of specimens. The research was financed by the National Natural Science Foundation of China (Project Nos. 31170018 and 31422001), the National Science and Technology Foundation Project of China (No. 2014FY210400) and Beijing Higher Education Young Elite Teacher Project (YETP0774).</t>
  </si>
  <si>
    <t>1560-2745</t>
  </si>
  <si>
    <t>1878-9129</t>
  </si>
  <si>
    <t>FUNGAL DIVERS</t>
  </si>
  <si>
    <t>Fungal Divers.</t>
  </si>
  <si>
    <t>10.1007/s13225-016-0364-y</t>
  </si>
  <si>
    <t>Mycology</t>
  </si>
  <si>
    <t>EA5MU</t>
  </si>
  <si>
    <t>WOS:000386665700005</t>
  </si>
  <si>
    <t>Beet, CR; Hogg, ID; Collins, GE; Cowan, DA; Wall, DH; Adams, BJ</t>
  </si>
  <si>
    <t>Beet, Clare R.; Hogg, Ian D.; Collins, Gemma E.; Cowan, Don A.; Wall, Diana H.; Adams, Byron J.</t>
  </si>
  <si>
    <t>Genetic diversity among populations of Antarctic springtails (Collembola) within the Mackay Glacier ecotone</t>
  </si>
  <si>
    <t>GENOME</t>
  </si>
  <si>
    <t>Antarcticinella monoculata; biomonitoring; climate change; Cryptopygus nivicolus; Gomphiocephalus hodgsoni</t>
  </si>
  <si>
    <t>VICTORIA LAND; MITOCHONDRIAL-DNA; GRESSITTACANTHA-TERRANOVA; MOUNTAINS; DIFFERENTIATION; BIODIVERSITY; VARIABILITY; GLACIATION; DISPERSAL; PENINSULA</t>
  </si>
  <si>
    <t>Climate changes are likely to have major influences on the distribution and abundance of Antarctic terrestrial biota. To assess arthropod distribution and diversity within the Ross Sea region, we examined mitochondrial DNA (COI) sequences for three currently recognized species of springtail (Collembola) collected from sites in the vicinity, and to the north of, the Mackay Glacier (77 degrees S). This area acts as a transition between two biogeographic regions (northern and southern Victoria Land). We found populations of highly divergent individuals (5%-11.3% intraspecific sequence divergence) for each of the three putative springtail species, suggesting the possibility of cryptic diversity. Based on molecular clock estimates, these divergent lineages are likely to have been isolated for 3-5 million years. It was during this time that the Western Antarctic Ice Sheet (WAIS) was likely to have completely collapsed, potentially facilitating springtail dispersal via rafting on running waters and open seaways. The reformation of the WAIS would have isolated newly established populations, with subsequent dispersal restricted by glaciers and ice-covered areas. Given the currently limited distributions for these genetically divergent populations, any future changes in species' distributions can be easily tracked through the DNA barcoding of springtails from within the Mackay Glacier ecotone.</t>
  </si>
  <si>
    <t>[Beet, Clare R.; Hogg, Ian D.; Collins, Gemma E.] Univ Waikato, Sch Sci, Hamilton, New Zealand; [Cowan, Don A.] Univ Pretoria, Ctr Microbial Ecol &amp; Genom, Pretoria, South Africa; [Cowan, Don A.] Univ Pretoria, Genom Res Inst, Pretoria, South Africa; [Wall, Diana H.] Colorado State Univ, Dept Biol, Nat Resource Ecol Lab, Ft Collins, CO 80523 USA; [Adams, Byron J.] Brigham Young Univ, Dept Biol, Evolutionary Ecol Labs, Provo, UT 84602 USA; [Adams, Byron J.] Brigham Young Univ, Monte L Bean Life Sci Museum, Provo, UT 84602 USA</t>
  </si>
  <si>
    <t>University of Waikato; University of Pretoria; University of Pretoria; Colorado State University; Brigham Young University; Brigham Young University</t>
  </si>
  <si>
    <t>Hogg, ID (corresponding author), Univ Waikato, Sch Sci, Hamilton, New Zealand.</t>
  </si>
  <si>
    <t>Hogg, Ian D./HNS-7393-2023; Cowan, Donald A/E-3991-2012; Wall, Diana H/F-5491-2011; Adams, Byron/C-3808-2009</t>
  </si>
  <si>
    <t>Hogg, Ian D./0000-0002-6685-0089; Cowan, Donald A/0000-0001-8059-861X; Adams, Byron/0000-0002-7815-3352</t>
  </si>
  <si>
    <t>0831-2796</t>
  </si>
  <si>
    <t>1480-3321</t>
  </si>
  <si>
    <t>Genome</t>
  </si>
  <si>
    <t>10.1139/gen-2015-0194</t>
  </si>
  <si>
    <t>DW6SW</t>
  </si>
  <si>
    <t>WOS:000383782500012</t>
  </si>
  <si>
    <t>Le, PT; Makhalanyane, TP; Guerrero, LD; Vikram, S; Van de Peer, Y; Cowan, DA</t>
  </si>
  <si>
    <t>Phuong Thi Le; Makhalanyane, Thulani P.; Guerrero, Leandro D.; Vikram, Surendra; Van de Peer, Yves; Cowan, Don A.</t>
  </si>
  <si>
    <t>Comparative Metagenomic Analysis Reveals Mechanisms for Stress Response in Hypoliths from Extreme Hyperarid Deserts</t>
  </si>
  <si>
    <t>stress response; deserts; comparative metagenomics; Antarctica; Namib Desert; hypoliths; soils; biomes</t>
  </si>
  <si>
    <t>SOIL MICROBIAL COMMUNITIES; ROSS SEA REGION; CLIMATE-CHANGE; ENVIRONMENTAL GRADIENTS; BACILLUS-SUBTILIS; CHINA HOT; DIVERSITY; ECOLOGY; BIODIVERSITY; LIFE</t>
  </si>
  <si>
    <t>Understanding microbial adaptation to environmental stressors is crucial for interpreting broader ecological patterns. In the most extreme hot and cold deserts, cryptic niche communities are thought to play key roles in ecosystem processes and represent excellent model systems for investigating microbial responses to environmental stressors. However, relatively little is known about the genetic diversity underlying such functional processes in climatically extreme desert systems. This study presents the first comparative metagenome analysis of cyanobacteria-dominated hypolithic communities in hot (Namib Desert, Namibia) and cold (Miers Valley, Antarctica) hyperarid deserts. The most abundant phyla in both hypolith metagenomes were Actinobacteria, Proteobacteria, Cyanobacteria and Bacteroidetes with Cyanobacteria dominating in Antarctic hypoliths. However, no significant differences between the two metagenomes were identified. The Antarctic hypolithic metagenome displayed a high number of sequences assigned to sigma factors, replication, recombination and repair, translation, ribosomal structure, and biogenesis. In contrast, the Namib Desert metagenome showed a high abundance of sequences assigned to carbohydrate transport and metabolism. Metagenome data analysis also revealed significant divergence in the genetic determinants of amino acid and nucleotide metabolism between these two metagenomes and those of soil from other polar deserts, hot deserts, and non-desert soils. Our results suggest extensive niche differentiation in hypolithic microbial communities from these two extreme environments and a high genetic capacity for survival under environmental extremes.</t>
  </si>
  <si>
    <t>[Phuong Thi Le; Makhalanyane, Thulani P.; Guerrero, Leandro D.; Vikram, Surendra; Van de Peer, Yves; Cowan, Don A.] Univ Pretoria, Dept Genet, CMEG, Pretoria, South Africa; [Phuong Thi Le; Van de Peer, Yves] VIB, Dept Plant Syst Biol, Ghent, Belgium; [Phuong Thi Le; Van de Peer, Yves] Univ Ghent, Dept Plant Biotechnol &amp; Bioinformat, Ghent, Belgium; [Van de Peer, Yves] Univ Ghent, Bioinformat Inst Ghent, Technol Pk 927, Ghent, Belgium</t>
  </si>
  <si>
    <t>University of Pretoria; Flanders Institute for Biotechnology (VIB); Ghent University; Ghent University</t>
  </si>
  <si>
    <t>Van de Peer, Y; Cowan, DA (corresponding author), Univ Pretoria, Dept Genet, CMEG, Pretoria, South Africa.;Van de Peer, Y (corresponding author), VIB, Dept Plant Syst Biol, Ghent, Belgium.;Van de Peer, Y (corresponding author), Univ Ghent, Dept Plant Biotechnol &amp; Bioinformat, Ghent, Belgium.;Van de Peer, Y (corresponding author), Univ Ghent, Bioinformat Inst Ghent, Technol Pk 927, Ghent, Belgium.</t>
  </si>
  <si>
    <t>yves.vandepeer@psb.vib-ugent.be; don.cowan@up.ac.za</t>
  </si>
  <si>
    <t>Van de Peer, Yves/D-4388-2009; Makhalanyane, Thulani P./C-6815-2012; Le, Phuong/E-5622-2019; Van de Peer, Yves/AAE-7666-2019; Cowan, Donald A/E-3991-2012</t>
  </si>
  <si>
    <t>Van de Peer, Yves/0000-0003-4327-3730; Makhalanyane, Thulani P./0000-0002-8173-1678; Le, Phuong/0000-0002-8738-6705; Van de Peer, Yves/0000-0003-4327-3730; Cowan, Donald A/0000-0001-8059-861X; Vikram, Surendra/0000-0002-4721-2890</t>
  </si>
  <si>
    <t>University of Pretoria Genomics Research Institute; South African National Antarctic Program (SANAP); National Research Foundation (NRF); Ghent University [Multidisciplinary Research Partnership Bioinformatics: from nucleotides to networks]</t>
  </si>
  <si>
    <t>University of Pretoria Genomics Research Institute; South African National Antarctic Program (SANAP); National Research Foundation (NRF); Ghent University [Multidisciplinary Research Partnership Bioinformatics: from nucleotides to networks](Ghent University)</t>
  </si>
  <si>
    <t>The authors gratefully acknowledge the following organizations: The University of Pretoria Genomics Research Institute (PTL, TPM, DAC, and YVdP), South African National Antarctic Program (SANAP) and the National Research Foundation (NRF) for funding (LG, SV). We also thank Antarctica New Zealand and the Desert Research and Training Centre (Namibia) for logistics support. YVdP also acknowledges support from Ghent University [Multidisciplinary Research Partnership Bioinformatics: from nucleotides to networks].</t>
  </si>
  <si>
    <t>10.1093/gbe/evw189</t>
  </si>
  <si>
    <t>DX3WP</t>
  </si>
  <si>
    <t>WOS:000384307900008</t>
  </si>
  <si>
    <t>Mishin, VM; Mishin, VV; Moiseev, AV</t>
  </si>
  <si>
    <t>Mishin, V. M.; Mishin, V. V.; Moiseev, A. V.</t>
  </si>
  <si>
    <t>Distribution of the field-aligned currents in the ionosphere: dawn-dusk asymmetry and its relation to the asymmetry between the two hemispheres</t>
  </si>
  <si>
    <t>MAGNETOGRAM INVERSION TECHNIQUE; AURORAL OVAL; SUBSTORM; MAGNETOSPHERE; SYSTEM; MODEL; NORTHERN</t>
  </si>
  <si>
    <t>The dynamics of the system of field-aligned currents (FACs) and closing ionospheric Pedersen currents is considered with the use of original processing methods and the data from four substorms of different types. The total current system comprises of two parts. One is the well-known substorm current wedge (SCW) system, in which the zonal (westward ) current closes FACs in the R1 zone (region). The component 2 consists of two pairs of meridional currents flowing equatorward and poleward in the R1 region and creating regions R0 and R2 (according to the classification of Iijima and Potemra). It is shown that the total FAC of the disturbed magnetosphere-ionosphere system is dominated by the contribution of component 2, which contradicts the original version of the SCW model but is consistent with new data. The quantitative characteristics of the dawn-dusk asymmetry are determined for the FAC distribution in the ionosphere for each substorm. It is shown that the ratio of the average intensities of FACs in the regions R0 and R2 was I (R0)/I (R2) aeyen 0.4, which contradicts the popular opinion that there are no FACs in the polar cap. In addition, a relatively rare event of the simultaneous start of the substorm explosive phase and the SSC caused by the dynamic impact of the solar wind when the polar cap expands (rather than compresses as usual) is considered.</t>
  </si>
  <si>
    <t>[Mishin, V. M.; Mishin, V. V.] Russian Acad Sci, ISTP, Siberian Branch, Irkutsk, Russia; [Moiseev, A. V.] Russian Acad Sci, Inst Cosmophys Res &amp; Aeron, Siberian Branch, Yakutsk, Russia</t>
  </si>
  <si>
    <t>Russian Academy of Sciences; Russian Academy of Sciences; Shafer Institute of Cosmophysical Research &amp; Aeronomy, Siberian Branch of the Russian Academy of Sciences</t>
  </si>
  <si>
    <t>Mishin, VM (corresponding author), Russian Acad Sci, ISTP, Siberian Branch, Irkutsk, Russia.</t>
  </si>
  <si>
    <t>vladm@iszf.irk.ru</t>
  </si>
  <si>
    <t>Mishin, Vladimir Vilenovich/S-6119-2017; Моисеев, Алексей/AAC-5125-2020</t>
  </si>
  <si>
    <t>Mishin, Vladimir Vilenovich/0000-0002-2729-2862;</t>
  </si>
  <si>
    <t>Russian Foundation for Basic Research [14-37-00027]</t>
  </si>
  <si>
    <t>We thank colleagues from the MIT ISTP group for technical assistance and discussions. We are grateful to NASA Coordinated Data Analysis Web (CDAWEB) for the provided data on the solar wind parameters, J. Mann et al. for the geomagnetic data of the Canadian networks CANMOS and CARISMA, the owners of information for the provided data from WDC_C2 (Kyoto) and IDC_B, INTERMAGNET networks, IMAGE, GIMA, and MACCS, and the observatories DIM (Denmark), Arctic and Antarctic Research Institute (AARI), Institute of Cosmophysical Research and Radio Wave Propagation of the Far Eastern Branch of the Russian Academy of Sciences, Novosibirsk, and Arti. This work was supported by the Russian Foundation for Basic Research, project no. 14-37-00027.</t>
  </si>
  <si>
    <t>10.1134/S0016793216050091</t>
  </si>
  <si>
    <t>WOS:000386517600002</t>
  </si>
  <si>
    <t>Kingslake, J; Martín, C; Arthern, RJ; Corr, HFJ; King, EC</t>
  </si>
  <si>
    <t>Kingslake, Jonathan; Martin, Carlos; Arthern, Robert J.; Corr, Hugh F. J.; King, Edward C.</t>
  </si>
  <si>
    <t>Ice-flow reorganization in West Antarctica 2.5kyr ago dated using radar-derived englacial flow velocities</t>
  </si>
  <si>
    <t>ice sheets; ice flow; past ice flow; ice-penetrating radar; inverse methods; field observations</t>
  </si>
  <si>
    <t>WEDDELL SEA SECTOR; PHASE-SENSITIVE RADAR; GROUND-BASED RADAR; BASAL MELT RATES; THERMOMECHANICAL MODEL; SHEET; SHELF; STREAM; ISLAND; DIRECTION</t>
  </si>
  <si>
    <t>We date a recent ice-flow reorganization of an ice divide in the Weddell Sea Sector, West Antarctica, using a novel combination of inverse methods and ice-penetrating radars. We invert for two-dimensional ice flow within an ice divide from data collected with a phase-sensitive ice-penetrating radar while accounting for the effect of firn on radar propagation and ice flow. By comparing isochronal layers simulated using radar-derived flow velocities with internal layers observed with an impulse radar, we show that the divide's internal structure is not in a steady state but underwent a disturbance, potentially implying a regional ice-flow reorganization, 2.5 (1.8-2.9)kyr B.P. Our data are consistent with slow ice flow in this location before the reorganization and the ice divide subsequently remaining stationary. These findings increase our knowledge of the glacial history of a region that lacks dated constraints on late-Holocene ice-sheet retreat and provides a key target for models that reconstruct and predict ice-sheet behavior.</t>
  </si>
  <si>
    <t>[Kingslake, Jonathan; Martin, Carlos; Arthern, Robert J.; Corr, Hugh F. J.; King, Edward C.] Lamont Doherty Earth Observ, Palisades, NY 10964 USA; [Kingslake, Jonathan] British Antarctic Survey, Nat Environm Res Council, Cambridge, England</t>
  </si>
  <si>
    <t>Columbia University; UK Research &amp; Innovation (UKRI); Natural Environment Research Council (NERC); NERC British Antarctic Survey</t>
  </si>
  <si>
    <t>Kingslake, J (corresponding author), Lamont Doherty Earth Observ, Palisades, NY 10964 USA.;Kingslake, J (corresponding author), British Antarctic Survey, Nat Environm Res Council, Cambridge, England.</t>
  </si>
  <si>
    <t>j.kingslake@columbia.edu</t>
  </si>
  <si>
    <t>Corr, Hugh/C-5398-2011; Martin, Carlos/S-2778-2018</t>
  </si>
  <si>
    <t>Martin, Carlos/0000-0002-2661-169X</t>
  </si>
  <si>
    <t>Natural Environmental Research Council [NE/J008087/1]; NERC [NE/J008087/1, bas0100034, NE/F015526/1, NE/G014248/1] Funding Source: UKRI; Natural Environment Research Council [NE/F015526/1, NE/G014248/1, bas0100034, NE/J008087/1] Funding Source: researchfish</t>
  </si>
  <si>
    <t>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</si>
  <si>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Natural Environmental Research Council grant NE/J008087/1 Dating and modelling fast ice-sheet grounding-line retreat over the last 4000 years in the SW Weddell Sea, Antarctica. Logistical support was provided by many members of the British Antarctic Survey's air unit and field operations team. Thank you particularly to Iain Rudkin and Scott Webster for their assistance in the field. All radar and GPS data can be obtained from the UK polar Data Centre at the following: http://doi.org/99d, http://doi.org/99c, and http://doi.org/99b. Thank you to Rob Mulvaney for supplying ice-core density data from Fletcher Promontory and to Andy Smith for showing us seismic reflection data indicating cold-based conditions on Korff Ice Rise. We thank Richard Hindmarsh, who obtained the project funding and has been an active influence on the analysis of the Raymond Effect. We would also like to thank Reinhard Drews and Neil Ross for positive and constructive reviews.</t>
  </si>
  <si>
    <t>10.1002/2016GL070278</t>
  </si>
  <si>
    <t>Green Accepted, Green Published, Bronze</t>
  </si>
  <si>
    <t>WOS:000385357200035</t>
  </si>
  <si>
    <t>Nicholson, SA; Lévy, M; Llort, J; Swart, S; Monteiro, PMS</t>
  </si>
  <si>
    <t>Nicholson, Sarah-Anne; Levy, Marina; Llort, Joan; Swart, Sebastiaan; Monteiro, Pedro M. S.</t>
  </si>
  <si>
    <t>Investigation into the impact of storms on sustaining summer primary productivity in the Sub-Antarctic Ocean</t>
  </si>
  <si>
    <t>primary production; sustained; vertical mixing; summer; storms; dissolved iron</t>
  </si>
  <si>
    <t>NEAR-INERTIAL ENERGY; SOUTHERN-OCEAN; MIXED-LAYER; SEASONAL CYCLE; IRON BUDGETS; SURFACE</t>
  </si>
  <si>
    <t>In the Sub-Antarctic Ocean elevated phytoplankton biomass persists through summer at a time when productivity is expected to be low due to iron limitation. Biological iron recycling has been shown to support summer biomass. In addition, we investigate an iron supply mechanism previously unaccounted for in iron budget studies. Using a 1-D biogeochemical model, we show how storm-driven mixing provides relief from phytoplankton iron limitation through the entrainment of iron beneath the productive layer. This effect is significant when a mixing transition layer of strong diffusivities (k(z)&gt;10(-4)m(2)s(-1)) is present beneath the surface-mixing layer. Such subsurface mixing has been shown to arise from interactions between turbulent ocean dynamics and storm-driven inertial motions. The addition of intraseasonal mixing yielded increases of up to 60% in summer primary production. These results stress the need to acquire observations of subsurface mixing and to develop the appropriate parameterizations of such phenomena for ocean-biogeochemical models.</t>
  </si>
  <si>
    <t>[Nicholson, Sarah-Anne; Levy, Marina; Llort, Joan] Sorbonne Univ, UPMC, Lab Oceanog &amp; Climat LOCEAN, CNRS,UPMC,IRD,MNHN,IPSL, Paris, France; [Nicholson, Sarah-Anne; Swart, Sebastiaan; Monteiro, Pedro M. S.] Southern Ocean Carbon Climate Observ, CSIR CHPC, ZA-7700 Cape Town, South Africa; [Nicholson, Sarah-Anne; Swart, Sebastiaan; Monteiro, Pedro M. S.] Univ Cape Town, Dept Oceanog, Rondebosch, South Africa</t>
  </si>
  <si>
    <t>Sorbonne Universite; Universite Paris Cite; Institut de Recherche pour le Developpement (IRD); Centre National de la Recherche Scientifique (CNRS); Museum National d'Histoire Naturelle (MNHN); University of Cape Town</t>
  </si>
  <si>
    <t>Nicholson, SA (corresponding author), Sorbonne Univ, UPMC, Lab Oceanog &amp; Climat LOCEAN, CNRS,UPMC,IRD,MNHN,IPSL, Paris, France.;Nicholson, SA (corresponding author), Southern Ocean Carbon Climate Observ, CSIR CHPC, ZA-7700 Cape Town, South Africa.;Nicholson, SA (corresponding author), Univ Cape Town, Dept Oceanog, Rondebosch, South Africa.</t>
  </si>
  <si>
    <t>sarahanne.n@gmail.com</t>
  </si>
  <si>
    <t>Llort, Joan/O-2162-2017; Llort, Joan/O-6182-2019; Nicholson, Sarah-Anne/AAN-2655-2021; Monteiro, Pedro M. S./D-3767-2009; Swart, Sebastiaan/U-5498-2017; Levy, Marina/A-1315-2012</t>
  </si>
  <si>
    <t>Llort, Joan/0000-0003-1490-4521; Llort, Joan/0000-0003-1490-4521; Nicholson, Sarah-Anne/0000-0002-1226-1828; Swart, Sebastiaan/0000-0002-2251-8826; Levy, Marina/0000-0003-2961-608X</t>
  </si>
  <si>
    <t>CSIR Parliamentary Grant; NRF-SANAP grant [SNA14071475720]; SOCCLI program; CSIR-YREF grant [05441]</t>
  </si>
  <si>
    <t>CSIR Parliamentary Grant(Council of Scientific &amp; Industrial Research (CSIR) - India); NRF-SANAP grant; SOCCLI program; CSIR-YREF grant</t>
  </si>
  <si>
    <t>The authors thank Alexander Forryan for the kz data available on request from http://www.bodc.ac.uk. This work was supported by CSIR Parliamentary Grant, the NRF-SANAP grant SNA14071475720, and the research staff exchange SOCCLI program (FP7-PEOPLE-2012-IRSES). S. Swart acknowledges the support of a CSIR-YREF grant (05441) and S. Nicholson the CSIR-UCT doctoral grant. The model data used are accessible on request to S. Nicholson.</t>
  </si>
  <si>
    <t>10.1002/2016GL069973</t>
  </si>
  <si>
    <t>WOS:000385357200045</t>
  </si>
  <si>
    <t>Kurita, N; Hirasawa, N; Koga, S; Matsushita, J; Steen-Larsen, HC; Masson-Delmotte, V; Fujiyoshi, Y</t>
  </si>
  <si>
    <t>Kurita, Naoyuki; Hirasawa, Naohiko; Koga, Seizi; Matsushita, Junji; Steen-Larsen, Hans Christian; Masson-Delmotte, Valerie; Fujiyoshi, Yasushi</t>
  </si>
  <si>
    <t>Influence of large-scale atmospheric circulation on marine air intrusion toward the East Antarctic coast</t>
  </si>
  <si>
    <t>marine air intrusion; water vapor isotope; East Antarctic coast</t>
  </si>
  <si>
    <t>WATER-VAPOR; ISOTOPIC COMPOSITION; SOUTHERN-OCEAN; MOISTURE; PRECIPITATION; 20TH-CENTURY; DELTA-O-18; TRACKING; BUDGET; OXYGEN</t>
  </si>
  <si>
    <t>Marine air intrusions into Antarctica play a key role in high-precipitation events. Here we use shipboard observations of water vapor isotopologues between Australia and Syowa on the East Antarctic coast to elucidate the mechanism by which large-scale circulation influences marine air intrusions. The temporal isotopic variations at Syowa reflect the meridional movement of a marine air front. They are also associated with atmospheric circulation anomalies that enhance the southward movement of cyclones over the Southern Ocean. The relationship between large-scale circulation and the movement of the front is explained by northerly winds which, in association with cyclones, move toward the Antarctic coast and push marine air with isotopically enriched moisture into the inland covered by glacial air with depleted isotopic values. Future changes in large-scale circulation may have a significant impact on the frequency and intensity of marine air intrusion into Antarctica.</t>
  </si>
  <si>
    <t>[Kurita, Naoyuki] Nagoya Univ, Inst Space Earth Environm Res, Nagoya, Aichi, Japan; [Hirasawa, Naohiko; Matsushita, Junji] Natl Inst Polar Res, Tokyo, Japan; [Koga, Seizi] Natl Inst Adv Ind Sci &amp; Technol, Tsukuba, Ibaraki, Japan; [Steen-Larsen, Hans Christian] Univ Copenhagen, Niels Bohr Inst, Ctr Ice &amp; Climate, DK-1168 Copenhagen, Denmark; [Masson-Delmotte, Valerie] LSCE, Paris, France; [Fujiyoshi, Yasushi] Hokkaido Univ, Inst Low Temp Sci, Sapporo, Hokkaido, Japan</t>
  </si>
  <si>
    <t>Nagoya University; Research Organization of Information &amp; Systems (ROIS); National Institute of Polar Research (NIPR) - Japan; National Institute of Advanced Industrial Science &amp; Technology (AIST); University of Copenhagen; Niels Bohr Institute; CEA; Centre National de la Recherche Scientifique (CNRS); Universite Paris Saclay; Hokkaido University</t>
  </si>
  <si>
    <t>Kurita, N (corresponding author), Nagoya Univ, Inst Space Earth Environm Res, Nagoya, Aichi, Japan.</t>
  </si>
  <si>
    <t>kurita.naoyuki@e.mbox.nagoya-u.ac.jp</t>
  </si>
  <si>
    <t>Kurita, Naoyuki/C-6120-2014; Masson-Delmotte, Valerie L/G-1995-2011; Steen-Larsen, Hans Christian/F-9927-2013; Koga, Seizi/L-5695-2018</t>
  </si>
  <si>
    <t>Masson-Delmotte, Valerie L/0000-0001-8296-381X; Steen-Larsen, Hans Christian/0000-0002-7202-5907; Koga, Seizi/0000-0001-6742-0403</t>
  </si>
  <si>
    <t>JSPS [25550022]; Institute of Low Temperature Science, Hokkaido University; Grants-in-Aid for Scientific Research [25550022, 15H02807, 16H01770] Funding Source: KAKEN</t>
  </si>
  <si>
    <t>JSPS(Ministry of Education, Culture, Sports, Science and Technology, Japan (MEXT)Japan Society for the Promotion of Science); Institute of Low Temperature Science, Hokkaido University; Grants-in-Aid for Scientific Research(Ministry of Education, Culture, Sports, Science and Technology, Japan (MEXT)Japan Society for the Promotion of ScienceGrants-in-Aid for Scientific Research (KAKENHI))</t>
  </si>
  <si>
    <t>This study was supported by JSPS KAKENHI grant 25550022 and grant for Joint Research Program of the Institute of Low Temperature Science, Hokkaido University. We thank Koji Fujita for his valuable comments to improve this paper. We gratefully acknowledge Kevin Hodges for providing the cyclone tracking algorism and the NOAA Air Resources Laboratory (ARL) for the provision of the HYSPLIT transport and dispersion model and the relevant input files for generation of back trajectories. The ERA-Interim data are available via the ECMWF data portal (http://www.ecmwf.int/en/forecast/datasets). We also thank four anonymous reviewers for constructive comments on the manuscript and Editor, Kim Cobb, for her valuable suggestions. The data are available as indicated in section 2 and otherwise from the authors upon request (nkurita1126@nifty.com).</t>
  </si>
  <si>
    <t>10.1002/2016GL070246</t>
  </si>
  <si>
    <t>WOS:000385357200057</t>
  </si>
  <si>
    <t>Eagles, G</t>
  </si>
  <si>
    <t>Eagles, Graeme</t>
  </si>
  <si>
    <t>Plate kinematics of the Rocas Verdes Basin and Patagonian orocline</t>
  </si>
  <si>
    <t>Weddell Sea; Seafloor spreading; Plate tectonics; Rocas Verdes Basin; Patagonian orocline</t>
  </si>
  <si>
    <t>TIERRA-DEL-FUEGO; SOUTHERNMOST SOUTH-AMERICA; STRIKE-SLIP FAULTS; WEDDELL SEA; ANTARCTIC PENINSULA; TECTONIC EVOLUTION; BLOCK ROTATION; THRUST BELT; ANDES; ARC</t>
  </si>
  <si>
    <t>The processes of orocline formation are a topic of debate in geosciences. The Patagonian orocline has been a case in point for over a century. Large anomalous paleomagnetic pole rotations show that the orocline started to form at the same time as mid-Cretaceous closure of the Rocas Verdes Basin, today known from ophiolitic and basin fill remnants in the Patagonian and Fuegian Andes. Some studies therefore present bending of the Andes and closure of the basin as shared consequences of rotation of a small plate that was driven by subduction-related forces at the Pacific margin of Gondwana. An alternative view of the orocline is as a product of Cretaceous to Paleogene-aged sinistral oblique convergence at the plate-boundary scale. Geological data from Tierra del Fuego have been interpreted in support of both views. Here, I test these suggestions by comparing the Rocas Verdes Basin's tectonostratigraphy to predictions of a plate kinematic model for fragmentation of the western interior of Gondwana. The model is sufficient to explain the known history of basin opening to a width of similar to 100-300 km during the period 152-141 Ma and later closure in oblique plate convergence. As this convergence occurred by motion around a distant Euler pole, it could not have produced the Patagonian orocline by rotation of a lithospheric plate on its Pacific flank. The large anomalous paleomagnetic rotations of Tierra del Fuego, instead, are likely to have occurred within the crust by rotation and deformation of regional strike-slip faults and the intervening rocks to accommodate oblique convergence of the South American and Antarctic plates between Albian and Paleocene times. (C) 2016 International Association for Gondwana Research. Published by Elsevier B.V. All rights reserved.</t>
  </si>
  <si>
    <t>[Eagles, Graeme] Helmholtz Zentrum Polar &amp; Meerschweinchen, Alfred Wegener Inst, Alten Hafen 26, D-27568 Bremerhaven, Germany</t>
  </si>
  <si>
    <t>Eagles, G (corresponding author), Helmholtz Zentrum Polar &amp; Meerschweinchen, Alfred Wegener Inst, Alten Hafen 26, D-27568 Bremerhaven, Germany.</t>
  </si>
  <si>
    <t>geagles@awi.de</t>
  </si>
  <si>
    <t>Eagles, Graeme/0000-0001-5325-0810</t>
  </si>
  <si>
    <t>10.1016/j.gr.2016.05.015</t>
  </si>
  <si>
    <t>WOS:000384703200007</t>
  </si>
  <si>
    <t>Fallon, NG; Fielding, S; Fernandes, PG</t>
  </si>
  <si>
    <t>Fallon, Niall G.; Fielding, Sophie; Fernandes, Paul G.</t>
  </si>
  <si>
    <t>Classification of Southern Ocean krill and icefish echoes using random forests</t>
  </si>
  <si>
    <t>acoustics; fish survey; South Georgia; target identification</t>
  </si>
  <si>
    <t>ANTARCTIC KRILL; EUPHAUSIA-SUPERBA; SPECIES IDENTIFICATION; ACOUSTIC IDENTIFICATION; UNIQUE FAMILY; TRAWL SURVEY; FISH; BIOMASS; MODEL; CHANNICHTHYIDAE</t>
  </si>
  <si>
    <t>Target identification remains a challenge for acoustic surveys of marine fauna. Antarctic krill, Euphausia superba, are typically identified through a combination of expert scrutiny of echograms and analysis of differences in mean volume backscattering strengths (S-V; dB re 1 m(-1)) measured at two or more echosounder frequencies. For commonly used frequencies, however, the differences for krill are similar to those for many co-occurring fish species that do not possess swimbladders. At South Georgia, South Atlantic, one species in particular, mackerel icefish, Champsocephalus gunnari, forms pelagic aggregations, which can be difficult to distinguish acoustically from large krill layers. Mackerel icefish are currently surveyed using bottom-trawls, but the resultant estimates of abundance may be biased because of the species' semi-pelagic distribution. An acoustic estimate of the pelagic component of the population could indicate the magnitude of this bias, but first a reliable target identification method is required. To address this, random forests (RFs) were generated using acoustic and net sample data collected during surveys. The final RF classified as krill, icefish, and mixed aggregations of weak scattering fish species with an overall estimated accuracy of 95%. Minimum S-V, mean aggregation depth (m), mean distance from the seabed (m), and geographic positional data were most important to the accuracy of the RF. Time-of-day and the difference between S-V at 120 kHz (S-V 120) and that at 38 kHz (S-V 38) were also important. The RF classification resulted in significantly higher estimates of backscatter apportioned to krill when compared with widely applied identification methods based on fixed and variable ranges of S-V 120-S-V 38. These results suggest that krill density is underestimated when those S-V-differencing methods are used for target identification. RFs are an objective means for target identification and could enhance the utility of incidentally collected acoustic data.</t>
  </si>
  <si>
    <t>[Fallon, Niall G.; Fernandes, Paul G.] Univ Aberdeen, Inst Biol &amp; Environm Sci, Aberdeen AB24 2TZ, Scotland; [Fielding, Sophie] British Antarctic Survey, Nat Environm Res Council, Madingley Rd, Cambridge CB3 0ET, England</t>
  </si>
  <si>
    <t>University of Aberdeen; UK Research &amp; Innovation (UKRI); Natural Environment Research Council (NERC); NERC British Antarctic Survey</t>
  </si>
  <si>
    <t>Fallon, NG (corresponding author), Univ Aberdeen, Inst Biol &amp; Environm Sci, Aberdeen AB24 2TZ, Scotland.</t>
  </si>
  <si>
    <t>n.fallon@abdn.ac.uk</t>
  </si>
  <si>
    <t>Fernandes, Paul George/H-2972-2013; Fielding, Sophie/E-5137-2012</t>
  </si>
  <si>
    <t>Fernandes, Paul George/0000-0003-4135-115X;</t>
  </si>
  <si>
    <t>Government of South Georgia and South Sandwich Islands; South Atlantic Environmental Research Institute; MASTS pooling initiative (The Marine Alliance for Science and Technology for Scotland); Scottish Funding Council [HR09011]; Natural Environment Research Council; Natural Environment Research Council [bas0100035] Funding Source: researchfish; NERC [bas0100035] Funding Source: UKRI</t>
  </si>
  <si>
    <t>Government of South Georgia and South Sandwich Islands; South Atlantic Environmental Research Institute; MASTS pooling initiative (The Marine Alliance for Science and Technology for Scotland); Scottish Funding Council;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</si>
  <si>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authors thank the crews, fishers, and scientists who conducted the various surveys from which data were obtained. This work was supported by the Government of South Georgia and South Sandwich Islands. Additional logistical support provided by The South Atlantic Environmental Research Institute, with thanks to Paul Brickle. PF receives funding from the MASTS pooling initiative (The Marine Alliance for Science and Technology for Scotland), and their support is gratefully acknowledged. MASTS is funded by the Scottish Funding Council (grant reference HR09011) and contributing institutions. SF is funded by the Natural Environment Research Council, and data were provided from the British Antarctic Survey Ecosystems Long-term Monitoring and Surveys programme as part of the BAS Polar Science for Planet Earth Programme. The authors also thank the anonymous referees for their helpful suggestions on an earlier version of this manuscript.</t>
  </si>
  <si>
    <t>10.1093/icesjms/fsw057</t>
  </si>
  <si>
    <t>DX3UK</t>
  </si>
  <si>
    <t>WOS:000384300700006</t>
  </si>
  <si>
    <t>Simonsen, KA; Ressler, PH; Rooper, CN; Zador, SG</t>
  </si>
  <si>
    <t>Simonsen, Kirsten A.; Ressler, Patrick H.; Rooper, Christopher N.; Zador, Stephani G.</t>
  </si>
  <si>
    <t>Spatio-temporal distribution of euphausiids: an important component to understanding ecosystem processes in the Gulf of Alaska and eastern Bering Sea</t>
  </si>
  <si>
    <t>acoustics; Bering Sea; euphausiids; generalized additive models; Gulf of Alaska; pollock</t>
  </si>
  <si>
    <t>POLLOCK THERAGRA-CHALCOGRAMMA; EVALUATING MANAGEMENT STRATEGIES; NORTHERN GULF; WALLEYE POLLOCK; ANTARCTIC KRILL; ZOOPLANKTON ABUNDANCE; CLIMATE-CHANGE; VARIABILITY; BIOMASS; IMPACTS</t>
  </si>
  <si>
    <t>Euphausiids (principally Thysanoessa spp.) are found in high abundance in both the eastern Bering Sea (EBS) and the Gulf of Alaska (GOA). They are an important part of these cold-water coastal and pelagic ecosystems as a key prey item for many species, including marine mammals, seabirds, and fish, forming an ecological link between primary production and higher trophic levels. Acoustic-trawl (AT) survey methods provide a means of monitoring euphausiid abundance and distribution over a large spatial scale. Four years of AT and bottom-trawl survey data (2003, 2005, 2011, and 2013) were available from consistently sampled areas around Kodiak Island, including Shelikof Strait, Barnabas Trough, and Chiniak Trough. We identified euphausiid backscatter using relative frequency response and targeted trawling, and created an annual index of abundance for euphausiids. This index has broad application, including use in the stock assessments for GOA wall eye pollock (Gadus chalcogrammus) and other species, as an ecosystem indicator, and to inform ecological research. We then used generalized additive models (GAMs) to examine the relationship between relative euphausiid abundance and potential predictors, including pollock abundance, temperature, bottom depth, and primary production. Model results were compared with an updated GAM of euphausiid abundance from the EBS to determine if the factors driving abundance and distribution were consistent between both systems. Temperature was not a strong predictor of euphausiid abundance in the GOA as in the EBS; warmer temperatures and lack of seasonal ice cover in the GOA may be a key difference between these ecosystems. Pollock abundance was significant in both the GOA and the EBS models, but was not a strongly negative predictor of euphausiid abundance in either system, a result not consistent with top-down control of euphausiid abundance.</t>
  </si>
  <si>
    <t>[Simonsen, Kirsten A.; Ressler, Patrick H.; Rooper, Christopher N.; Zador, Stephani G.] Natl Marine Fisheries Serv, Alaska Fisheries Sci Ctr, Seattle, WA 98115 USA; [Simonsen, Kirsten A.] Natl Res Council Res Associateship Programs, Washington, DC 20001 USA</t>
  </si>
  <si>
    <t>National Oceanic Atmospheric Admin (NOAA) - USA; National Academies of Sciences, Engineering &amp; Medicine</t>
  </si>
  <si>
    <t>Simonsen, KA (corresponding author), Natl Marine Fisheries Serv, Alaska Fisheries Sci Ctr, Seattle, WA 98115 USA.;Simonsen, KA (corresponding author), Natl Res Council Res Associateship Programs, Washington, DC 20001 USA.</t>
  </si>
  <si>
    <t>kirsten.simonsen@noaa.gov</t>
  </si>
  <si>
    <t>Simonsen, Kirsten/0000-0001-6435-8608</t>
  </si>
  <si>
    <t>North Pacific Research Board [1208, 577]; NOAA Alaska Fisheries Science Centre (NOAA-AFSC)</t>
  </si>
  <si>
    <t>North Pacific Research Board; NOAA Alaska Fisheries Science Centre (NOAA-AFSC)</t>
  </si>
  <si>
    <t>This study, including a National Research Council (NRC) post-doctoral appointment for K. Simonsen, was supported by the North Pacific Research Board (Project 1208, publication number 577) and the NOAA Alaska Fisheries Science Centre (NOAA-AFSC). It was improved by the comments of S. Barbeaux, A. De Robertis, and M. Dorn. The recommendations and general content presented in this paper do not necessarily represent the views or official position of the US Department of Commerce, the National Oceanic and Atmospheric Administration, or the National Marine Fisheries Service.</t>
  </si>
  <si>
    <t>10.1093/icesjms/fsv272</t>
  </si>
  <si>
    <t>WOS:000384300700008</t>
  </si>
  <si>
    <t>McInnes, JC; Raymond, B; Phillips, RA; Jarman, SN; Lea, MA; Alderman, R</t>
  </si>
  <si>
    <t>McInnes, Julie C.; Raymond, Ben; Phillips, Richard A.; Jarman, Simon N.; Lea, Mary-Anne; Alderman, Rachael</t>
  </si>
  <si>
    <t>A review of methods used to analyse albatross diets-assessing priorities across their range</t>
  </si>
  <si>
    <t>climate change; conservation; Diomedeidae; food; management; methods; Procellariformes; regurgitates; seabirds; stable isotopes</t>
  </si>
  <si>
    <t>BLACK-BROWED ALBATROSSES; GREY-HEADED ALBATROSSES; DIEGO-RAMIREZ ISLANDS; SOUTHERN-OCEAN; WANDERING ALBATROSSES; DIOMEDEA-EXULANS; CLIMATE-CHANGE; POPULATION-DYNAMICS; HABITAT PREFERENCES; FISHERIES</t>
  </si>
  <si>
    <t>Many seabird populations are threatened by interactions with commercial fisheries, and climate change. Understanding their prey requirements and dietary flexibility in this context is important for effective conservation and management. However, changes in the methods used to assess diet, as well as the spatial and temporal coverage of monitoring schemes, may reduce our ability to detect and monitor these marine threats. To help assess conservation priorities linked to diet, we performed a systematic review of 109 albatross diet papers published between 1950 and 2016, which corresponded to 296 studies when stratified by sampling year, breeding site, and breeding species. We assessed the methods used, changes over time, and spatial and temporal sampling coverage by species and island group. Most albatross studies have focused on chick-rearing, and diet during other breeding phases is comparatively poorly known. Furthermore, chicks are more commonly sampled than adults and very rarely immature birds, all of which may differ in diet composition. There was a pronounced shift over time in the preferred method of characterising diet, from the morphological examination of prey remains to stable isotope analysis of tissue. This shift has reduced the volume of detailed taxonomic information available from morphological studies. This difference in resolution hinders the ability to detect changes in prey species, with implications for management of threatened albatrosses and for monitoring broader changes in marine ecosystems. In a knowledge gap analysis for important breeding colonies (with &gt;5% of global population), we identified key sites where existing monitoring has provided a foundation for robust longitudinal diet studies. Maintaining and augmenting these long-term research programmes will enable analyses of the impacts of changing climate and fishing practices on seabird populations and facilitate the timely identification and implementation of management options.</t>
  </si>
  <si>
    <t>[McInnes, Julie C.; Raymond, Ben; Lea, Mary-Anne] Univ Tasmania, Inst Marine &amp; Antarctic Studies, Hobart, Tas 7001, Australia; [McInnes, Julie C.; Raymond, Ben] Australian Antarctic Div, Kingston, Tas 7050, Australia; [Raymond, Ben; Lea, Mary-Anne] Univ Tasmania, Antarctic Climate &amp; Ecosyst Cooperat Res Ctr, Hobart, Tas 7001, Australia; [Phillips, Richard A.] British Antarctic Survey, Nat Environm Res Council, Cambridge CB3 0ET, England; [Jarman, Simon N.] Univ Porto, CIBIO InBIO, Ctr Invest Biodiversidade &amp; Recursos Genet, P-4485661 Vairao, Portugal; [Alderman, Rachael] Dept Primary Ind Pk Water &amp; Environm, Hobart, Tas 7000, Australia</t>
  </si>
  <si>
    <t>University of Tasmania; Australian Antarctic Division; Antarctic Climate &amp; Ecosystems Cooperative Research Centre (ACE CRC); University of Tasmania; UK Research &amp; Innovation (UKRI); Natural Environment Research Council (NERC); NERC British Antarctic Survey; Universidade do Porto</t>
  </si>
  <si>
    <t>McInnes, JC (corresponding author), Univ Tasmania, Inst Marine &amp; Antarctic Studies, Hobart, Tas 7001, Australia.;McInnes, JC (corresponding author), Australian Antarctic Div, Kingston, Tas 7050, Australia.</t>
  </si>
  <si>
    <t>julie.mcinnes@utas.edu.au</t>
  </si>
  <si>
    <t>McInnes, Julie C/C-2865-2014; Lea, Mary-Anne/E-9054-2013; Jarman, Simon/H-9265-2016</t>
  </si>
  <si>
    <t>Lea, Mary-Anne/0000-0001-8318-9299; Jarman, Simon/0000-0002-0792-9686; McInnes, Julie/0000-0001-8902-5199</t>
  </si>
  <si>
    <t>10.1093/icesjms/fsw105</t>
  </si>
  <si>
    <t>WOS:000384302300001</t>
  </si>
  <si>
    <t>Silk, JRD; Thorpe, SE; Fielding, S; Murphy, EJ; Trathan, PN; Watkins, JL; Hill, SL</t>
  </si>
  <si>
    <t>Silk, Janet R. D.; Thorpe, Sally E.; Fielding, Sophie; Murphy, Eugene J.; Trathan, Philip N.; Watkins, Jonathan L.; Hill, Simeon L.</t>
  </si>
  <si>
    <t>Environmental correlates of Antarctic krill distribution in the Scotia Sea and southern Drake Passage</t>
  </si>
  <si>
    <t>Antarctic krill; CCAMLR 2000 synoptic survey; environmental drivers; fisheries management; Scotia Sea; species distribution model</t>
  </si>
  <si>
    <t>EUPHAUSIA-SUPERBA DANA; MESOZOOPLANKTON COMMUNITY; SPATIAL-DISTRIBUTION; CCAMLR 2000; OCEAN; VARIABILITY; GEORGIA; SCALE; ECOSYSTEM; DYNAMICS</t>
  </si>
  <si>
    <t>Antarctic krill is a key prey species for many vertebrate and invertebrate predators in the Southern Ocean; it is also an abundant fishery resource in the Scotia Sea and southern Drake Passage. Here, we identify environmental correlates of krill distribution utilizing acoustic data collected during an extensive international survey in January 2000. Separate models (at scales of 10-80 nautical miles) were derived for the full study area and for each of four subregions: northern and southern shelf waters, the seasonally ice-covered open ocean, and the generally ice-free open ocean. Krill distribution was strongly correlated with bathymetry; densities were higher over island shelves and shelf breaks and decreased with increasing distance offshore. Low krill densities occurred in areas of low chlorophyll concentration and high geostrophic velocity. Krill distribution was also related to sea level anomaly but relationships were not consistent between subregions. The models explained a maximum of 44% of the observed deviance in krill density, but did not reliably identify areas of high krill density in the open ocean, and explained a small proportion of the deviance (16%) in offshore areas covered seasonally by sea ice, probably because of the strong, residual influence of retreated ice. The commercial krill fishery is currently concentrated in shelf areas, where high densities of krill are most predictable. As krill are not predictable in the open ocean, the fishery is likely to remain principally a near-shore operation, and should be managed accordingly.</t>
  </si>
  <si>
    <t>[Silk, Janet R. D.; Thorpe, Sally E.; Fielding, Sophie; Murphy, Eugene J.; Trathan, Philip N.; Watkins, Jonathan L.; Hill, Simeon L.] British Antarctic Survey, Nat Environm Res Council, High Cross, Madingley Rd, Cambridge CB3 0ET, England</t>
  </si>
  <si>
    <t>Silk, JRD (corresponding author), British Antarctic Survey, Nat Environm Res Council, High Cross, Madingley Rd, Cambridge CB3 0ET, England.</t>
  </si>
  <si>
    <t>jrds@bas.ac.uk</t>
  </si>
  <si>
    <t>Fielding, Sophie/E-5137-2012; Simeon, Hill L/B-2307-2008; murphy, eugene/GZL-1620-2022</t>
  </si>
  <si>
    <t>Thorpe, Sally/0000-0002-5193-6955</t>
  </si>
  <si>
    <t>Natural Environment Research Council; NERC [bas0100035] Funding Source: UKRI; Natural Environment Research Council [bas0100035]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</si>
  <si>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</si>
  <si>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officers, crews and scientists involved in the CCAMLR 2000 synoptic survey including David Demer, Valerie Loeb, and Roger Hewitt. We would also like to thank Jaume Forcada, Richard Phillips and Norman Ratcliffe for helpful discussions, and the anonymous referees and editor for helping to improve the article. We obtained GEBCO 1 minute grid depth data from http://www.gebco.net/data_and_products/gridded_bathymetry_data/. The Chlorophyll a data product are Seaviewing Wide Field-of-view Sensor (SeaWiFS) Ocean Color Data, Level 3 2009 Reprocessing. NASA OB.DAAC, Greenbelt, MD, USA. http://oceancolor.gsfc.nasa.gov/REPROCESSING/R2009/. We used AVHRR Pathfinder Version 5.0 SST data, described in Casey et al. (2010), and available from the US National Oceanographic Data Center and GHRSST (http://pathfinder.nodc.noaa.gov). The altimeter products were produced by Ssalto/Duacs and distributed by Aviso, with support from Cnes (http://www.aviso.oceanobs.com/duacs/). This study was funded by core funding from the Natural Environment Research Council to the British Antarctic Survey's Ecosystems Program.</t>
  </si>
  <si>
    <t>10.1093/icesjms/fsw097</t>
  </si>
  <si>
    <t>WOS:000384302300016</t>
  </si>
  <si>
    <t>Nylinder, S; Razafimandimbison, SG; Anderberg, AA</t>
  </si>
  <si>
    <t>Nylinder, Stephan; Razafimandimbison, Sylvain G.; Anderberg, Arne A.</t>
  </si>
  <si>
    <t>From the Namib around the world: biogeography of the Inuleae-Plucheinae (Asteraceae)</t>
  </si>
  <si>
    <t>JOURNAL OF BIOGEOGRAPHY</t>
  </si>
  <si>
    <t>Africa; arid environment; Asteraceae; biogeography; dispersal; molecular dating; Namibia</t>
  </si>
  <si>
    <t>SPECIES RICHNESS; HISTORICAL BIOGEOGRAPHY; LATE MIOCENE; EVOLUTION; EASTERN; VEGETATION; CENTIPEDA; PHYLOGENY; DIVERSITY; AFRICA</t>
  </si>
  <si>
    <t>AimWe investigated the historical biogeography of the Inuleae-Plucheinae (Asteraceae), a group of arid-adapted plants with partly unresolved generic circumscriptions, in order to understand its origin and spatiotemporal evolutionary history in relation to the Cenozoic climate shifts. LocationGlobal, with highest species diversity in the Southern Hemisphere. MethodsThe spatiotemporal biogeography of the Plucheinae was estimated by both a discrete method using a set of general distribution areas, and a relaxed random walk based on extant species distributions. The topology was time calibrated using a combination of secondary node ages and secondary derived rates for included loci. ResultsOur results indicate the median age of the Plucheinae to be approximately 15.4Ma. The biogeographical analyses infer an ancestral origin in southern Africa, with the relaxed random walk analysis narrowing the uncertainty down to an area reaching from coastal Namibia to the western Kalahari. Africa was colonized in a (south)western-(north)eastern direction following the spread of arid habitats. Ancestral representatives of the Plucheinae colonized South America on at least three separate occasions (13.0-4.0, 4.3-3.1 and 4.1-3.7Ma), with one subsequent spread to North America. Australia was colonized three times between 3.6 and 0.4Ma. Madagascar and the Mascarenes were colonized at least seven times. Main conclusionsThe origin of the Plucheinae is estimated to the Namib region, with early speciations and radiations concurring with the timing of aridification of southern Africa, following the increase in strength of the Antarctic Circumpolar Current and subsequent formation of the Benguela Upwelling at c.11.8Ma. The current biogeographical distribution of the Plucheinae is best explained by several Neogene long-distance dispersal events from tropical Africa.</t>
  </si>
  <si>
    <t>[Nylinder, Stephan; Razafimandimbison, Sylvain G.; Anderberg, Arne A.] Swedish Museum Nat Hist, Dept Bot, SE-10405 Stockholm, Sweden</t>
  </si>
  <si>
    <t>Swedish Museum of Natural History</t>
  </si>
  <si>
    <t>Nylinder, S (corresponding author), Swedish Museum Nat Hist, Dept Bot, SE-10405 Stockholm, Sweden.</t>
  </si>
  <si>
    <t>stephan.nylinder@gmail.com</t>
  </si>
  <si>
    <t>Razafimandimbison, Sylvain G./AAD-3437-2021</t>
  </si>
  <si>
    <t>Nylinder, Stephan/0000-0001-5199-7128</t>
  </si>
  <si>
    <t>Swedish Research Council [621-2011-5620]</t>
  </si>
  <si>
    <t>This research was funded by a grant to A. A from The Swedish Research Council as Grant 621-2011-5620. The authors wish to thank the Editors and three anonymous referees for constructive comments on the manuscript.</t>
  </si>
  <si>
    <t>0305-0270</t>
  </si>
  <si>
    <t>1365-2699</t>
  </si>
  <si>
    <t>J BIOGEOGR</t>
  </si>
  <si>
    <t>J. Biogeogr.</t>
  </si>
  <si>
    <t>10.1111/jbi.12764</t>
  </si>
  <si>
    <t>Ecology; Geography, Physical</t>
  </si>
  <si>
    <t>Environmental Sciences &amp; Ecology; Physical Geography</t>
  </si>
  <si>
    <t>DW3IW</t>
  </si>
  <si>
    <t>WOS:000383536300002</t>
  </si>
  <si>
    <t>Irving, D; Simmonds, I</t>
  </si>
  <si>
    <t>Irving, Damien; Simmonds, Ian</t>
  </si>
  <si>
    <t>A New Method for Identifying the Pacific-South American Pattern and Its Influence on Regional Climate Variability</t>
  </si>
  <si>
    <t>LOW-FREQUENCY VARIABILITY; ANTARCTIC SEA-ICE; ATMOSPHERIC CIRCULATION; EXTRACTING ENVELOPES; SURFACE TEMPERATURES; TROPICAL CONVECTION; ROSSBY WAVES; HEMISPHERE; TELECONNECTIONS; IMPACTS</t>
  </si>
  <si>
    <t>The Pacific South American (PSA) pattern is an important mode of climate variability in the mid-to-high southern latitudes. It is widely recognized as the primary mechanism by which El Nino-Southern Oscillation (ENSO) influences the southeast Pacific and southwest Atlantic and in recent years has also been suggested as a mechanism by which longer-term tropical sea surface temperature trends can influence the Antarctic climate. This study presents a novel methodology for objectively identifying the PSA pattern. By rotating the global coordinate system such that the equator (a great circle) traces the approximate path of the pattern, the identification algorithm utilizes Fourier analysis as opposed to a traditional empirical orthogonal function approach. The climatology arising from the application of this method to ERA-Interim reanalysis data reveals that the PSA pattern has a strong influence on temperature and precipitation variability over West Antarctica and the Antarctic Peninsula and on sea ice variability in the adjacent Amundsen, Bellingshausen, and Weddell Seas. Identified seasonal trends toward the negative phase of the PSA pattern are consistent with warming observed over the Antarctic Peninsula during autumn, but are inconsistent with observed winter warming over West Antarctica. Only a weak relationship is identified between the PSA pattern and ENSO, which suggests that the pattern might be better conceptualized as a preferred regional atmospheric response to various external (and internal) forcings.</t>
  </si>
  <si>
    <t>[Irving, Damien; Simmonds, Ian] Univ Melbourne, Sch Earth Sci, Corner Swanston &amp; Elgin St, Parkville, Vic 3010, Australia</t>
  </si>
  <si>
    <t>University of Melbourne</t>
  </si>
  <si>
    <t>Irving, D (corresponding author), Univ Melbourne, Sch Earth Sci, Corner Swanston &amp; Elgin St, Parkville, Vic 3010, Australia.</t>
  </si>
  <si>
    <t>irving.damien@gmail.com</t>
  </si>
  <si>
    <t>Irving, Damien/A-1479-2012</t>
  </si>
  <si>
    <t>Irving, Damien/0000-0003-1258-5002; Simmonds, Ian/0000-0002-4479-3255</t>
  </si>
  <si>
    <t>Australian Research Council [DP160101997]</t>
  </si>
  <si>
    <t>Australian Research Council(Australian Research Council)</t>
  </si>
  <si>
    <t>Parts of this work were made possible by a grant (DP160101997) from the Australian Research Council.</t>
  </si>
  <si>
    <t>10.1175/JCLI-D-15-0843.1</t>
  </si>
  <si>
    <t>DV3DO</t>
  </si>
  <si>
    <t>WOS:000382801400004</t>
  </si>
  <si>
    <t>Corrigan, LJ; Fabiani, A; Chauke, LF; McMahon, CR; de Bruyn, M; Bester, MN; Bastos, A; Campagna, C; Muelbert, MMC; Hoelzel, AR</t>
  </si>
  <si>
    <t>Corrigan, L. J.; Fabiani, A.; Chauke, L. F.; McMahon, C. R.; de Bruyn, M.; Bester, M. N.; Bastos, A.; Campagna, C.; Muelbert, M. M. C.; Hoelzel, A. R.</t>
  </si>
  <si>
    <t>Population differentiation in the context of Holocene climate change for a migratory marine species, the southern elephant seal</t>
  </si>
  <si>
    <t>JOURNAL OF EVOLUTIONARY BIOLOGY</t>
  </si>
  <si>
    <t>evolution; Holocene; molecular ecology; pinnipeds; population genetics</t>
  </si>
  <si>
    <t>NATAL SITE FIDELITY; MIROUNGA-LEONINA; ANCIENT DNA; BIASED DISPERSAL; SOFTWARE; MOVEMENTS; GENETICS; BEHAVIOR; HISTORY; ISLAND</t>
  </si>
  <si>
    <t>Understanding observed patterns of connectivity requires an understanding of the evolutionary processes that determine genetic structure among populations, with the most common models being associated with isolation by distance, allopatry or vicariance. Pinnipeds are annual breeders with the capacity for extensive range overlap during seasonal migrations, establishing the potential for the evolution of isolation by distance. Here, we assess the pattern of differentiation among six breeding colonies of the southern elephant seal, Mirounga leonina, based on mtDNA and 15 neutral microsatellite DNA markers, and consider measures of their demography and connectivity. We show that all breeding colonies are genetically divergent and that connectivity in this highly mobile pinniped is not strongly associated with geographic distance, but more likely linked to Holocene climate change and demographic processes. Estimates of divergence times between populations were all after the last glacial maximum, and there was evidence for directional migration in a clockwise pattern (with the prevailing current) around the Antarctic. We discuss the mechanisms by which climate change may have contributed to the contemporary genetic structure of southern elephant seal populations and the broader implications.</t>
  </si>
  <si>
    <t>[Corrigan, L. J.; Fabiani, A.; Chauke, L. F.; de Bruyn, M.; Hoelzel, A. R.] Univ Durham, Sch Biol &amp; Biomed Sci, South Rd, Durham DH1 3LE, England; [Fabiani, A.] Univ Roma Tor Vergata, Dipartimento Biol, Rome, Italy; [Fabiani, A.] Elephant Seal Res Grp, Sea Lion Isl, Falkland Island; [Chauke, L. F.; Bester, M. N.; Bastos, A.] Univ Pretoria, Dept Zool &amp; Entomol, Mammal Res Inst, Pretoria, South Africa; [McMahon, C. R.] Sydney Inst Marine Sci, Mosman, NSW, Australia; [Campagna, C.] Wildlife Conservat Soc, Marine Program, Buenos Aires, DF, Argentina; [Muelbert, M. M. C.] Univ Fed Rio Grande, Inst Oceanog, Rio Grande, Brazil; [de Bruyn, M.] Bangor Univ, Sch Biol Sci, Deiniol Rd, Bangor LL57 2UW, Gwynedd, Wales</t>
  </si>
  <si>
    <t>Durham University; University of Rome Tor Vergata; University of Pretoria; Sydney Institute of Marine Science; Universidade Federal do Rio Grande; Bangor University</t>
  </si>
  <si>
    <t>Hoelzel, AR (corresponding author), Univ Durham, Sch Biol &amp; Biomed Sci, South Rd, Durham DH1 3LE, England.</t>
  </si>
  <si>
    <t>a.r.hoelzel@durham.ac.uk</t>
  </si>
  <si>
    <t>McMahon, Clive R/D-5713-2013; Bastos, Armanda/B-6357-2009; Bester, Marthán N/E-5387-2010; Muelbert, Monica/T-3935-2019; de Bruyn, Mark/C-5568-2008</t>
  </si>
  <si>
    <t>McMahon, Clive R/0000-0001-5241-8917; Bastos, Armanda/0000-0002-9223-4204; de Bruyn, Mark/0000-0003-1528-9604; Campagna, Claudio/0000-0002-7971-5062</t>
  </si>
  <si>
    <t>Office of Polar Programs of the National Science Foundation; South African National Antarctic Programme (SANAP); Department of Science and Technology; National Research Foundation</t>
  </si>
  <si>
    <t>Office of Polar Programs of the National Science Foundation; South African National Antarctic Programme (SANAP); Department of Science and Technology(Department of Science &amp; Technology (India)); National Research Foundation</t>
  </si>
  <si>
    <t>This research was funded in part by the Office of Polar Programs of the National Science Foundation and the South African National Antarctic Programme (SANAP), through funding from the Department of Science and Technology and the National Research Foundation, which supported research at Marion Island and provided a grantholder-linked MSc bursary to Lucas Chauke. We thank Joanne Stamford and Oliver Pye for laboratory assistance and Mark Hindell and the Antarctic Wildlife Research Unit, University of Tasmania, for help with the provision of Macquarie Island samples. We thank Filippo Galimberti and Simona Sanvito for field logistics and data collection on Sea Lion Island and the Falkland Islands Development Corporations and Strachan Visick Ltd. for allowing the research on Sea Lion Island.</t>
  </si>
  <si>
    <t>1010-061X</t>
  </si>
  <si>
    <t>1420-9101</t>
  </si>
  <si>
    <t>J EVOLUTION BIOL</t>
  </si>
  <si>
    <t>J. Evol. Biol.</t>
  </si>
  <si>
    <t>10.1111/jeb.12870</t>
  </si>
  <si>
    <t>Ecology; Evolutionary Biology; Genetics &amp; Heredity</t>
  </si>
  <si>
    <t>Environmental Sciences &amp; Ecology; Evolutionary Biology; Genetics &amp; Heredity</t>
  </si>
  <si>
    <t>DX5MG</t>
  </si>
  <si>
    <t>WOS:000384424500002</t>
  </si>
  <si>
    <t>Steptoe, H; Wilcox, LJ; Highwood, EJ</t>
  </si>
  <si>
    <t>Steptoe, H.; Wilcox, L. J.; Highwood, E. J.</t>
  </si>
  <si>
    <t>Is there a robust effect of anthropogenic aerosols on the Southern Annular Mode?</t>
  </si>
  <si>
    <t>Southern Hemisphere; Southern Annular Mode; CMIP5; anthropogenic aerosols; ensemble empirical mode decomposition</t>
  </si>
  <si>
    <t>LONG-RANGE DEPENDENCE; GLOBAL CLIMATE MODEL; EARTH SYSTEM MODEL; EDDY-DRIVEN JET; GREENHOUSE-GAS; HADLEY-CELL; ANTARCTIC OSCILLATION; CMIP5 MODELS; TRENDS; OZONE</t>
  </si>
  <si>
    <t>Historical anthropogenic aerosol (AA) changes are found to have caused a statistically significant negative Southern Annular Mode (SAM) trend (associated with an equatorward jet shift) in 14 out of 35 individual ensemble members from the fifth Coupled Model Intercomparison Project (CMIP5) since 1860. However, this response is not robust. The significance of the SAM response to aerosol is model dependent and not simply related to aerosol forcing. Multiple sources of uncertainty result in a nonrobust response that means that the model mechanism connecting remote Northern Hemisphere AA forcing remains unclear. Analysis of single forcing experiments suggests that assuming the climate response to individual model forcings to be linearly additive cannot be made without proper assessment. Our results suggest that AAs may have had a historical influence on the SAM, but its influence may be overstated by assuming linearity.</t>
  </si>
  <si>
    <t>[Steptoe, H.; Wilcox, L. J.; Highwood, E. J.] Univ Reading, Dept Meteorol, Reading, Berks, England; [Steptoe, H.] Met Off, Exeter, Devon, England; [Wilcox, L. J.] Natl Ctr Atmospher Sci Climate, Reading, Berks, England</t>
  </si>
  <si>
    <t>University of Reading; Met Office - UK; UK Research &amp; Innovation (UKRI); Natural Environment Research Council (NERC); NERC National Centre for Atmospheric Science</t>
  </si>
  <si>
    <t>Steptoe, H (corresponding author), Univ Reading, Dept Meteorol, Reading, Berks, England.;Steptoe, H (corresponding author), Met Off, Exeter, Devon, England.</t>
  </si>
  <si>
    <t>hamish.steptoe@metoffice.gov.uk</t>
  </si>
  <si>
    <t>Highwood, Ellie J/A-2402-2013; Wilcox, Laura/F-3394-2013</t>
  </si>
  <si>
    <t>Steptoe, Hamish/0000-0003-3677-5951; Wilcox, Laura/0000-0001-5691-1493</t>
  </si>
  <si>
    <t>Natural Environment Research Council [ncas10009] Funding Source: researchfish</t>
  </si>
  <si>
    <t>Natural Environment Research Council(UK Research &amp; Innovation (UKRI)Natural Environment Research Council (NERC))</t>
  </si>
  <si>
    <t>10.1002/2015JD024218</t>
  </si>
  <si>
    <t>WOS:000384823000002</t>
  </si>
  <si>
    <t>Kim, H; Doney, SC; Iannuzzi, RA; Meredith, MP; Martinson, DG; Ducklow, HW</t>
  </si>
  <si>
    <t>Kim, Hyewon; Doney, Scott C.; Iannuzzi, Richard A.; Meredith, Michael P.; Martinson, Douglas G.; Ducklow, Hugh W.</t>
  </si>
  <si>
    <t>Climate forcing for dynamics of dissolved inorganic nutrients at Palmer Station, Antarctica: An interdecadal (1993-2013) analysis</t>
  </si>
  <si>
    <t>JOURNAL OF GEOPHYSICAL RESEARCH-BIOGEOSCIENCES</t>
  </si>
  <si>
    <t>nutrient drawdown; phytoplankton bloom; climate variability; the Western Antarctic Peninsula; Palmer LTER; biogeochemistry</t>
  </si>
  <si>
    <t>POLAR MARINE ECOSYSTEMS; NORTHERN MARGUERITE BAY; ICE ZONE WEST; SEA-ICE; SOUTHERN-OCEAN; PHYTOPLANKTON ASSEMBLAGES; INTERANNUAL VARIABILITY; CARBON DYNAMICS; PENINSULA; BIOMASS</t>
  </si>
  <si>
    <t>We analyzed 20years (1993-2013) of observations of dissolved inorganic macronutrients (nitrate, N; phosphate, P; and silicate, Si) and chlorophyll a (Chl) at Palmer Station, Antarctica (64.8 degrees S, 64.1 degrees W) to elucidate how large-scale climate and local physical forcing affect the interannual variability in the seasonal phytoplankton bloom and associated drawdown of nutrients. The leading modes of nutrients (N, P, and Si empirical orthogonal functions 1, EOF1) represent overall negative anomalies throughout growing seasons, showing a mixed signal of variability in the initial levels and drawdown thereafter (low-frequency dynamics). The second most common seasonal patterns of nitrate and phosphate (N and P EOF2) capture prolonged drawdown events during December-March, which are correlated to Chl EOF1. Si EOF2 captures a drawdown event during November-December, which is correlated to Chl EOF2. These different drawdown patterns are shaped by different sets of physical and climate forcing mechanisms. N and P drawdown events during December-March are influenced by the winter and spring Southern Annular Mode (SAM) phase, where nutrient utilization is enhanced in a stabilized upper water column as a consequence of SAM-driven winter sea ice and spring wind dynamics. Si drawdown during November-December is influenced by early sea ice retreat, where ice breakup may induce abrupt water column stratification and a subsequent diatom bloom or release of diatom cells from within the sea ice. Our findings underscore that seasonal nutrient dynamics in the coastal WAP are coupled to large-scale climate forcing and related physics, understanding of which may enable improved projections of biogeochemical responses to climate change.</t>
  </si>
  <si>
    <t>[Kim, Hyewon; Martinson, Douglas G.; Ducklow, Hugh W.] Columbia Univ, Dept Earth &amp; Environm Sci, New York, NY 10027 USA; [Kim, Hyewon; Ducklow, Hugh W.] Columbia Univ, Lamont Doherty Earth Observ, Div Biol &amp; Paleo Environm, Palisades, NY 10964 USA; [Doney, Scott C.] Woods Hole Oceanog Inst, Dept Marine Chem &amp; Geochem, Woods Hole, MA 02543 USA; [Iannuzzi, Richard A.; Martinson, Douglas G.] Columbia Univ, Div Ocean &amp; Climate Phys, Lamont Doherty Earth Observ, Palisades, NY USA; [Meredith, Michael P.] British Antarctic Survey, Cambridge, England</t>
  </si>
  <si>
    <t>Columbia University; Columbia University; Woods Hole Oceanographic Institution; Columbia University; UK Research &amp; Innovation (UKRI); Natural Environment Research Council (NERC); NERC British Antarctic Survey</t>
  </si>
  <si>
    <t>Kim, H (corresponding author), Columbia Univ, Dept Earth &amp; Environm Sci, New York, NY 10027 USA.;Kim, H (corresponding author), Columbia Univ, Lamont Doherty Earth Observ, Div Biol &amp; Paleo Environm, Palisades, NY 10964 USA.</t>
  </si>
  <si>
    <t>hyewon@ldeo.columbia.edu</t>
  </si>
  <si>
    <t>Doney, Scott/F-9247-2010; Kim, Heather Hyewon/M-8039-2017</t>
  </si>
  <si>
    <t>Doney, Scott/0000-0002-3683-2437; Meredith, Michael/0000-0002-7342-7756; Kim, Heather Hyewon/0000-0002-1280-3340</t>
  </si>
  <si>
    <t>U.S. National Science Foundation [OPP-9011927, 9632763, 0217282, 0823101, GEO-PLR 1440435]; Columbia University; NASA ROSES [NNX14AL86G]; Natural Environment Research Council [bas0100033] Funding Source: researchfish; NERC [bas0100033] Funding Source: UKRI</t>
  </si>
  <si>
    <t>U.S. National Science Foundation(National Science Foundation (NSF)); Columbia University; NASA ROSES(National Aeronautics &amp; Space Administration (NASA)); Natural Environment Research Council(UK Research &amp; Innovation (UKRI)Natural Environment Research Council (NERC)); NERC(UK Research &amp; Innovation (UKRI)Natural Environment Research Council (NERC))</t>
  </si>
  <si>
    <t>We thank the many current and former PAL-LTER team members for their assistance with field sampling, processing, and analyzing nutrient and chlorophyll samples. Palmer LTER was supported by U.S. National Science Foundation awards OPP-9011927, 9632763, 0217282, 0823101, and GEO-PLR 1440435. H. Kim was supported as a PhD candidate by Columbia University and by a subcontract to LDEO from NASA ROSES award NNX14AL86G to S. Doney (WHOI). The data used in this manuscript can be found at the Palmer LTER Datazoo at http://oceaninformatics.ucsd.edu/datazoo/data/pallter/dataset.</t>
  </si>
  <si>
    <t>2169-8953</t>
  </si>
  <si>
    <t>2169-8961</t>
  </si>
  <si>
    <t>J GEOPHYS RES-BIOGEO</t>
  </si>
  <si>
    <t>J. Geophys. Res.-Biogeosci.</t>
  </si>
  <si>
    <t>10.1002/2015JG003311</t>
  </si>
  <si>
    <t>Environmental Sciences; Geosciences, Multidisciplinary</t>
  </si>
  <si>
    <t>DZ2ZS</t>
  </si>
  <si>
    <t>Green Accepted, Green Published</t>
  </si>
  <si>
    <t>WOS:000385712800005</t>
  </si>
  <si>
    <t>Jones, DC; Meijers, AJS; Shuckburgh, E; Sallée, JB; Haynes, P; McAufield, EK; Mazloff, MR</t>
  </si>
  <si>
    <t>Jones, Daniel C.; Meijers, Andrew J. S.; Shuckburgh, Emily; Sallee, Jean-Baptiste; Haynes, Peter; McAufield, Ewa K.; Mazloff, Matthew R.</t>
  </si>
  <si>
    <t>How does Subantarctic Mode Water ventilate the Southern Hemisphere subtropics?</t>
  </si>
  <si>
    <t>Southern Ocean; ventilation; Subantarctic Mode Water; thermocline; circulation; modeling</t>
  </si>
  <si>
    <t>GLOBAL OVERTURNING CIRCULATION; ANTHROPOGENIC CARBON-DIOXIDE; COUPLED CLIMATE MODEL; CIRCUMPOLAR CURRENT; INTERMEDIATE WATER; OCEAN; SUBDUCTION; TRANSPORT; PARAMETERIZATION; THERMOCLINE</t>
  </si>
  <si>
    <t>In several regions north of the Antarctic Circumpolar Current (ACC), deep wintertime convection refreshes pools of weakly stratified subsurface water collectively referred to as Subantarctic Mode Water (SAMW). SAMW ventilates the subtropical thermocline on decadal timescales, providing nutrients for low-latitude productivity and potentially trapping anthropogenic carbon in the deep ocean interior for centuries. In this work, we investigate the spatial structure and timescales of mode water export and associated thermocline ventilation. We use passive tracers in an eddy-permitting, observationally-informed Southern Ocean model to identify the pathways followed by mode waters between their formation regions and the areas where they first enter the subtropics. We find that the pathways followed by the mode water tracers are largely set by the mean geostrophic circulation. Export from the Indian and Central Pacific mode water pools is primarily driven by large-scale gyre circulation, whereas export from the Australian and Atlantic pools is heavily influenced by the ACC. Export from the Eastern Pacific mode water pool is driven by a combination of deep boundary currents and subtropical gyre circulation. More than 50% of each mode water tracer reaches the subtropical thermocline within 50 years, with significant variability between pools. The Eastern Pacific pathway is especially efficient, with roughly 80% entering the subtropical thermocline within 50 years. The time required for 50% of the mode water tracers to leave the Southern Ocean domain varies significantly between mode water pools, from 9 years for the Indian mode water pool to roughly 40 years for the Central Pacific mode water pool.</t>
  </si>
  <si>
    <t>[Jones, Daniel C.; Meijers, Andrew J. S.; Shuckburgh, Emily; McAufield, Ewa K.] British Antarctic Survey, NERC, Cambridge, England; [Sallee, Jean-Baptiste] CNRS, LOCEAN, Paris, France; [Haynes, Peter; McAufield, Ewa K.] Univ Cambridge, DAMTP, Cambridge, England; [Mazloff, Matthew R.] Univ Calif San Diego, Scripps Inst Oceanog, La Jolla, CA 92093 USA</t>
  </si>
  <si>
    <t>UK Research &amp; Innovation (UKRI); Natural Environment Research Council (NERC); NERC British Antarctic Survey; Centre National de la Recherche Scientifique (CNRS); Sorbonne Universite; Museum National d'Histoire Naturelle (MNHN); University of Cambridge; University of California System; University of California San Diego; Scripps Institution of Oceanography</t>
  </si>
  <si>
    <t>Jones, DC (corresponding author), British Antarctic Survey, NERC, Cambridge, England.</t>
  </si>
  <si>
    <t>dannes@bas.ac.uk</t>
  </si>
  <si>
    <t>Mazloff, Matthew/AAG-6463-2019; SALLEE, Jean baptiste/HDO-5355-2022; SALLEE, Jean baptiste/A-5837-2010</t>
  </si>
  <si>
    <t>Mazloff, Matthew/0000-0002-1650-5850; SALLEE, Jean baptiste/0000-0002-6109-5176; Jones, Dani/0000-0002-8701-4506; Haynes, Peter/0000-0002-7726-6988; Shuckburgh, Emily/0000-0001-9206-3444</t>
  </si>
  <si>
    <t>Natural Environment Research Council (NERC) [NE/J007757/1]; ARCHER UK National Supercomputing Service; National Science Foundation (NSF) [OCE-1234473, PLR-1425989]; Natural Environment Research Council [bas0100028, 1674296, bas0100033, NE/N018095/1, NE/J008494/1, NE/J009687/1] Funding Source: researchfish; Directorate For Geosciences; Office of Polar Programs (OPP) [1425989] Funding Source: National Science Foundation; Division Of Ocean Sciences; Directorate For Geosciences [1234473] Funding Source: National Science Foundation; NERC [bas0100033, NE/N018095/1, NE/J007757/1, NE/J009687/1, NE/J008494/1] Funding Source: UKRI</t>
  </si>
  <si>
    <t>Natural Environment Research Council (NERC)(UK Research &amp; Innovation (UKRI)Natural Environment Research Council (NERC)); ARCHER UK National Supercomputing Service; National Science Foundation (NSF)(National Science Foundation (NSF)); Natural Environment Research Council(UK Research &amp; Innovation (UKRI)Natural Environment Research Council (NERC)); Directorate For Geosciences; Office of Polar Programs (OPP)(National Science Foundation (NSF)NSF - Directorate for Geosciences (GEO)); Division Of Ocean Sciences; Directorate For Geosciences(National Science Foundation (NSF)NSF - Directorate for Geosciences (GEO)); NERC(UK Research &amp; Innovation (UKRI)Natural Environment Research Council (NERC))</t>
  </si>
  <si>
    <t>This work was supported by the Natural Environment Research Council (NERC grant NE/J007757/1) and used the ARCHER UK National Supercomputing Service (http://www.archer.ac.uk). Matt Mazloff acknowledges the National Science Foundation (NSF) for support of this research through grants OCE-1234473 and PLR-1425989. The authors thank Lynne Talley, Jinbo Wang, and an anonymous reviewer for comments that greatly improved the quality of this paper. The model used (MITgcm) is available at http://mitgcm.org/, and other data are available on the SOSE website (http://sose.ucsd.edu/) and in the references of this paper.</t>
  </si>
  <si>
    <t>10.1002/2016JC011680</t>
  </si>
  <si>
    <t>WOS:000386913200001</t>
  </si>
  <si>
    <t>Martín-Español, A; King, MA; Zammit-Mangion, A; Andrews, SB; Moore, P; Bamber, JL</t>
  </si>
  <si>
    <t>Martin-Espanol, Alba; King, Matt A.; Zammit-Mangion, Andrew; Andrews, Stuart B.; Moore, Philip; Bamber, Jonathan L.</t>
  </si>
  <si>
    <t>An assessment of forward and inverse GIA solutions for Antarctica</t>
  </si>
  <si>
    <t>JOURNAL OF GEOPHYSICAL RESEARCH-SOLID EARTH</t>
  </si>
  <si>
    <t>GIA</t>
  </si>
  <si>
    <t>GLACIAL-ISOSTATIC-ADJUSTMENT; SHEET EXCEED LOSSES; WEST ANTARCTICA; MASS-BALANCE; UPLIFT RATES; VISCOELASTIC RESPONSE; WEDDELL SEA; GPS DATA; MODEL; GRACE</t>
  </si>
  <si>
    <t>In this work we assess the most recent estimates of glacial isostatic adjustment (GIA) for Antarctica, including those from both forward and inverse methods. The assessment is based on a comparison of the estimated uplift rates with a set of elastic-corrected GPS vertical velocities. These have been observed from an extensive GPS network and computed using data over the period 2009-2014. We find systematic underestimations of the observed uplift rates in both inverse and forward methods over specific regions of Antarctica characterized by low mantle viscosities and thin lithosphere, such as the northern Antarctic Peninsula and the Amundsen Sea Embayment, where its recent ice discharge history is likely to be playing a role in current GIA. Uplift estimates for regions where many GIA models have traditionally placed their uplift maxima, such as the margins of Filchner-Ronne and Ross ice shelves, are found to be overestimated. GIA estimates show large variability over the interior of East Antarctica which results in increased uncertainties on the ice-sheet mass balance derived from gravimetry methods.</t>
  </si>
  <si>
    <t>[Martin-Espanol, Alba; Bamber, Jonathan L.] Univ Bristol, Sch Geog Sci, Bristol, Avon, England; [King, Matt A.] Univ Tasmania, Sch Land &amp; Food, Hobart, Tas, Australia; [Zammit-Mangion, Andrew] Univ Wollongong, NIASRA, Environm Informat Ctr, Wollongong, NSW, Australia; [Andrews, Stuart B.; Moore, Philip] Newcastle Univ, Sch Civil Engn &amp; Geosci, Newcastle Upon Tyne, Tyne &amp; Wear, England</t>
  </si>
  <si>
    <t>University of Bristol; University of Tasmania; University of Wollongong; Newcastle University - UK</t>
  </si>
  <si>
    <t>Martín-Español, A (corresponding author), Univ Bristol, Sch Geog Sci, Bristol, Avon, England.</t>
  </si>
  <si>
    <t>alba.martin@bristol.ac.uk</t>
  </si>
  <si>
    <t>Bamber, Jonathan/C-7608-2011; Zammit-Mangion, Andrew/I-5356-2016; King, Matt/B-4622-2008</t>
  </si>
  <si>
    <t>Bamber, Jonathan/0000-0002-2280-2819; Zammit-Mangion, Andrew/0000-0002-4164-6866; King, Matt/0000-0001-5611-9498; Martin, Alba/0000-0001-9495-9092</t>
  </si>
  <si>
    <t>National Science Foundation (NSF); National Aeronautics and Space Administration (NASA) under NSF [EAR-0735156]; NERC [NE/F01466X/1]; Australian Research Council Future Fellowship [SR140300001]; UK NERC [NE/I027401/1]; National Centre for Earth Observation (NCEO); NERC [NE/F01466X/1, NE/I027401/1, NE/I027681/1] Funding Source: UKRI; Natural Environment Research Council [NE/I027681/1, NE/I027401/1, NE/F01466X/1] Funding Source: researchfish</t>
  </si>
  <si>
    <t>National Science Foundation (NSF)(National Science Foundation (NSF)); National Aeronautics and Space Administration (NASA) under NSF(National Aeronautics &amp; Space Administration (NASA)); NERC(UK Research &amp; Innovation (UKRI)Natural Environment Research Council (NERC)); Australian Research Council Future Fellowship(Australian Research Council); UK NERC(UK Research &amp; Innovation (UKRI)Natural Environment Research Council (NERC)); National Centre for Earth Observation (NCEO); NERC(UK Research &amp; Innovation (UKRI)Natural Environment Research Council (NERC)); Natural Environment Research Council(UK Research &amp; Innovation (UKRI)Natural Environment Research Council (NERC))</t>
  </si>
  <si>
    <t>We thank the various model developers for sharing their model predictions/solutions. The GIA ICE-6G_C (VM5a) model is available at http://www.atmosp.physics.utoronto.ca/similar to peltier/data.php, the A13 model at ftp://podaac-ftp.jpl.nasa.gov/allData/tellus/L3/pgr/. The other GIA models used in this study are available upon request to their corresponding authors. GPS data were obtained almost entirely from public archives including the International GNSS Service [Dow et al., 2009] and UNAVCO. Raw GPS data can be accessed through the links listed in Table 1 (supporting information). We thank Hannu Koivula for providing ABOA data. We especially acknowledge the hard work of the U.S. ANET/LARISSA and British Antarctic Survey teams in deploying and maintaining most of the sites used here. This work is partly based on data services provided by the UNAVCO Facility with support from the National Science Foundation (NSF) and National Aeronautics and Space Administration (NASA) under NSF Cooperative Agreement EAR-0735156. This work was partially supported by NERC grant NE/F01466X/1. The GPS data analysis was performed using NASA JPL GIPSY software and clocks and orbits. This work was partially supported by Australian Research Council Future Fellowship (project ID FT110100207), Special Research Initiative for Antarctic Gateway Partnership (project ID SR140300001) and UK NERC grant NE/I027401/1. Andrew Zammit-Mangion is also Honorary Research Fellow at the University of Bristol. The mascon study was part funded by a National Centre for Earth Observation (NCEO) award in gravimetric geodesy. We would like to thank Paul Tregoning and two anonymous reviewers for the thoughtful comments that helped improving the manuscript.</t>
  </si>
  <si>
    <t>2169-9313</t>
  </si>
  <si>
    <t>2169-9356</t>
  </si>
  <si>
    <t>J GEOPHYS RES-SOL EA</t>
  </si>
  <si>
    <t>J. Geophys. Res.-Solid Earth</t>
  </si>
  <si>
    <t>10.1002/2016JB013154</t>
  </si>
  <si>
    <t>DZ4RA</t>
  </si>
  <si>
    <t>Green Submitted, Green Published, hybrid, Green Accepted</t>
  </si>
  <si>
    <t>WOS:000385845700038</t>
  </si>
  <si>
    <t>Yu, YQ; Jordanova, VK; Ridley, AJ; Albert, JM; Horne, RB; Jeffery, CA</t>
  </si>
  <si>
    <t>Yu, Yiqun; Jordanova, Vania K.; Ridley, Aaron J.; Albert, Jay M.; Horne, Richard B.; Jeffery, Christopher A.</t>
  </si>
  <si>
    <t>A new ionospheric electron precipitation module coupled with RAM-SCB within the geospace general circulation model</t>
  </si>
  <si>
    <t>electron precipitation; wave-particle interactions; ionospheric conductivity; MI coupling; diffusion coefficient; electron lifetime</t>
  </si>
  <si>
    <t>LINEAR DIFFUSION-COEFFICIENTS; RADIATION BELT ELECTRONS; RING CURRENT; CHORUS WAVES; ENERGETIC ELECTRONS; PLASMASPHERIC HISS; KINETIC-MODEL; PITCH-ANGLE; STORM; SIMULATIONS</t>
  </si>
  <si>
    <t>Electron precipitation down to the atmosphere due to wave-particle scattering in the magnetosphere contributes significantly to the auroral ionospheric conductivity. In order to obtain the auroral conductivity in global MHD models that are incapable of capturing kinetic physics in the magnetosphere, MHD parameters are often used to estimate electron precipitation flux for the conductivity calculation. Such an MHD approach, however, lacks self-consistency in representing the magnetosphere-ionosphere coupling processes. In this study we improve the coupling processes in global models with a more physical method. We calculate the physics-based electron precipitation from the ring current and map it to the ionospheric altitude for solving the ionospheric electrodynamics. In particular, we use the BATS-R-US (Block Adaptive Tree Scheme-Roe type-Upstream) MHD model coupled with the kinetic ring current model RAM-SCB (Ring current-Atmosphere interaction Model with Self-Consistent Magnetic field (B)) that solves pitch angle-dependent electron distribution functions, to study the global circulation dynamics during the 25-26 January 2013 storm event. Since the electron precipitation loss is mostly governed by wave-particle resonant scattering in the magnetosphere, we further investigate two loss methods of specifying electron precipitation loss associated with wave-particle interactions: (1) using pitch angle diffusion coefficients D(E,) determined from the quasi-linear theory, with wave spectral and plasma density obtained from statistical observations (named as diffusion coefficient method) and (2) using electron lifetimes (E) independent on pitch angles inferred from the above diffusion coefficients (named as lifetime method). We found that both loss methods demonstrate similar temporal evolution of the trapped ring current electrons, indicating that the impact of using different kinds of loss rates is small on the trapped electron population. However, for the precipitated electrons, the lifetime method hardly captures any precipitation in the large Lshell (i.e., 4 &lt; L &lt; 6.5) region, while the diffusion coefficient method produces much better agreement with NOAA/POES measurements, including the spatial distribution and temporal evolution of electron precipitation in the region from the premidnight through the dawn to the dayside. Further comparisons of the precipitation energy flux to DMSP observations indicates that the new physics-based precipitation approach using diffusion coefficients for the ring current electron loss can explain the diffuse electron precipitation in the dawn sector, such as the enhanced precipitation flux at auroral latitudes and flux drop near the subauroral latitudes, but the traditional MHD approach largely overestimates the precipitation flux at lower latitudes.</t>
  </si>
  <si>
    <t>[Yu, Yiqun] Beihang Univ, Space Sci Inst, Sch Space &amp; Environm, Beijing, Peoples R China; [Jordanova, Vania K.; Jeffery, Christopher A.] Los Alamos Natl Lab, Space Sci &amp; Applicat, Los Alamos, NM USA; [Ridley, Aaron J.] Univ Michigan, Dept Atmospher Ocean &amp; Space Sci, Ann Arbor, MI 48109 USA; [Albert, Jay M.] Air Force Res Lab, Kirtland AFB, NM USA; [Horne, Richard B.] British Antarctic Survey, Cambridge, England</t>
  </si>
  <si>
    <t>Beihang University; United States Department of Energy (DOE); Los Alamos National Laboratory; University of Michigan System; University of Michigan; United States Department of Defense; United States Air Force; US Air Force Research Laboratory; UK Research &amp; Innovation (UKRI); Natural Environment Research Council (NERC); NERC British Antarctic Survey</t>
  </si>
  <si>
    <t>Yu, YQ (corresponding author), Beihang Univ, Space Sci Inst, Sch Space &amp; Environm, Beijing, Peoples R China.</t>
  </si>
  <si>
    <t>yiqunyu17@gmail.com</t>
  </si>
  <si>
    <t>Horne, Richard B/U-3764-2019; Ridley, Aaron J/F-3943-2011; Yu, Yiqun/E-2710-2012; Jordanova, Vania/AAE-9907-2020; Albert, Jay/AAV-6860-2020; Jordanova, Vania/E-3667-2018</t>
  </si>
  <si>
    <t>Horne, Richard B/0000-0002-0412-6407; Albert, Jay/0000-0001-9494-7630; Jordanova, Vania/0000-0003-0475-8743</t>
  </si>
  <si>
    <t>NSFC [73011501, 41431071]; Fundamental Research Funds for the Central Universities; Special Program for Applied Research on Super Computation of the NSFC-Guangdong Joint Fund; U.S. Department of Energy; Los Alamos National Laboratory Directed Research and Development (LDRD) SHIELDS project; NASA [NNH13AW83I, NNH14AX90I, NAS5-01072]; NSF [ATM-1242787]; European Union [606716 SPACESTORM]; NERC [bas0100031] Funding Source: UKRI; Natural Environment Research Council [bas0100031] Funding Source: researchfish; Div Atmospheric &amp; Geospace Sciences; Directorate For Geosciences [1242787] Funding Source: National Science Foundation</t>
  </si>
  <si>
    <t>NSFC(National Natural Science Foundation of China (NSFC)); Fundamental Research Funds for the Central Universities(Fundamental Research Funds for the Central Universities); Special Program for Applied Research on Super Computation of the NSFC-Guangdong Joint Fund; U.S. Department of Energy(United States Department of Energy (DOE)); Los Alamos National Laboratory Directed Research and Development (LDRD) SHIELDS project(United States Department of Energy (DOE)Los Alamos National Laboratory); NASA(National Aeronautics &amp; Space Administration (NASA)); NSF(National Science Foundation (NSF)); European Union(European Union (EU)); NERC(UK Research &amp; Innovation (UKRI)Natural Environment Research Council (NERC)); Natural Environment Research Council(UK Research &amp; Innovation (UKRI)Natural Environment Research Council (NERC)); Div Atmospheric &amp; Geospace Sciences; Directorate For Geosciences(National Science Foundation (NSF)NSF - Directorate for Geosciences (GEO))</t>
  </si>
  <si>
    <t>The authors thank the OMNIweb from NASA Goddard Space Flight Center for providing the solar wind/interplanetary data and the Kyoto, Japan World Data Center System for providing the SYM-H index and AE index. The DMSP particle detectors were designed by Dave Hardy of AFRL, and the data are obtained from JHU/APL. The authors are also grateful to NOAA website for providing POES data (http://satdat.ngdc.noaa.gov/sem/poes/). The Van Allen Probes data are obtained from ECT website (http://rbsp-ect.lanl.gov). We also thank Yue Chen for useful discussion on POES observations. This work was supported by the NSFC grants 73011501 and 41431071, by the Fundamental Research Funds for the Central Universities, and by the Special Program for Applied Research on Super Computation of the NSFC-Guangdong Joint Fund (the second phase). The work at LANL was conducted under the auspices of the U.S. Department of Energy, with partial support from the Los Alamos National Laboratory Directed Research and Development (LDRD) SHIELDS project, and NASA grants NNH13AW83I, NNH14AX90I, and NAS5-01072. The work at the University of Michigan was supported through NSF grant ATM-1242787. The research leading to these results has received funding in part from the European Union Seventh Framework Program (FP7/2007-2013) under grant agreement 606716 SPACESTORM. Part of these simulations were performed on TianHe-2 at National Supercomputer Center in Guangzhou, China. Data used in the study will be made available upon request by contacting the corresponding author.</t>
  </si>
  <si>
    <t>10.1002/2016JA022585</t>
  </si>
  <si>
    <t>DZ4QM</t>
  </si>
  <si>
    <t>Green Accepted, Green Published, Bronze, Green Submitted</t>
  </si>
  <si>
    <t>WOS:000385844000026</t>
  </si>
  <si>
    <t>Nemec, F; Bezdeková, B; Manninen, J; Parrot, M; Santolík, O; Hayosh, M; Turunen, T</t>
  </si>
  <si>
    <t>Nemec, F.; Bezdekova, B.; Manninen, J.; Parrot, M.; Santolik, O.; Hayosh, M.; Turunen, T.</t>
  </si>
  <si>
    <t>Conjugate observations of a remarkable quasiperiodic event by the low-altitude DEMETER spacecraft and ground-based instruments</t>
  </si>
  <si>
    <t>quasiperiodic emissions; QP emissions; DEMETER</t>
  </si>
  <si>
    <t>ELF-VLF EMISSIONS; VAN ALLEN PROBES; ELF/VLF WAVE EMISSIONS; MAGNETIC PULSATIONS; SATELLITE-OBSERVATIONS; ANTARCTIC STATIONS; CYCLOTRON MASER; WHISTLERS; CLUSTER; MAGNETOSPHERE</t>
  </si>
  <si>
    <t>We present a detailed analysis of a long-lasting quasiperiodic (QP) event observed simultaneously by the low-altitude DEMETER spacecraft and on the ground by the instrumentation of the Sodankyla Geophysical Observatory, Finland. The event was observed on 26February 2008. It lasted for several hours, and it was detected both in the Northern and Southern Hemispheres. The time intervals when the event was observed on board the satellite and/or on the ground provide us with an estimate of the event dimensions. When the event is detected simultaneously by the satellite and on the ground, the observed frequency-time structure is generally the same. However, the ratio of detected intensities varies significantly as a function of the spacecraft latitude, indicating the wave guiding along the plasmapause. Moreover, there is a delay as large as about 13s between the times when individual QP elements are detected by the spacecraft and on the ground. This appears to be related to the azimuthal separation of the instruments, and it is highly relevant to the identification of a possible source mechanism. We suggest that it is due to an azimuthally propagating ULF wave which periodically modulates the azimuthally extended source region. Finally, we find that at the times when the intensity of the QP event suddenly increases, there is a distinct increase of the amplitude of Alfvenic ULF pulsations measured on the ground at high latitudes. This might indicate that the source region is located at L shells larger than about 7.1.</t>
  </si>
  <si>
    <t>[Nemec, F.; Bezdekova, B.; Santolik, O.] Charles Univ Prague, Fac Math &amp; Phys, Prague, Czech Republic; [Manninen, J.; Turunen, T.] Sodankyla Geophys Observ, Sodankyla, Finland; [Parrot, M.] CNRS, LPC2E, Orleans, France; [Santolik, O.; Hayosh, M.] Acad Sci Czech Republ, Inst Atmospher Phys, Prague, Czech Republic</t>
  </si>
  <si>
    <t>Charles University Prague; Centre National de la Recherche Scientifique (CNRS); Universite de Orleans; Czech Academy of Sciences; Institute of Atmospheric Physics of the Czech Academy of Sciences</t>
  </si>
  <si>
    <t>Nemec, F (corresponding author), Charles Univ Prague, Fac Math &amp; Phys, Prague, Czech Republic.</t>
  </si>
  <si>
    <t>frantisek.nemec@gmail.com</t>
  </si>
  <si>
    <t>Manninen, Jyrki/I-4004-2019; Hayosh, Mykhaylo/G-9461-2014; Bezděková, Barbora/O-7387-2017; Bezděková, Barbora/AAC-3212-2020; Santolik, Ondrej/F-7766-2014; Nemec, Frantisek/H-7027-2013</t>
  </si>
  <si>
    <t>Manninen, Jyrki/0000-0003-2866-4231; Bezděková, Barbora/0000-0002-8599-4483; Santolik, Ondrej/0000-0002-4891-9273; Nemec, Frantisek/0000-0002-3233-2718; Parrot, Michel/0000-0003-0905-5721</t>
  </si>
  <si>
    <t>GACR [15-01775Y, 14-31899S]; GAUK [300216]; MSMT [LH 15304]; Praemium Academiae award from the CAS</t>
  </si>
  <si>
    <t>GACR(Grant Agency of the Czech Republic); GAUK; MSMT(Ministry of Education, Youth &amp; Sports - Czech Republic); Praemium Academiae award from the CAS</t>
  </si>
  <si>
    <t>DEMETER was a CNES mission. We thank the engineers from CNES and scientific laboratories (CBK, IRAP, LPC2E, LPP, and SSD of ESTEC) who largely contributed to the success of this mission. DEMETER data are accessible from https://sipad-cdpp.cnes.fr. IMAGE magnetometer data can be downloaded from http://www.ava.fmi.fi/image. We thank the institutes who maintain the IMAGE Magnetometer Array. The work of F.N. and B.B. was supported by GACR grant 15-01775Y and GAUK grant 300216. The work of O.S. was supported by MSMT grant LH 15304, GACR grant 14-31899S, and by the Praemium Academiae award from the CAS.</t>
  </si>
  <si>
    <t>10.1002/2016JA022968</t>
  </si>
  <si>
    <t>WOS:000385844000041</t>
  </si>
  <si>
    <t>Zhang, QH; Moen, J; Lockwood, M; McCrea, I; Zhang, BC; McWilliams, KA; Zong, QG; Zhang, SR; Ruohoniemi, JM; Thomas, EG; Dunlop, MW; Liu, RY; Yang, HG; Hu, HQ; Lester, M</t>
  </si>
  <si>
    <t>Zhang, Qing-He; Moen, Joran; Lockwood, Michael; McCrea, Ian; Zhang, Bei-Chen; McWilliams, Kathryn A.; Zong, Qiu-Gang; Zhang, Shun-Rong; Ruohoniemi, J. Michael; Thomas, Evan G.; Dunlop, Malcolm W.; Liu, Rui-Yuan; Yang, Hui-Gen; Hu, Hong-Qiao; Lester, Mark</t>
  </si>
  <si>
    <t>Polar cap patch transportation beyond the classic scenario</t>
  </si>
  <si>
    <t>polar cap patch; storm-enhanced density; subauroral polarization stream; magnetosphere-ionosphere coupling; polar ionosphere</t>
  </si>
  <si>
    <t>INTERPLANETARY MAGNETIC-FIELD; PLASMA-DENSITY STRUCTURES; RADAR NETWORK SUPERDARN; IONOSPHERIC F-REGION; EISCAT SVALBARD; DAYSIDE CONVECTION; ELECTRON-DENSITY; SUBSTORM CYCLES; RECONNECTION; IMF</t>
  </si>
  <si>
    <t>We report the continuous monitoring of a polar cap patch, encompassing its creation, and a subsequent evolution that differs from the classic behavior. The patch was formed from the storm-enhanced density plume, by segmentation associated with a subauroral polarization stream generated by a substorm. Its initial antisunward motion was halted due to a rapidly changing of interplanetary magnetic field (IMF) conditions from strong southward to strong eastward with weaker northward components, and the patch subsequently very slowly evolved behind the duskside of a lobe reverse convection cell in afternoon sectors, associated with high-latitude lobe reconnection, much of it fading rapidly due to an enhancement of the ionization recombination rate. This differs from the classic scenario where polar cap patches are transported across the polar cap along the streamlines of twin-cell convection pattern from day to night. This observation provides us new important insights into patch formation and control by the IMF, which has to be taken into account in F region transport models and space weather forecasts.</t>
  </si>
  <si>
    <t>[Zhang, Qing-He] Shandong Univ, Inst Space Sci, Shandong Prov Key Lab Opt Astron &amp; Solar Terr Env, Weihai, Peoples R China; [Zhang, Qing-He] Chinese Acad Sci, State Key Lab Space Weather, Beijing, Peoples R China; [Moen, Joran] Univ Oslo, Dept Phys, Oslo, Norway; [Lockwood, Michael] Univ Reading, Dept Meteorol, Reading, Berks, England; [McCrea, Ian; Dunlop, Malcolm W.] Rutherford Appleton Lab, Div Space Sci, SSTD, Didcot, Oxon, England; [Zhang, Bei-Chen; Liu, Rui-Yuan; Yang, Hui-Gen; Hu, Hong-Qiao] Polar Res Inst China, SOA Key Lab Polar Sci, Shanghai, Peoples R China; [McWilliams, Kathryn A.] Univ Saskatchewan, Inst Space &amp; Atmospher Studies, Saskatoon, SK, Canada; [Zong, Qiu-Gang] Peking Univ, Sch Earth &amp; Space Sci, Beijing, Peoples R China; [Zhang, Shun-Rong] MIT, Haystack Observ, Westford, MA 01886 USA; [Ruohoniemi, J. Michael; Thomas, Evan G.] Virginia Tech, Bradley Dept Elect &amp; Comp Engn, Blacksburg, VA USA; [Lester, Mark] Univ Leicester, Dept Phys &amp; Astron, Leicester, Leics, England</t>
  </si>
  <si>
    <t>Shandong University; Chinese Academy of Sciences; University of Oslo; University of Reading; UK Research &amp; Innovation (UKRI); Science &amp; Technology Facilities Council (STFC); STFC Rutherford Appleton Laboratory; Polar Research Institute of China; University of Saskatchewan; Peking University; Massachusetts Institute of Technology (MIT); Virginia Polytechnic Institute &amp; State University; University of Leicester</t>
  </si>
  <si>
    <t>Zhang, QH (corresponding author), Shandong Univ, Inst Space Sci, Shandong Prov Key Lab Opt Astron &amp; Solar Terr Env, Weihai, Peoples R China.;Zhang, QH (corresponding author), Chinese Acad Sci, State Key Lab Space Weather, Beijing, Peoples R China.</t>
  </si>
  <si>
    <t>zhangqinghe@sdu.edu.cn</t>
  </si>
  <si>
    <t>Thomas, Evan G/B-3921-2017; Zong, Qiugang/L-1920-2018; dunlop, malcolm w/F-1347-2010; Lockwood, Mike/G-1030-2011; Moen, Joeran I/I-1349-2017; Liu, Ruiyuan/GWC-4730-2022; Zhang, Qing-He/G-4572-2014; Zhang, Shun-Rong/G-7593-2015; Lester, Mark/C-9657-2016</t>
  </si>
  <si>
    <t>Zong, Qiugang/0000-0002-6414-3794; dunlop, malcolm w/0000-0002-8195-5137; Lockwood, Mike/0000-0002-7397-2172; Liu, Ruiyuan/0000-0002-1678-3500; Zhang, Qing-He/0000-0003-2429-4050; Zhang, Shun-Rong/0000-0002-1946-3166; Lester, Mark/0000-0001-7353-5549</t>
  </si>
  <si>
    <t>National Basic Research Program [2012CB825603]; National Natural Science Foundation [41574138, 41274149, 41274148]; Shandong Provincial Natural Science Foundation [JQ201412]; International Collaboration Supporting Project; Chinese Arctic and Antarctic Administration [IC201511]; Chinese Meridian Project; Specialized Research Fund for State Key Laboratories; Research Council of Norway [230996]; STFC [ST/M000885/1, ST/K001000/1]; NSF [AGS-0946900, AGS-0838219]; Virginia Space Grant Consortium; NERC [NE/K011766/1]; Science and Technology Facilities Council [ST/K001000/1, ST/M001083/1] Funding Source: researchfish; STFC [ST/K001000/1, ST/M001083/1] Funding Source: UKRI; Directorate For Geosciences; Div Atmospheric &amp; Geospace Sciences [1242204] Funding Source: National Science Foundation; Directorate For Geosciences; Div Atmospheric &amp; Geospace Sciences [1341918, 1524667] Funding Source: National Science Foundation</t>
  </si>
  <si>
    <t>National Basic Research Program(National Basic Research Program of China); National Natural Science Foundation(National Natural Science Foundation of China (NSFC)); Shandong Provincial Natural Science Foundation(Natural Science Foundation of Shandong Province); International Collaboration Supporting Project; Chinese Arctic and Antarctic Administration; Chinese Meridian Project; Specialized Research Fund for State Key Laboratories; Research Council of Norway(Research Council of Norway); STFC(UK Research &amp; Innovation (UKRI)Science &amp; Technology Facilities Council (STFC)); NSF(National Science Foundation (NSF)); Virginia Space Grant Consortium; NERC(UK Research &amp; Innovation (UKRI)Natural Environment Research Council (NERC)); Science and Technology Facilities Council(UK Research &amp; Innovation (UKRI)Science &amp; Technology Facilities Council (STFC)); STFC(UK Research &amp; Innovation (UKRI)Science &amp; Technology Facilities Council (STFC)); Directorate For Geosciences; Div Atmospheric &amp; Geospace Sciences(National Science Foundation (NSF)NSF - Directorate for Geosciences (GEO)); Directorate For Geosciences; Div Atmospheric &amp; Geospace Sciences(National Science Foundation (NSF)NSF - Directorate for Geosciences (GEO))</t>
  </si>
  <si>
    <t>This work in China was supported by the National Basic Research Program (grant 2012CB825603), the National Natural Science Foundation (grants 41574138, 41274149, and 41274148), the Shandong Provincial Natural Science Foundation (grant JQ201412), the International Collaboration Supporting Project, Chinese Arctic and Antarctic Administration (IC201511), the Chinese Meridian Project, and the Specialized Research Fund for State Key Laboratories. J. Moen is supported by the Research Council of Norway grant 230996. The work at Reading University was supported by STFC consolidated grant ST/M000885/1. SuperDARN is a collection of radars funded by national scientific funding agencies in Australia, Canada, China, France, Japan, South Africa, United Kingdom, and United States of America. The Virginia Tech authors acknowledge the support of NSF awards AGS-0946900 and AGS-0838219 and a graduate research fellowship from the Virginia Space Grant Consortium. M. Lester acknowledges support from STFC grant ST/K001000/1 and NERC grant NE/K011766/1. The GPS TEC acquisition effort is led by A. J. Coster at MIT Haystack Observatory. The GPS TEC and SuperDARN data are available on the public database: http://vt.superdarn.org/tiki-index.php?page=DaViT+TEC. We also thank the NOAA FTP for making available the DMSP data (ftp://ftp.ngdc.noaa.gov/STP/satellite_data/), the NASA OMNIWeb for the solar wind, the Madrigal database for the Poker Flat incoherent radar data (http://madrigal.haystack.mit.edu/madrigal/), IMF (http://omniweb.gsfc.nasa.gov/html/sc_merge_data1.html) and WDC C1, and Kyoto for the AE indices (http://wdc.kugi.kyoto-u.ac.jp/wdc/Sec3.html).</t>
  </si>
  <si>
    <t>10.1002/2016JA022443</t>
  </si>
  <si>
    <t>Green Published, Bronze, Green Accepted</t>
  </si>
  <si>
    <t>WOS:000385844000059</t>
  </si>
  <si>
    <t>Deshpande, KB; Bust, GS; Clauer, CR; Scales, WA; Frissell, NA; Ruohoniemi, JM; Spogli, L; Mitchell, C; Weatherwax, AT</t>
  </si>
  <si>
    <t>Deshpande, K. B.; Bust, G. S.; Clauer, C. R.; Scales, W. A.; Frissell, N. A.; Ruohoniemi, J. M.; Spogli, L.; Mitchell, C.; Weatherwax, A. T.</t>
  </si>
  <si>
    <t>Satellite-beacon Ionospheric-scintillation Global Model of the upper Atmosphere (SIGMA) II: Inverse modeling with high-latitude observations to deduce irregularity physics</t>
  </si>
  <si>
    <t>GPS scintillation; high-latitude irregularities; SIGMA; inverse modeling; interhemispheric</t>
  </si>
  <si>
    <t>GPS PHASE SCINTILLATION; NON-LINEAR EVOLUTION; PLASMA ENHANCEMENTS; AURORAL IONOSPHERE; DENSITY; REGION; INSTABILITY; STORM; TEC</t>
  </si>
  <si>
    <t>Ionospheric scintillation is caused by irregularities in the ionospheric electron density. The characterization of ionospheric irregularities is important to further our understanding of the underlying physics. Our goal is to characterize the intermediate (0.1-10km) to medium (10-100km) scale high-latitude irregularities which are likely to produce these scintillations. In this paper, we characterize irregularities observed by Global Navigation Satellite System (GNSS) during a geomagnetically active period on 9 March 2012. For this purpose, along with the measurements, we are using the recently developed model: Satellite-beacon Ionospheric-scintillation Global Model of the upper Atmosphere (SIGMA). The model is particularly applicable at high latitudes as it accounts for the complicated geometry of the magnetic field lines in these regions and is presented in an earlier paper. We use an inverse modeling technique to derive irregularity parameters by comparing the high rate (50Hz) GNSS observations to the modeled outputs. In this investigation, we consider experimental observations from both the northern and southern high latitudes. The results include predominance of phase scintillations compared to amplitude scintillations that imply the presence of larger-scale irregularities of sizes above the Fresnel scale at GPS frequencies, and the spectral index ranges from 2.4 to 4.2 and the RMS number density ranges from 3e11 to 2.3e12 el/m(3). The best fits we obtained from our inverse method that considers only weak scattering mostly agree with the observations. Finally, we suggest some improvements in order to facilitate the possibility of accomplishing a unique solution to such inverse problems.</t>
  </si>
  <si>
    <t>[Deshpande, K. B.; Clauer, C. R.; Scales, W. A.; Frissell, N. A.; Ruohoniemi, J. M.] Virginia Tech, Bradley Dept Elect &amp; Comp Engn, Blacksburg, VA 24061 USA; [Deshpande, K. B.] Embry Riddle Aeronaut Univ, Dept Phys Sci, Daytona Beach, FL 32114 USA; [Bust, G. S.] Johns Hopkins Univ, Appl Phys Lab, Laurel, MD USA; [Spogli, L.] Ist Nazl Geofis &amp; Vulcanol, Rome, Italy; [Spogli, L.] SpacEarth Technol, Rome, Italy; [Mitchell, C.] Univ Bath, Dept Elect &amp; Elect Engn, Bath, Avon, England; [Weatherwax, A. T.] Merrimack Coll, N Andover, MA 01845 USA</t>
  </si>
  <si>
    <t>Virginia Polytechnic Institute &amp; State University; Embry-Riddle Aeronautical University; Johns Hopkins University; Johns Hopkins University Applied Physics Laboratory; Istituto Nazionale Geofisica e Vulcanologia (INGV); University of Bath; Merrimack College</t>
  </si>
  <si>
    <t>Deshpande, KB (corresponding author), Virginia Tech, Bradley Dept Elect &amp; Comp Engn, Blacksburg, VA 24061 USA.;Deshpande, KB (corresponding author), Embry Riddle Aeronaut Univ, Dept Phys Sci, Daytona Beach, FL 32114 USA.</t>
  </si>
  <si>
    <t>kbdeshpande@gmail.com</t>
  </si>
  <si>
    <t>Bust, Gary S./AAZ-1848-2020; Spogli, Luca/AAD-1980-2021</t>
  </si>
  <si>
    <t>Bust, Gary S./0000-0001-6910-3989; Mitchell, Cathryn/0000-0003-1964-8723; SPOGLI, Luca/0000-0003-2310-0306; Frissell, Nathaniel/0000-0002-8398-4222; Weatherwax, Allan/0000-0003-4732-358X</t>
  </si>
  <si>
    <t>National Science Foundation [ANT-0839858, ATM-922979, PLR-1243398, ANT-0840650, PLR-1248087, AGS-1311922]; NERC [NE/F015321/1]; Canada Foundation for Innovation; New Brunswick Innovation Foundation; NSF [AGS-1341918]; China (CRIRP); Finland (SA); Japan (NIPR); Japan (STEL); Norway (NFR); Sweden (VR); United Kingdom (NERC); EPSRC [EP/H003304/1] Funding Source: UKRI; NERC [NE/F015321/1] Funding Source: UKRI; Engineering and Physical Sciences Research Council [EP/H003304/1] Funding Source: researchfish; Natural Environment Research Council [NE/F015321/1] Funding Source: researchfish; Directorate For Geosciences; Div Atmospheric &amp; Geospace Sciences [1341918] Funding Source: National Science Foundation; Directorate For Geosciences; Office of Polar Programs (OPP) [1248087, 1243398, 1716192] Funding Source: National Science Foundation</t>
  </si>
  <si>
    <t>National Science Foundation(National Science Foundation (NSF)); NERC(UK Research &amp; Innovation (UKRI)Natural Environment Research Council (NERC)); Canada Foundation for Innovation(Canada Foundation for InnovationCGIARSpanish Government); New Brunswick Innovation Foundation; NSF(National Science Foundation (NSF)); China (CRIRP); Finland (SA); Japan (NIPR); Japan (STEL); Norway (NFR)(Research Council of Norway); Sweden (VR)(Swedish Research Council); United Kingdom (NERC)(UK Research &amp; Innovation (UKRI)Natural Environment Research Council (NERC));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 Directorate For Geosciences; Div Atmospheric &amp; Geospace Sciences(National Science Foundation (NSF)NSF - Directorate for Geosciences (GEO)); Directorate For Geosciences; Office of Polar Programs (OPP)(National Science Foundation (NSF)NSF - Directorate for Geosciences (GEO))</t>
  </si>
  <si>
    <t>We would like to thank the National Science Foundation for supporting this research under grants ANT-0839858, ATM-922979, PLR-1243398, ANT-0840650, PLR-1248087, and AGS-1311922. C. Mitchell thanks the NERC for grant NE/F015321/1. Authors thank the Programma Nazionale di Ricerche in Antartide (PNRA-Italian National Program for the Antarctic Research) and the Consiglio Nazionale delle Ricerche (CNR-Italian National Research Council). Infrastructure funding for CHAIN is provided by the Canada Foundation for Innovation and the New Brunswick Innovation Foundation. CHAIN operation is conducted in collaboration with the Canadian Space Agency. J.M.R. and N.A.F. acknowledge the support of NSF under award AGS-1341918. The authors acknowledge the use of SuperDARN data. SuperDARN is a collection of radars funded by national scientific funding agencies of Australia, Canada, China, France, Japan, South Africa, United Kingdom, and United States of America. EISCAT is an international association supported by research organizations in China (CRIRP), Finland (SA), Japan (NIPR and STEL), Norway (NFR), Sweden (VR), and the United Kingdom (NERC). K. Deshpande thanks Charles Rino and Charles Carrano for their valuable suggestions and Dan Weimer for assistance with correctly identifying the station locations to include on the Ovation Prime plots. The numerical data used in the paper and the current version of the SIGMA model are available upon request from the corresponding author (K.B. Deshpande, kbdeshpande@gmail.com).</t>
  </si>
  <si>
    <t>10.1002/2016JA022943</t>
  </si>
  <si>
    <t>Green Published, Bronze, Green Submitted, Green Accepted</t>
  </si>
  <si>
    <t>WOS:000385844000068</t>
  </si>
  <si>
    <t>Osborne, AJ; Negro, SS; Chilvers, BL; Robertson, BC; Kennedy, MA; Gemmell, NJ</t>
  </si>
  <si>
    <t>Osborne, Amy J.; Negro, Sandra S.; Chilvers, B. Louise; Robertson, Bruce C.; Kennedy, Martin A.; Gemmell, Neil J.</t>
  </si>
  <si>
    <t>Genetic Evidence of a Population Bottleneck and Inbreeding in the Endangered New Zealand Sea Lion, Phocarctos hookeri</t>
  </si>
  <si>
    <t>bottleneck; diversity; microsatellites; structure</t>
  </si>
  <si>
    <t>HETEROZYGOSITY-FITNESS CORRELATIONS; MULTILOCUS GENOTYPE DATA; MICROSATELLITE LOCI; PARENTAL RELATEDNESS; ARCTOCEPHALUS-FORSTERI; AUCKLAND ISLANDS; PUP PRODUCTION; FUR SEALS; MHC DRB; SURVIVAL</t>
  </si>
  <si>
    <t>The New Zealand sea lion (NZSL) is of high conservation concern due to its limited distribution and its declining population size. Historically, it occupied most of coastal New Zealand, but is now restricted to a few coastal sites in southern mainland New Zealand and the sub-Antarctic Islands. NZSLs have experienced a recent reduction in population size due to sealing in the 1900s, which is expected to have resulted in increased inbreeding and a loss of genetic variation, potentially reducing the evolutionary capacity of the species and negatively impacting on its long-term prospects for survival. We used 17 microsatellite loci, previously shown to have cross-species applications in pinnipeds, to determine locus-and population-specific statistics for 1205 NZSLs from 7 consecutive breeding seasons. We show that the NZSL population has a moderate level of genetic diversity in comparison to other pinnipeds. We provide genetic evidence for a population reduction, likely caused by historical sealing, and a measure of allele sharing/parental relatedness (internal relatedness) that is suggestive of increased inbreeding in pups that died during recent epizootic episodes. We hypothesize that population bottlenecks and nonrandom mating have impacted on the population genetic architecture of NZSLs, affecting its population recovery.</t>
  </si>
  <si>
    <t>[Osborne, Amy J.; Gemmell, Neil J.] Univ Otago, Dept Anat, 270 Great King St, Dunedin 9016, New Zealand; [Osborne, Amy J.; Kennedy, Martin A.] Univ Otago, Dept Pathol, Christchurch, New Zealand; [Negro, Sandra S.] Univ Lausanne, Dept Med Genet, Swiss Inst Bioinformat, Computat Biol Grp, Lausanne, Switzerland; [Chilvers, B. Louise] Dept Conservat, Marine Species &amp; Threats Team, Wellington, New Zealand; [Robertson, Bruce C.] Univ Otago, Dept Zool, Dunedin 9016, New Zealand; [Gemmell, Neil J.] Univ Otago, Allan Wilson Ctr Mol Ecol &amp; Evolut, Dunedin 9016, New Zealand; [Chilvers, B. Louise] Massey Univ, Inst Vet Anim &amp; Biomed Sci, Wildbase, Palmerston North 4442, New Zealand</t>
  </si>
  <si>
    <t>University of Otago; University of Otago; University of Lausanne; Swiss Institute of Bioinformatics; University of Otago; University of Otago; Massey University</t>
  </si>
  <si>
    <t>Osborne, AJ (corresponding author), Univ Otago, Dept Anat, 270 Great King St, Dunedin 9016, New Zealand.;Osborne, AJ (corresponding author), Univ Otago, Dept Pathol, Christchurch, New Zealand.</t>
  </si>
  <si>
    <t>amy.osborne@otago.ac.nz</t>
  </si>
  <si>
    <t>Kennedy, Martin A/A-4942-2008; Chilvers, B. Louise/AAV-1965-2021; Kennedy, Martin/O-4540-2019; Gemmell, Neil J/C-6774-2009</t>
  </si>
  <si>
    <t>Chilvers, B. Louise/0000-0002-7657-4217; Kennedy, Martin/0000-0002-6445-8526;</t>
  </si>
  <si>
    <t>University of Otago Department of Anatomy PhD Scholarship; Landcare Research's FRST OBI 'Sustaining and Restoring Biodiversity' contract [C09X0503]; New Zealand Department of Conservation's (DoC) Conservation Services Programme [AEC86]</t>
  </si>
  <si>
    <t>University of Otago Department of Anatomy PhD Scholarship; Landcare Research's FRST OBI 'Sustaining and Restoring Biodiversity' contract; New Zealand Department of Conservation's (DoC) Conservation Services Programme</t>
  </si>
  <si>
    <t>This work was supported by a University of Otago Department of Anatomy PhD Scholarship (AJO) and a subcontract to NJG from Landcare Research's FRST OBI 'Sustaining and Restoring Biodiversity' contract # C09X0503. This work is the result of a long-term study, funded through the New Zealand Department of Conservation's (DoC) Conservation Services Programme (www.csp.org.nz) with samples collected under DoC Animal Ethics Permit Approval AEC86 (1 July 1999).</t>
  </si>
  <si>
    <t>10.1093/jhered/esw015</t>
  </si>
  <si>
    <t>DP6XG</t>
  </si>
  <si>
    <t>WOS:000378642500002</t>
  </si>
  <si>
    <t>Constable, AJ; Costa, DP; Schofield, O; Newman, L; Urban, ER; Fulton, EA; Melbourne-Thomas, J; Ballerini, T; Boyd, PW; Brandt, A; de la Mare, WK; Edwards, M; Eléaume, M; Emmerson, L; Fennel, K; Fielding, S; Griffiths, H; Gutt, J; Hindell, MA; Hofmann, EE; Jennings, S; La, HS; McCurdy, A; Mitchell, BG; Moltmann, T; Muelbert, M; Murphy, E; Press, AJ; Raymond, B; Reid, K; Reiss, C; Rice, J; Salter, I; Smith, DC; Song, S; Southwell, C; Swadling, KM; Van de Putte, AV; Zdenka, W</t>
  </si>
  <si>
    <t>Constable, Andrew J.; Costa, Daniel P.; Schofield, Oscar; Newman, Louise; Urban, Edward R., Jr.; Fulton, Elizabeth A.; Melbourne-Thomas, Jessica; Ballerini, Tosca; Boyd, Philip W.; Brandt, Angelika; de la Mare, Willaim K.; Edwards, Martin; Eleaume, Marc; Emmerson, Louise; Fennel, Katja; Fielding, Sophie; Griffiths, Huw; Gutt, Julian; Hindell, Mark A.; Hofmann, Eileen E.; Jennings, Simon; La, Hyoung Sul; McCurdy, Andrea; Mitchell, B. Greg; Moltmann, Tim; Muelbert, Monica; Murphy, Eugene; Press, Anthony J.; Raymond, Ben; Reid, Keith; Reiss, Christian; Rice, Jake; Salter, Ian; Smith, David C.; Song, Sun; Southwell, Colin; Swadling, Kerrie M.; Van de Putte, Anton; Willis, Zdenka</t>
  </si>
  <si>
    <t>Developing priority variables (ecosystem Essential Ocean Variables - eEOVs) for observing dynamics and change in Southern Ocean ecosystems</t>
  </si>
  <si>
    <t>Ocean observing; Antarctica; Southern Ocean Observing System; Essential variables; Ecosystem change; Monitoring systems; Ecosystem management; Indicators</t>
  </si>
  <si>
    <t>WEST ANTARCTIC PENINSULA; MANAGING FISHERIES; MARINE ECOSYSTEM; CLIMATE-CHANGE; EUPHAUSIA-SUPERBA; ROSS SEA; FOOD-WEB; INDICATORS; CCAMLR; TRENDS</t>
  </si>
  <si>
    <t>Reliable statements about variability and change in marine ecosystems and their underlying causes are needed to report on their status and to guide management. Here we use the Framework on Ocean Observing (FOO) to begin developing ecosystem Essential Ocean Variables (eEOVs) for the Southern Ocean Observing System (SOOS). An eEOV is a defined biological or ecological quantity, which is derived from field observations,, and which contributes significantly to assessments of Southern Ocean ecosystems. Here, assessments are concerned with estimating status and trends in ecosystem properties, attribution of trends to causes, and predicting future trajectories. eEOVs should be feasible to collect at appropriate spatial and temporal scales and are useful to the extent that they contribute to direct estimation of trends and/or attribution, and/or development of ecological (statistical or simulation) models to support assessments. In this paper we outline the rationale, including establishing a set of criteria, for selecting eEOVs for the SOOS and develop a list of candidate eEOVs for further evaluation. Other than habitat variables, nine types of eEOVs for Southern Ocean taxa are identified within three classes: state (magnitude, genetic/species, size spectrum), predator-prey (diet, foraging range), and autecology (phenology, reproductive rate, individual growth rate, detritus). Most candidates for the suite of Southern Ocean taxa relate to state or diet. Candidate autecological eEOVs have not been developed other than for marine mammals and birds. We consider some of the spatial and temporal issues that will influence the adoption and use of eEOVs in an observing system in the Southern Ocean, noting that existing operations and platforms potentially provide coverage of the four main sectors of the region the East and West Pacific, Atlantic and Indian. Lastly, we discuss the importance of simulation modelling in helping with the design of the observing system in the long term. Regional boundary: south of 30 degrees S. (C) 2016 The Authors. Published by Elsevier B.V. This is an open access article under the CC BY-NC-ND license.</t>
  </si>
  <si>
    <t>[Constable, Andrew J.; Melbourne-Thomas, Jessica; de la Mare, Willaim K.; Emmerson, Louise; Raymond, Ben; Southwell, Colin] Australian Antarctic Div, Channel Highway, Kingston, Tas 7050, Australia; [Constable, Andrew J.; Melbourne-Thomas, Jessica; Boyd, Philip W.; Emmerson, Louise; Hindell, Mark A.; Press, Anthony J.; Raymond, Ben; Southwell, Colin; Swadling, Kerrie M.] Antarctic Climate &amp; Ecosyst Cooperat Res Ctr, Private Bag 80, Hobart, Tas 7001, Australia; [Costa, Daniel P.] Univ Calif Santa Cruz, Ecol &amp; Evolutionary Biol, Santa Cruz, CA 95060 USA; [Schofield, Oscar] Rutgers State Univ, Dept Marine &amp; Coastal Sci, Ctr Ocean Observing Leadership, 71 Dudley Rd, New Brunswick, NJ 08901 USA; [Newman, Louise] Univ Tasmania, C IMAS, Southern Ocean Observing Syst Int Project Off, Private Bag 129, Hobart, Tas 7001, Australia; [Newman, Louise] Univ Delaware, Sci Comm Ocean Res, Newark, DE USA; [Fulton, Elizabeth A.; Smith, David C.] CSIRO Oceans &amp; Atmosphere, Hobart, Tas 7001, Australia; [Fulton, Elizabeth A.; Smith, David C.] Univ Tasmania, Ctr Marine Socioecol, Hobart, Tas 7001, Australia; [Ballerini, Tosca] Aix Marseille Univ, Univ Toulon, CNRS INSU, Mediterranean Inst Oceanog,IRD,MIO,UM 110, F-83957 La Garde, France; [Boyd, Philip W.; Hindell, Mark A.; Raymond, Ben; Swadling, Kerrie M.] Univ Tasmania, Inst Marine &amp; Antarctic Studies, Private Bag 129, Hobart, Tas 7001, Australia; [Brandt, Angelika] Univ Hamburg, Ctr Nat Hist CeNaK, Zool Museum, Martin Luther King Pl 3, D-20146 Hamburg, Germany; [Edwards, Martin] Sir Alister Hardy Fdn Ocean Sci, Citadel Hill, Plymouth PL1 2PB, Devon, England; [Eleaume, Marc] Museum Natl Hist Nat, Dept Milieux &amp; Peuplements Aquat, UMR BOREA MNHN CNRS UPMC IRD 7208, CP26, 57 Rue Cuvier, F-75231 Paris 05, France; [Fennel, Katja] Dalhousie Univ, Dept Oceanog, Oxford St 1355, Halifax, NS B3H 4R2, Canada; [Fielding, Sophie; Griffiths, Huw; Murphy, Eugene] British Antarctic Survey, Madingley Rd, Cambridge CB3 0ET, England; [Gutt, Julian; Salter, Ian] Helmholtz Ctr Polar &amp; Marine Res, Alfred Wegener Inst, Alten Hafen 26, D-27568 Bremerhaven, Germany; [Hofmann, Eileen E.] Old Dominion Univ, Ctr Coastal Phys Oceanog, Norfolk, VA USA; [Jennings, Simon] Ctr Environm Fisheries &amp; Aquaculture Sci, Lowestoft NR33 0HT, Suffolk, England; [La, Hyoung Sul] Korea Polar Res Inst, 12 Gaetbeol Ro, Inchon 406840, South Korea; [McCurdy, Andrea] Consortium Ocean Leadership, 1201 New York Ave NW, Washington, DC 20005 USA; [Mitchell, B. Greg] Univ Calif San Diego, Scripps Inst Oceanog, San Diego, CA 92103 USA; [Moltmann, Tim] Univ Tasmania, Integrated Marine Observing Syst, Private Bag 110, Hobart, Tas 7001, Australia; [Muelbert, Monica] Univ Fed Rio Grande IO FURG, Inst Oceanog, Av Italia,KM 8,Campus Carreiros, BR-96203270 Rio Grande, RS, Brazil; [Reid, Keith] CCAMLR Secretariat, POB 213, North Hobart, Tas 7002, Australia; [Reiss, Christian] NOAA Fisheries, Antarctic Ecosyst Res Div, 8901 La Jolla Shores Dr, La Jolla, CA 92037 USA; [Rice, Jake] Fisheries &amp; Oceans Canada, 200 Kent St, Ottawa, ON, Canada; [Song, Sun] Chinese Acad Sci, Inst Oceanol, 7 Nanhai Rd, Qingdao 266071, Peoples R China; [Van de Putte, Anton] Royal Belgian Inst Nat Sci, BEDIC, OD Nat, Vautierstr 29, B-1000 Brussels, Belgium; [Willis, Zdenka] NOAA, Natl Ocean Serv, N MB6, SSMC4, 1305 East West Hwy, Silver Spring, MD 20910 USA</t>
  </si>
  <si>
    <t>Australian Antarctic Division; Antarctic Climate &amp; Ecosystems Cooperative Research Centre (ACE CRC); University of California System; University of California Santa Cruz; Rutgers University System; Rutgers University New Brunswick; University of Tasmania; University of Delaware; Commonwealth Scientific &amp; Industrial Research Organisation (CSIRO); University of Tasmania; Institut de Recherche pour le Developpement (IRD); Aix-Marseille Universite; Centre National de la Recherche Scientifique (CNRS); CNRS - National Institute for Earth Sciences &amp; Astronomy (INSU); University of Tasmania; University of Hamburg; Sorbonne Universite; Museum National d'Histoire Naturelle (MNHN); Dalhousie University; UK Research &amp; Innovation (UKRI); Natural Environment Research Council (NERC); NERC British Antarctic Survey; Helmholtz Association; Alfred Wegener Institute, Helmholtz Centre for Polar &amp; Marine Research; Old Dominion University; Centre for Environment Fisheries &amp; Aquaculture Science; Korea Polar Research Institute (KOPRI); Korea Institute of Ocean Science &amp; Technology (KIOST); University of California System; University of California San Diego; Scripps Institution of Oceanography; University of Tasmania; Universidade Federal do Rio Grande; National Oceanic Atmospheric Admin (NOAA) - USA; Fisheries &amp; Oceans Canada; Chinese Academy of Sciences; Institute of Oceanology, CAS; Royal Belgian Institute of Natural Sciences; National Oceanic Atmospheric Admin (NOAA) - USA; National Ocean Service, NOAA</t>
  </si>
  <si>
    <t>Constable, AJ (corresponding author), Australian Antarctic Div, Channel Highway, Kingston, Tas 7050, Australia.</t>
  </si>
  <si>
    <t>andrew.constable@aad.gov.au; costa@ucsc.edu; oscar@marine.rutgers.edu; newman@soos.aq; ed.urban@scor-int.org; beth.fulton@csiro.au; jess.melbourne-thomas@aad.gov.au; tosca.ballerini@mio.osupyhteas.fr; philip.boyd@utas.edu.au; abrandt@zoologie.uni-hamburg.de; bill.delamare@aad.gov.au; maed@sahfos.ac.uk; marc.eleaume@mnhn.fr; louise.emmerson@aad.gov.au; katja.fennel@dal.ca; sof@bas.ac.uk; hjg@bas.ac.uk; julian.gutt@awi.de; mark.hindell@utas.edu.au; hofmann@ccpo.odu.edu; simon.jennings@cefas.co.uk; hsla@kopri.re.kr; amccurdy@oceanleadership.org; gmitchell@ucsd.edu; tim.moltmann@imos.org.au; monica.muelbert@furg.br; ejmu@bas.ac.uk; tony.press@acecrc.org.au; ben.raymond@aad.gov.au; keith.reid@ccamlr.org; christian.reiss@noaa.gov; Jake.Rice@dfo-mpo.gc.ca; lan.Salter@awi.de; david.c.smith@csiro.au; sunsong@qdio.ac.cn; colin.southwell@aad.gov.au; kerrie.swadling@utas.edu.au; antonarctica@gmail.com; zdenkas.willis@noaa.gov</t>
  </si>
  <si>
    <t>Newman, Louise/HNI-7544-2023; Muelbert, Monica/T-3935-2019; Smith, David/GQQ-8257-2022; Fielding, Sophie/E-5137-2012; Fennel, Katja/A-7470-2009; Van de Putte, Anton/S-3729-2019; Fulton, Beth/AAJ-1398-2021; murphy, eugene/GZL-1620-2022; Hindell, Mark A/K-1131-2013; Salter, Ian/AAI-1015-2021; Melbourne-Thomas, Jess/N-2437-2019; Brandt, Angelika/C-1630-2018; Fulton, Beth/A-2871-2008; Newman, Louise/Q-8592-2019; Ballerini, Tosca/ABE-1656-2020; Griffiths, Huw J/D-4234-2009; Costa, Daniel Paul/E-2616-2013; Schofield, Oscar/H-4169-2018; Boyd, Philip/J-7624-2014; Jennings, Simon/F-5085-2012</t>
  </si>
  <si>
    <t>Van de Putte, Anton/0000-0003-1336-5554; Fulton, Beth/0000-0002-5904-7917; Melbourne-Thomas, Jess/0000-0001-6585-876X; Newman, Louise/0000-0001-9523-8713; Ballerini, Tosca/0000-0003-4007-4605; Griffiths, Huw J/0000-0003-1764-223X; Costa, Daniel Paul/0000-0002-0233-5782; Mitchell, B. Greg/0000-0002-8550-4333; Moltmann, Tim/0000-0002-7060-2117; Hindell, Mark/0000-0002-7823-7185; Schofield, Oscar/0000-0003-2359-4131; La, Hyoung Sul/0000-0003-1285-580X; Press, Anthony/0000-0002-3233-8933; Boyd, Philip/0000-0001-7850-1911; Salter, Ian/0000-0002-4513-0314; Jennings, Simon/0000-0002-2390-7225; Urban, Edward/0000-0002-6177-5585; Gutt, Julian/0000-0003-3773-9370; Swadling, Kerrie/0000-0002-7620-841X</t>
  </si>
  <si>
    <t>ICSU; U.S. National Science Foundation [OCE-1546580]; SCAR; SCOR; SOOS; Directorate For Geosciences; Division Of Ocean Sciences [1154661, 1546580] Funding Source: National Science Foundation; Natural Environment Research Council [bas0100036, NE/I030062/1, SAH01001, bas0100035] Funding Source: researchfish; NERC [NE/I030062/1, SAH01001, bas0100035, bas0100036] Funding Source: UKRI</t>
  </si>
  <si>
    <t>ICSU; U.S. National Science Foundation(National Science Foundation (NSF)); SCAR; SCOR; SOOS;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</si>
  <si>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This paper arose from a SOOS, SCOR, SCAR, IMBER, and APECS workshop in March 2014 on identifying ecosystem Essential Ocean Variables (eEOVs) and enhancing collaboration in ecosystem observing, with an emphasis on the Southern Ocean. We thank ICSU for providing a grant to hold the workshop and to Rutgers University for providing the venue and support. We also thank SOOS, SCOR (U.S. National Science Foundation Grant OCE-1546580), and SCAR for providing financial support and SCOR for support for this article to be open access. Lastly, we thank three anonymous reviewers for their positive and constructive comments on the manuscript. Fig. 4 was reprinted with kind permission from John Wiley &amp; Sons Ltd. This paper is a contribution to the SOOS Capability Working Group on eEOVs.</t>
  </si>
  <si>
    <t>10.1016/j.jmarsys.2016.05.003</t>
  </si>
  <si>
    <t>DQ3JC</t>
  </si>
  <si>
    <t>Green Accepted, Green Published, hybrid</t>
  </si>
  <si>
    <t>WOS:000379097600003</t>
  </si>
  <si>
    <t>Jones, DH; Jordan, TA; Robinson, C</t>
  </si>
  <si>
    <t>Jones, David H.; Jordan, Tom A.; Robinson, Carl</t>
  </si>
  <si>
    <t>An Avionics Platform for Multi-instrument Survey Navigation</t>
  </si>
  <si>
    <t>JOURNAL OF NAVIGATION</t>
  </si>
  <si>
    <t>Survey; Avionics</t>
  </si>
  <si>
    <t>ANTARCTIC PENINSULA</t>
  </si>
  <si>
    <t>The British Antarctic Survey regularly conducts airborne surveys with Twin Otter aircraft equipped with a variety of instruments. Each instrument captures its specific navigation requirements in a dedicated cockpit display that is unique and incompatible with that of other instruments. This creates unwanted logistical problems and training requirements, and necessitates extra air safety certification. In this paper we describe a new avionics display that is sufficiently flexible to capture the requirements of all of our instruments, as well as all of the preferences of our pilots. This Airborne Survey Navigation Device (ASCEND) dynamically routes aircraft within the constraints of the survey and features flexible and intuitive planning and navigation interfaces. ASCEND has been tested and compared to the instrument specific displays and is preferred, both for its ease of use and also for the effective accuracy of the pilot following a survey line.</t>
  </si>
  <si>
    <t>[Jones, David H.] Coventry Univ, Priory St, Coventry, W Midlands, England; [Jordan, Tom A.; Robinson, Carl] British Antarctic Survey, Madingley Rd, Cambridge, England</t>
  </si>
  <si>
    <t>Coventry University; UK Research &amp; Innovation (UKRI); Natural Environment Research Council (NERC); NERC British Antarctic Survey</t>
  </si>
  <si>
    <t>Jones, DH (corresponding author), Coventry Univ, Priory St, Coventry, W Midlands, England.</t>
  </si>
  <si>
    <t>david.jones@coventry.ac.uk</t>
  </si>
  <si>
    <t>Natural Environment Research Council [bas0100029] Funding Source: researchfish; NERC [bas0100029] Funding Source: UKRI</t>
  </si>
  <si>
    <t>0373-4633</t>
  </si>
  <si>
    <t>1469-7785</t>
  </si>
  <si>
    <t>J NAVIGATION</t>
  </si>
  <si>
    <t>J. Navig.</t>
  </si>
  <si>
    <t>10.1017/S0373463316000084</t>
  </si>
  <si>
    <t>Engineering, Marine; Oceanography</t>
  </si>
  <si>
    <t>Engineering; Oceanography</t>
  </si>
  <si>
    <t>DU8ZG</t>
  </si>
  <si>
    <t>WOS:000382505100001</t>
  </si>
  <si>
    <t>von Schuckmann, K; Le Traon, PY; Alvarez-Fanjul, E; Axell, L; Balmaseda, M; Breivik, LA; Brewin, RJW; Bricaud, C; Drevillon, M; Drillet, Y; Dubois, C; Embury, O; Etienne, H; Sotillo, MG; Garric, G; Gasparin, F; Gutknecht, E; Guinehut, S; Hernandez, F; Juza, M; Karlson, B; Korres, G; Legeais, JF; Levier, B; Lien, VS; Morrow, R; Notarstefano, G; Parent, L; Pascual, A; Pérez-Gómez, B; Perruche, C; Pinardi, N; Pisano, A; Poulain, PM; Pujol, IM; Raj, RP; Raudsepp, U; Roquet, H; Samuelsen, A; Sathyendranath, S; She, J; Simoncelli, S; Solidoro, C; Tinker, J; Tintoré, J; Viktorsson, L; Ablain, M; Almroth-Rosell, E; Bonaduce, A; Clementi, E; Cossarini, G; Dagneaux, Q; Desportes, C; Dye, S; Fratianni, C; Good, S; Greiner, E; Gourrion, J; Hamon, M; Holt, J; Hyder, P; Kennedy, J; Manzano-Muñoz, F; Melet, A; Meyssignac, B; Mulet, S; Nardelli, BB; O'Dea, E; Olason, E; Paulmier, A; Pérez-González, I; Reid, R; Racault, MF; Raitsos, DE; Ramos, A; Sykes, P; Szekely, T; Verbrugge, N</t>
  </si>
  <si>
    <t>von Schuckmann, Karina; Le Traon, Pierre-Yves; Alvarez-Fanjul, Enrique; Axell, Lars; Balmaseda, Magdalena; Breivik, Lars-Anders; Brewin, Robert J. W.; Bricaud, Clement; Drevillon, Marie; Drillet, Yann; Dubois, Clotilde; Embury, Owen; Etienne, Helene; Garcia Sotillo, Marcos; Garric, Gilles; Gasparin, Florent; Gutknecht, Elodie; Guinehut, Stephanie; Hernandez, Fabrice; Juza, Melanie; Karlson, Bengt; Korres, Gerasimos; Legeais, Jean-Francois; Levier, Bruno; Lien, Vidar S.; Morrow, Rosemary; Notarstefano, Giulio; Parent, Laurent; Pascual, Alvaro; Perez-Gomez, Begona; Perruche, Coralie; Pinardi, Nadia; Pisano, Andrea; Poulain, Pierre-Marie; Pujol, Isabelle M.; Raj, Roshin P.; Raudsepp, Urmas; Roquet, Herve; Samuelsen, Annette; Sathyendranath, Shubha; She, Jun; Simoncelli, Simona; Solidoro, Cosimo; Tinker, Jonathan; Tintore, Joaquin; Viktorsson, Lena; Ablain, Michael; Almroth-Rosell, Elin; Bonaduce, Antonio; Clementi, Emanuela; Cossarini, Gianpiero; Dagneaux, Quentin; Desportes, Charles; Dye, Stephen; Fratianni, Claudia; Good, Simon; Greiner, Eric; Gourrion, Jerome; Hamon, Mathieu; Holt, Jason; Hyder, Pat; Kennedy, John; Manzano-Munoz, Fernando; Melet, Angelique; Meyssignac, Benoit; Mulet, Sandrine; Nardelli, Bruno Buongiorno; O'Dea, Enda; Olason, Einar; Paulmier, Aurelien; Perez-Gonzalez, Irene; Reid, Rebecca; Racault, Marie-Fanny; Raitsos, Dionysios E.; Ramos, Antonio; Sykes, Peter; Szekely, Tanguy; Verbrugge, Nathalie</t>
  </si>
  <si>
    <t>The Copernicus Marine Environment Monitoring Service Ocean State Report</t>
  </si>
  <si>
    <t>JOURNAL OF OPERATIONAL OCEANOGRAPHY</t>
  </si>
  <si>
    <t>Copernicus Marine Environment Monitoring Service; Ocean reporting; Ocean monitoring; State of the ocean; Ocean variability; Operational oceanography; Ocean climate variability</t>
  </si>
  <si>
    <t>SEA-SURFACE TEMPERATURE; NORTH-ATLANTIC OCEAN; MERIDIONAL OVERTURNING CIRCULATION; HARMFUL ALGAL BLOOMS; MAJOR BALTIC INFLOWS; GREENLAND ICE-SHEET; EXTREME HIGH WATERS; FRESH-WATER; ARCTIC-OCEAN; MEDITERRANEAN SEA</t>
  </si>
  <si>
    <t>The Copernicus Marine Environment Monitoring Service (CMEMS) Ocean State Report (OSR) provides an annual report of the state of the global ocean and European regional seas for policy and decision-makers with the additional aim of increasing general public awareness about the status of, and changes in, the marine environment. The CMEMS OSR draws on expert analysis and provides a 3-D view (through reanalysis systems), a view from above (through remote-sensing data) and a direct view of the interior (through in situ measurements) of the global ocean and the European regional seas. The report is based on the unique CMEMS monitoring capabilities of the blue (hydrography, currents), white (sea ice) and green (e.g. Chlorophyll) marine environment. This first issue of the CMEMS OSR provides guidance on Essential Variables, large-scale changes and specific events related to the physical ocean state over the period 1993-2015. Principal findings of this first CMEMS OSR show a significant increase in global and regional sea levels, thermosteric expansion, ocean heat content, sea surface temperature and Antarctic sea ice extent and conversely a decrease in Arctic sea ice extent during the 1993-2015 period. During the year 2015 exceptionally strong large-scale changes were monitored such as, for example, a strong El Nino Southern Oscillation, a high frequency of extreme storms and sea level events in specific regions in addition to areas of high sea level and harmful algae blooms. At the same time, some areas in the Arctic Ocean experienced exceptionally low sea ice extent and temperatures below average were observed in the North Atlantic Ocean.</t>
  </si>
  <si>
    <t>[von Schuckmann, Karina; Le Traon, Pierre-Yves; Bricaud, Clement; Drevillon, Marie; Drillet, Yann; Dubois, Clotilde; Garric, Gilles; Gasparin, Florent; Gutknecht, Elodie; Levier, Bruno; Parent, Laurent; Perruche, Coralie; Greiner, Eric; Hamon, Mathieu; Melet, Angelique] Mercator Ocean, Parc Technol Canal,8-10 Rue Hermes, F-31520 Ramonville Saint Agne, France; [Le Traon, Pierre-Yves; Gourrion, Jerome; Szekely, Tanguy] IFREMER, Plouzane, France; [Alvarez-Fanjul, Enrique; Garcia Sotillo, Marcos; Pascual, Alvaro; Perez-Gomez, Begona; Manzano-Munoz, Fernando; Perez-Gonzalez, Irene] Area Med Fis, Madrid, Spain; [Axell, Lars; Karlson, Bengt] Swedish Meteorol &amp; Hydrol Inst, Norrkoping, Sweden; [Balmaseda, Magdalena] ECMWF, Shinfield Pk, Reading, Berks, England; [Breivik, Lars-Anders] Norwegian Meteorol Inst DNMI, Oslo, Norway; [Brewin, Robert J. W.; Sathyendranath, Shubha; Racault, Marie-Fanny; Raitsos, Dionysios E.] Natl Ctr Earth Observat, Plymouth Marine Lab, Plymouth, Devon, England; [Dubois, Clotilde] Meteo France, Toulouse, France; [Embury, Owen] Univ Reading, Dept Meteorol, Reading, Berks, England; [Etienne, Helene; Guinehut, Stephanie; Legeais, Jean-Francois; Pujol, Isabelle M.; Ablain, Michael; Dagneaux, Quentin; Mulet, Sandrine; Verbrugge, Nathalie] CLS, Space Oceanog Div, Parc Technol Canal, Ramonville Saint Agne, France; [Hernandez, Fabrice] Inst Rech Dev, Marseille, France; [Hernandez, Fabrice; Morrow, Rosemary] LEGOS, Toulouse, France; [Juza, Melanie; Tintore, Joaquin] Balear Islands ICTS, Balear Islands Coastal Observing &amp; Forecasting Sy, SOCIB, Palma De Mallorca, Spain; [Korres, Gerasimos] Hellen Ctr Marine Res, Inst Oceanog, Anavyssos, Greece; [Lien, Vidar S.] Inst Marine Res, Bergen, Norway; [Notarstefano, Giulio; Poulain, Pierre-Marie; Solidoro, Cosimo; Cossarini, Gianpiero] Ist Nazl Oceanog &amp; Geofis Sperimentale, OGS, Oceanog Sect, Trieste, Italy; [Pinardi, Nadia] Univ Bologna, Dipartimento Fis &amp; Astron, Bologna, Italy; [Pisano, Andrea; Nardelli, Bruno Buongiorno] CNR, Ist Sci Atmosfera &amp; Clima, Rome, Italy; [Raj, Roshin P.; Samuelsen, Annette; Olason, Einar] Nansen Environm &amp; Remote Sensing Ctr, Bergen, Norway; [Raudsepp, Urmas; Meyssignac, Benoit; Paulmier, Aurelien] Tallinn Univ Technol, Marine Syst Inst, Tallinn, Estonia; [Roquet, Herve] Meteo France, Ctr Meteorol Spatiale, Ave Lorraine Lannion, Paris, France; [She, Jun] Danish Metrol Inst, Ctr Ocean &amp; Ice, Copenhagen, Denmark; [Simoncelli, Simona; Bonaduce, Antonio; Clementi, Emanuela; Fratianni, Claudia] Ist Nazl Geofis &amp; Vulcanol, Bologna, Italy; [Tinker, Jonathan; Good, Simon; Hyder, Pat; Kennedy, John; O'Dea, Enda; Reid, Rebecca; Sykes, Peter] Met Off Hadley Ctr, FitzRoy Rd, Exeter, Devon, England; [Viktorsson, Lena; Almroth-Rosell, Elin] Swedish Meteorol &amp; Hydrol Inst, Marine Environm Data &amp; Informat, Vastra Frolunda, Sweden; [Bonaduce, Antonio] Ctr Euro Mediterr Cambiamenti Climat, Dept Ocean Predict &amp; Applicat, Rome, Italy; [Dye, Stephen] CEFAS, Pakefield Rd, Lowestoft, Suffolk, England; [Holt, Jason] Natl Oceanog Ctr, Liverpool, Merseyside, England; [Nardelli, Bruno Buongiorno] CNR, Ist Ambiente Marino Costiero, Naples, Italy; [Ramos, Antonio] Univ Inst Intelligent Syst &amp; Numer Applicat, Div Robot &amp; Computat Oceanog, Fac Marine Sci, Canaria, Spain</t>
  </si>
  <si>
    <t>Ifremer; Swedish Meteorological &amp; Hydrological Institute; European Centre for Medium-Range Weather Forecasts (ECMWF); Norwegian Meteorological Institute; Plymouth Marine Laboratory; UK Research &amp; Innovation (UKRI); Natural Environment Research Council (NERC); NERC National Centre for Earth Observation; University of Reading; Institut de Recherche pour le Developpement (IRD); Universite de Toulouse; Universite Toulouse III - Paul Sabatier; Centre National de la Recherche Scientifique (CNRS); Institut de Recherche pour le Developpement (IRD); Laboratoire d'Etudes en Geophysique et oceanographie spatiales; Hellenic Centre for Marine Research; Institute of Marine Research - Norway; Istituto Nazionale di Oceanografia e di Geofisica Sperimentale; University of Bologna; Consiglio Nazionale delle Ricerche (CNR); Istituto di Scienze dell'Atmosfera e del Clima (ISAC-CNR); Nansen Environmental &amp; Remote Sensing Center (NERSC); Tallinn University of Technology; Meteo France; Danish Meteorological Institute DMI; Istituto Nazionale Geofisica e Vulcanologia (INGV); Met Office - UK; Hadley Centre; Swedish Meteorological &amp; Hydrological Institute; Centre for Environment Fisheries &amp; Aquaculture Science; NERC National Oceanography Centre; Consiglio Nazionale delle Ricerche (CNR); L'Istituto per l'Ambiente Marino Costiero (IAMC-CNR)</t>
  </si>
  <si>
    <t>von Schuckmann, K (corresponding author), Mercator Ocean, Parc Technol Canal,8-10 Rue Hermes, F-31520 Ramonville Saint Agne, France.</t>
  </si>
  <si>
    <t>karina.von.schuckmann@mercator-ocean.fr</t>
  </si>
  <si>
    <t>von Schuckmann, Karina/AAZ-8897-2021; Lien, Vidar/ABC-8580-2020; Samuelsen, Annette/HGB-2277-2022; Lien, Vidar S/G-6368-2010; Pascual, Ananda/H-8214-2013; Racault, Marie-Fanny/D-7190-2016; Karlson, Bengt/HII-5550-2022; ramos, antonio juan gonzalez/R-9074-2019; Le Traon, Pierre Yves/G-9342-2016; Holt, Jason/B-6323-2012; Melet, Angelique/ABE-5148-2020; Raitsos, Dionysios/AAA-3031-2021; Korres, Gerasimos/H-4133-2011; Roquet, Hervé/JGE-4489-2023; Buongiorno Nardelli, Bruno/I-4810-2012; Ólason, Elnar/AAY-1708-2021; Cossarini, Gianpiero/AAV-5489-2020; Meyssignac, Benoit/GLQ-5451-2022; Clementi, Emanuela/AAB-4952-2022; Almroth-Rosell, Elin/HJH-6133-2023; Hernandez, Fabrice/F-6642-2013; Nardelli, Bruno Buongiorno/AAY-4289-2020; Gasparin, Florent/AAH-2130-2020; Embury, Owen/HQZ-4575-2023; Fratianni, Claudia/HKV-6073-2023; FRATIANNI, Claudia/AAC-5465-2021; Pisano, Andrea/AAY-3314-2020; SIMONCELLI, Simona/AAC-5256-2021; Karlson, Bengt/AAG-1747-2020; PAULMIER, Aurelien/U-7521-2017; Pinardi, Nadia/M-2364-2015; Dye, Stephen/C-9456-2011; Garric, Gilles/O-9065-2016</t>
  </si>
  <si>
    <t>von Schuckmann, Karina/0000-0002-9922-8528; Racault, Marie-Fanny/0000-0002-7584-2515; Karlson, Bengt/0000-0002-7524-3504; ramos, antonio juan gonzalez/0000-0003-1374-5805; Le Traon, Pierre Yves/0000-0002-5484-3439; Melet, Angelique/0000-0003-3888-8159; Raitsos, Dionysios/0000-0002-6714-2180; Buongiorno Nardelli, Bruno/0000-0002-3416-7189; Ólason, Elnar/0000-0001-7911-5713; Cossarini, Gianpiero/0000-0001-7803-8568; Meyssignac, Benoit/0000-0001-6325-9843; Clementi, Emanuela/0000-0002-5752-1849; Almroth-Rosell, Elin/0000-0003-4052-045X; Hernandez, Fabrice/0000-0003-2152-0657; Gasparin, Florent/0000-0002-1364-1507; Embury, Owen/0000-0002-1661-7828; FRATIANNI, Claudia/0000-0002-4983-4255; Pisano, Andrea/0000-0002-9465-8457; SIMONCELLI, Simona/0000-0003-1283-2798; Karlson, Bengt/0000-0002-7524-3504; Korres, Gerasimos/0000-0001-7036-4123; Samuelsen, Annette/0000-0002-9736-6484; Tintore, Joaquin/0000-0002-6311-0093; Lien, Vidar S./0000-0002-5737-8878; She, Jun/0000-0003-1089-547X; solidoro, cosimo/0000-0003-2354-4302; Raudsepp, Urmas/0000-0002-1037-5311; PAULMIER, Aurelien/0000-0002-4128-7824; Bonaduce, Antonio/0000-0003-0191-1554; Marcos G, Sotillo/0009-0006-1244-7848; Pinardi, Nadia/0000-0003-4765-0775; Alonso Balmaseda, Magdalena/0000-0002-9611-8788; Pascual, Ananda/0000-0001-9476-9272; Dye, Stephen/0000-0002-4182-8475; Notarstefano, Giulio/0000-0002-8532-2097; , Roshin/0000-0001-5863-5269; drevillon, marie/0000-0003-4586-8957; Garric, Gilles/0000-0002-5385-710X; Brewin, Robert/0000-0001-5134-8291</t>
  </si>
  <si>
    <t>CMEMS; NERC [pml010007, pml010008, nceo020006, pml010009] Funding Source: UKRI; Natural Environment Research Council [nceo020006, pml010009, pml010007, pml010008] Funding Source: researchfish</t>
  </si>
  <si>
    <t>CMEMS; NERC(UK Research &amp; Innovation (UKRI)Natural Environment Research Council (NERC)); Natural Environment Research Council(UK Research &amp; Innovation (UKRI)Natural Environment Research Council (NERC))</t>
  </si>
  <si>
    <t>The Ocean State Report (OSR) was prepared as part of the Copernicus Marine Environment Monitoring Service (CMEMS) activities. CMEMS is implemented by Mercator Ocean through a Delegation Agreement with the European Union. All teams that contribute to CMEMS are acknowledged for their support to this CMEMS OSR.</t>
  </si>
  <si>
    <t>1755-876X</t>
  </si>
  <si>
    <t>1755-8778</t>
  </si>
  <si>
    <t>J OPER OCEANOGR</t>
  </si>
  <si>
    <t>J. Oper. Oceanogr.</t>
  </si>
  <si>
    <t>s235</t>
  </si>
  <si>
    <t>s320</t>
  </si>
  <si>
    <t>10.1080/1755876X.2016.1273446</t>
  </si>
  <si>
    <t>Meteorology &amp; Atmospheric Sciences; Oceanography</t>
  </si>
  <si>
    <t>EQ6IX</t>
  </si>
  <si>
    <t>Green Accepted, Green Published, hybrid, Green Submitted</t>
  </si>
  <si>
    <t>WOS:000398186100001</t>
  </si>
  <si>
    <t>Holzinger, A; Allen, MC; Deheyn, DD</t>
  </si>
  <si>
    <t>Holzinger, Andreas; Allen, Michael C.; Deheyn, Dimitri D.</t>
  </si>
  <si>
    <t>Hyperspectral imaging of snow algae and green algae from aeroterrestrial habitats</t>
  </si>
  <si>
    <t>JOURNAL OF PHOTOCHEMISTRY AND PHOTOBIOLOGY B-BIOLOGY</t>
  </si>
  <si>
    <t>Carotenoids; Green algae; Stress tolerance; Hyperspectral imaging; Pigments</t>
  </si>
  <si>
    <t>ZYGOGONIUM-ERICETORUM ZYGNEMATOPHYCEAE; ECOPHYSIOLOGICAL PERFORMANCE; PHENOLIC-COMPOUNDS; ANTARCTIC STRAINS; SOIL CRUST; STREPTOPHYTA; UV; ULTRASTRUCTURE; DESICCATION; PIGMENTS</t>
  </si>
  <si>
    <t>Snow algae and green algae living in aeroterrestrial habitats are ideal objects to study adaptation to high light irradiation. Here, we used a detailed description of the spectral properties as a proxy for photo-acclimation/protection in snow algae (Chlamydomonas nivalis, Chlainomonas sp. and Chloromonas sp.) and charophyte green algae (Zygnema sp., Zygogonium ericetorum and Klebsormidium crenulatum). The hyperspectral microscopic mapping and imaging technique allowed us to acquire total absorption spectra of these microalgae in the waveband of 400-900 nm. Particularly in Chlamydomonas nivalis and Chlainomonas sp., a high absorbance between 400550 nm was observed, due to naturally occurring secondary carotenoids; in Chloromonas sp. and in the charopyhte algae this high absorbance was missing, the latter being close relatives to land plants. To investigate if cellular water loss has an influence on the spectral properties, the cells were plasmolysed in sorbitol or desiccated at ambient air. While in snow algae, these treatments did hardly change the spectral properties, in the charopyhte algae the condensation of the cytoplasm and plastids increased the absorbance in the lower waveband of 400-500 nm. These changes might be ecologically relevant and photoprotective, as aeroterrestrial algae are naturally exposed to occasional water limitation, leading to desiccation, which are conditions usually occurring together with higher irradiation. (C) 2016 The Authors. Published by Elsevier B.V.</t>
  </si>
  <si>
    <t>[Holzinger, Andreas] Univ Innsbruck, Inst Bot, Funct Plant Biol, Sternwartestr 15, A-6020 Innsbruck, Austria; [Allen, Michael C.; Deheyn, Dimitri D.] Univ Calif San Diego, Scripps Inst Oceanog, Div Marine Biol Res, 9500 Gilman Dr, La Jolla, CA 92093 USA</t>
  </si>
  <si>
    <t>University of Innsbruck; University of California System; University of California San Diego; Scripps Institution of Oceanography</t>
  </si>
  <si>
    <t>Holzinger, A (corresponding author), Univ Innsbruck, Inst Bot, Funct Plant Biol, Sternwartestr 15, A-6020 Innsbruck, Austria.;Deheyn, DD (corresponding author), Univ Calif San Diego, Scripps Inst Oceanog, Div Marine Biol Res, 9500 Gilman Dr, La Jolla, CA 92093 USA.</t>
  </si>
  <si>
    <t>Andreas.Holzinger@uibk.ac.at; ddeheyn@ucsd.edu</t>
  </si>
  <si>
    <t>Holzinger, Andreas/Z-2659-2019; Allen, Michael/L-6649-2013</t>
  </si>
  <si>
    <t>Holzinger, Andreas/0000-0002-7745-3978; Allen, Michael/0000-0002-9135-1935</t>
  </si>
  <si>
    <t>'Foreign Relation Office' of the University of Innsbruck; Austrian Science Foundation (FWF) [P 24242-B16, I 1951-B16]; Air Force Office of Scientific Research (AFOSR) [FA9550-10-1-0555]; Austrian Science Fund (FWF) [P 24242, I 1951] Funding Source: researchfish; Austrian Science Fund (FWF) [I1951] Funding Source: Austrian Science Fund (FWF)</t>
  </si>
  <si>
    <t>'Foreign Relation Office' of the University of Innsbruck; Austrian Science Foundation (FWF)(Austrian Science Fund (FWF)); Air Force Office of Scientific Research (AFOSR)(United States Department of DefenseAir Force Office of Scientific Research (AFOSR)); Austrian Science Fund (FWF)(Austrian Science Fund (FWF)); Austrian Science Fund (FWF)(Austrian Science Fund (FWF))</t>
  </si>
  <si>
    <t>Our sincere thanks go to Dr. Daniel Remias, FH Wels, Austria for collecting the field sample of WP 79 and several helpful discussions during the preparation of the manuscript. The study was supported by the 'Foreign Relation Office' of the University of Innsbruck and Austrian Science Foundation (FWF) grants P 24242-B16 and I 1951-B16 to AH. The hyperspectral imager was funded by the Air Force Office of Scientific Research (AFOSR) grant # FA9550-10-1-0555 (MURI BIOPAINTS) to DDD.</t>
  </si>
  <si>
    <t>ELSEVIER SCIENCE SA</t>
  </si>
  <si>
    <t>PO BOX 564, 1001 LAUSANNE, SWITZERLAND</t>
  </si>
  <si>
    <t>1011-1344</t>
  </si>
  <si>
    <t>J PHOTOCH PHOTOBIO B</t>
  </si>
  <si>
    <t>J. Photochem. Photobiol. B-Biol.</t>
  </si>
  <si>
    <t>10.1016/j.jphotobiol.2016.07.001</t>
  </si>
  <si>
    <t>DV5XK</t>
  </si>
  <si>
    <t>WOS:000383003800048</t>
  </si>
  <si>
    <t>Ordenes-Aenishanslins, N; Anziani-Ostuni, G; Vargas-Reyes, M; Alarcón, J; Tello, A; Pérez-Donoso, JM</t>
  </si>
  <si>
    <t>Ordenes-Aenishanslins, N.; Anziani-Ostuni, G.; Vargas-Reyes, M.; Alarcon, J.; Tello, A.; Perez-Donoso, J. M.</t>
  </si>
  <si>
    <t>Pigments from UV-resistant Antarctic bacteria as photosensitizers in Dye Sensitized Solar Cells</t>
  </si>
  <si>
    <t>Antarctic bacteria; Bacterial pigments; Carotenoids; Dye Sensitized Solar Cell</t>
  </si>
  <si>
    <t>CAROTENOID PIGMENT; SP. NOV.; NANOPARTICLES; BIOSYNTHESIS; RADIATION; CANTHAXANTHIN; HYMENOBACTER; PERFORMANCE; ZEAXANTHIN; LUTEIN</t>
  </si>
  <si>
    <t>Here we report the use of pigments produced by UV-resistant Antarctic bacteria as photosensitizers in Dye Sensitized Solar Cells (DSSCs). Pigments were obtained from red and yellow colored psychrotolerant bacteria isolated from soils of King George Island, Antarctica. Based on metabolic characteristics and 16s DNA sequence, pigmented bacteria were identified as Hymenobacter sp. (red) and Chryseobacterium sp. (yellow). Pigments produced by these microorganisms were extracted and classified as carotenoids based on their spectroscopic and structural characteristics, determined by UV-Vis spectrophotometry and infrared spectroscopy (FTIR), respectively. With the purpose of develop green solar cells based on bacterial pigments, the photostability and capacity of these molecules as light harvesters in DSSCs were determined. Absorbance decay assays determined that bacterial carotenoids present high photostability. In addition, solar cells based on these photosensitizers exhibit an open circuit voltage (V-OC) of 435.0 [mV] and a short circuit current density (I-SC) of 0.2 [mA.cm(-2)] for the red pigment, and a V-OC of 548.8 [mV] and a I-SC of 0.13 [mA.cm(-2)] for the yellow pigment. This work constitutes the first approximation of the use of pigments produced by non-photosynthetic bacteria as photosensitizers in DSSCs. Determined photochemical characteristics of bacterial pigments, summed to their easy obtention and low costs, validates its application as photosensitizers in next-generation biological solar cells. (C) 2016 Elsevier B.V. All rights reserved.</t>
  </si>
  <si>
    <t>[Ordenes-Aenishanslins, N.; Anziani-Ostuni, G.; Vargas-Reyes, M.; Alarcon, J.; Tello, A.; Perez-Donoso, J. M.] Univ Andres Bello, Fac Ciencias Biol, BioNanotechnol &amp; Microbiol Lab, Ctr Bioinformat &amp; Integrat Biol, Republ 239, Santiago, Chile; [Ordenes-Aenishanslins, N.] Univ Chile, Fac Ciencias Quim &amp; Farmaceut, Sergio Livingstone Pohlhammer 1007, Santiago, Chile</t>
  </si>
  <si>
    <t>Universidad Andres Bello; Universidad de Chile</t>
  </si>
  <si>
    <t>Pérez-Donoso, JM (corresponding author), Univ Andres Bello, Fac Ciencias Biol, BioNanotechnol &amp; Microbiol Lab, Ctr Bioinformat &amp; Integrat Biol, Republ 239, Santiago, Chile.</t>
  </si>
  <si>
    <t>jose.perez@unab.cl</t>
  </si>
  <si>
    <t>Alarcon, Javier/HGA-4175-2022; Pérez-Donoso, José M./G-3668-2013</t>
  </si>
  <si>
    <t>Pérez-Donoso, José M./0000-0002-9506-1716; Tello Zamorano, Alejandra/0000-0003-3271-0405</t>
  </si>
  <si>
    <t>FONDECYT [1151255]; INACH [T-19-11]</t>
  </si>
  <si>
    <t>FONDECYT(Comision Nacional de Investigacion Cientifica y Tecnologica (CONICYT)CONICYT FONDECYT); INACH</t>
  </si>
  <si>
    <t>This work was supported by Erika Donoso Lopez, FONDECYT 1151255 (JMP) and INACH T-19-11 (JMP) grants.</t>
  </si>
  <si>
    <t>1873-2682</t>
  </si>
  <si>
    <t>10.1016/j.jphotobiol.2016.08.004</t>
  </si>
  <si>
    <t>WOS:000383003800084</t>
  </si>
  <si>
    <t>Seco, J; Daneri, GA; Ceia, FR; Vieira, RP; Hill, SL; Xavier, JC</t>
  </si>
  <si>
    <t>Seco, Jose; Daneri, Gustavo A.; Ceia, Filipe R.; Vieira, Rui Pedro; Hill, Simeon L.; Xavier, Jose Carlos</t>
  </si>
  <si>
    <t>Distribution of short-finned squid Illex argentinus (Cephalopoda: Ommastrephidae) inferred from the diets of Southern Ocean albatrosses using stable isotope analyses</t>
  </si>
  <si>
    <t>JOURNAL OF THE MARINE BIOLOGICAL ASSOCIATION OF THE UNITED KINGDOM</t>
  </si>
  <si>
    <t>Trophic interactions; delta C-13; Thalassarche chrysostoma; Thalassarche melanophris; Diomeda exulans; Patagonian Shelf; Bird Island</t>
  </si>
  <si>
    <t>WANDERING ALBATROSSES; PATAGONIAN SHELF; RANGE EXPANSION; ELEPHANT SEAL; PREDATORS; ECOLOGY; ISLAND; AREAS; PREY; TOOL</t>
  </si>
  <si>
    <t>The diets of marine predators are a potential source of information about range shifts in their prey. For example, the short-finned squid Illex argentinus, a commercially fished species on the Patagonian Shelf in the South Atlantic, has been reported in the diet of grey-headed, Thalassarche chrysostoma; black-browed, T. melanophris; and wandering, Diomedea exulans, albatrosses breeding at Bird Island, South Georgia (54 degrees S 28 degrees W) in the Southern Ocean. Tracking data suggest that these birds may feed on I. argentinus while foraging in Southern Ocean waters during their breeding season. This led to the hypothesis that I. argentinus may occur south of the Antarctic Polar Front. To test this hypothesis, we used stable isotope analyses to assess the origin of I. argentinus. We compared I. argentinus beaks from the diets of the three albatross species with beaks of cephalopod species endemic to the Patagonian Shelf and others from the Southern Ocean. Our results show that I. argentinus from the diet of albatrosses at Bird Island have delta C-13 values in the range -18.77 to -15.28%. This is consistent with delta C-13 values for Octopus tehuelchus, a typical species from the Patagonian Shelf. In contrast, Alluroteuthis antarcticus, a Southern Ocean squid, has typically Antarctic delta C-13 in the range -25.46 to -18.61%. This suggests that I. argentinus originated from warmer waters of the Patagonian Shelf region. It is more likely that the albatross species obtained I. argentinus by foraging in the Patagonian Shelf region than that I. argentinus naturally occurs south of the Antarctic Polar Front.</t>
  </si>
  <si>
    <t>[Seco, Jose; Ceia, Filipe R.; Vieira, Rui Pedro; Xavier, Jose Carlos] Univ Coimbra, Marine &amp; Environm Sci Ctr MARE, Dept Life Sci, P-3001401 Coimbra, Portugal; [Daneri, Gustavo A.] Museo Argentino Ciencias Nat Bernardino Rivadavia, Div Mastozool, Buenos Aires, DF, Argentina; [Vieira, Rui Pedro] Univ Aveiro, Dept Biol, Campus Santiago, P-3810193 Aveiro, Portugal; [Vieira, Rui Pedro] Univ Aveiro, CESAM, Campus Santiago, P-3810193 Aveiro, Portugal; [Vieira, Rui Pedro] Univ Southampton, Natl Oceanog Ctr Southampton, Grad Sch, Waterfront Campus,European Way, Southampton SO14 3ZH, Hants, England; [Hill, Simeon L.; Xavier, Jose Carlos] British Antarctic Survey, NERC, High Cross,Madingley Rd, Cambridge CB3 0ET, England</t>
  </si>
  <si>
    <t>Universidade de Coimbra; Museo Argentino de Ciencias Naturales Bernardino Rivadavia (MACN); Universidade de Aveiro; Universidade de Aveiro; NERC National Oceanography Centre; University of Southampton; UK Research &amp; Innovation (UKRI); Natural Environment Research Council (NERC); NERC British Antarctic Survey</t>
  </si>
  <si>
    <t>Seco, J (corresponding author), Univ Coimbra, Marine &amp; Environm Sci Ctr MARE, Dept Life Sci, P-3001401 Coimbra, Portugal.</t>
  </si>
  <si>
    <t>joses.seco@gmail.com</t>
  </si>
  <si>
    <t>Simeon, Hill L/B-2307-2008; Seco, José/AAS-4612-2020; Ceia, Filipe R./A-2196-2012; Xavier, José/KFB-6739-2024; Vieira, Rui/R-6881-2019; Vieira, Rui Pedro/G-1738-2012</t>
  </si>
  <si>
    <t>Seco, José/0000-0002-7957-6488; Ceia, Filipe R./0000-0002-5470-5183; /0000-0002-9621-6660; Vieira, Rui Pedro/0000-0001-8491-2565</t>
  </si>
  <si>
    <t>Ministry of Science and Higher Education, Portugal (Fundacao para a Ciencia e a Tecnologia); British Antarctic Survey's Natural Environment Research Council core-funded Ecosystems programme; Scientific Committee for Antarctic Research (SCAR) AnT-ERA; Portuguese Polar Program PROPOLAR; Integrating Climate and Ecosystem Dynamics of the Southern Ocean (ICED); Portuguese Science Foundation [SFRH/BD/84030/2012]; European Funds through COMPETE; National Funds through the Portuguese Science Foundation (FCT) [PEst-C/MAR/LA0017/2013, SFRH/BPD/95372/2013]; Caixa Geral de Depositos Grant Programme 'Nova Geracao de Cientistas Polares'; Natural Environment Research Council [bas0100035] Funding Source: researchfish; Fundação para a Ciência e a Tecnologia [SFRH/BD/84030/2012] Funding Source: FCT; NERC [bas0100035] Funding Source: UKRI</t>
  </si>
  <si>
    <t>Ministry of Science and Higher Education, Portugal (Fundacao para a Ciencia e a Tecnologia)(Fundacao para a Ciencia e a Tecnologia (FCT)); British Antarctic Survey's Natural Environment Research Council core-funded Ecosystems programme; Scientific Committee for Antarctic Research (SCAR) AnT-ERA; Portuguese Polar Program PROPOLAR; Integrating Climate and Ecosystem Dynamics of the Southern Ocean (ICED); Portuguese Science Foundation(Fundacao para a Ciencia e a Tecnologia (FCT)); European Funds through COMPETE; National Funds through the Portuguese Science Foundation (FCT)(Fundacao para a Ciencia e a Tecnologia (FCT)); Caixa Geral de Depositos Grant Programme 'Nova Geracao de Cientistas Polares'; Natural Environment Research Council(UK Research &amp; Innovation (UKRI)Natural Environment Research Council (NERC)); Fundação para a Ciência e a Tecnologia(Fundacao para a Ciencia e a Tecnologia (FCT)); NERC(UK Research &amp; Innovation (UKRI)Natural Environment Research Council (NERC))</t>
  </si>
  <si>
    <t>This research was supported by the Ministry of Science and Higher Education, Portugal (Fundacao para a Ciencia e a Tecnologia), the British Antarctic Survey's Natural Environment Research Council core-funded Ecosystems programme, the Scientific Committee for Antarctic Research (SCAR) AnT-ERA, Portuguese Polar Program PROPOLAR and Integrating Climate and Ecosystem Dynamics of the Southern Ocean (ICED). Rui P. Vieira was sponsored by the Caixa Geral de Depositos Grant Programme 'Nova Geracao de Cientistas Polares' and is currently supported by a doctoral grant from the Portuguese Science Foundation (SFRH/BD/84030/2012) and partially by European Funds through COMPETE and by National Funds through the Portuguese Science Foundation (FCT) within project PEst-C/MAR/LA0017/2013 and Filipe R. Ceia by a post-doctoral fellowship (SFRH/BPD/95372/2013).</t>
  </si>
  <si>
    <t>0025-3154</t>
  </si>
  <si>
    <t>1469-7769</t>
  </si>
  <si>
    <t>J MAR BIOL ASSOC UK</t>
  </si>
  <si>
    <t>J. Mar. Biol. Assoc. U.K.</t>
  </si>
  <si>
    <t>10.1017/S0025315415000752</t>
  </si>
  <si>
    <t>DS6PS</t>
  </si>
  <si>
    <t>WOS:000380905100003</t>
  </si>
  <si>
    <t>LeMasurier, WE; Choi, SH; Hart, SR; Mukasa, S; Rogers, N</t>
  </si>
  <si>
    <t>LeMasurier, Wesley E.; Choi, Sung Hi; Hart, Stanley R.; Mukasa, Sam; Rogers, Nick</t>
  </si>
  <si>
    <t>Reconciling the shadow of a subduction signature with rift geochemistry and tectonic environment in Eastern Marie Byrd Land, Antarctica</t>
  </si>
  <si>
    <t>Rift volcanoes; Subduction relicts; Fossil convergent zone; Melange diapirs</t>
  </si>
  <si>
    <t>WEST ANTARCTICA; VOLCANIC-ROCKS; CHEMICAL-COMPOSITION; LITHOSPHERIC MANTLE; CENOZOIC VOLCANISM; CRARY MOUNTAINS; PACIFIC MARGIN; SOUTH-PACIFIC; AFRICAN RIFT; EVOLUTION</t>
  </si>
  <si>
    <t>Basalt-trachyte volcanoes in the Marie Byrd Land (MBL) Cenozoic province lie along the Amundsen Sea coast on the north flank of the West Antarctic rift. Basalts here are characterized by OIB-like geochemistry, restricted ranges of Sr-87/Sr-86 (0.702535-0.703284) and Nd-143/Nd-144 (0.512839-0.513008) and a wide range of Pb-206/Pb-204 (19.357-20.934). Basalts at three MBL volcanoes display two anomalies compared with the above and with all other basalts in West Antarctica. They include Nd-143/Nd-144 (0.512778-0.512789) values at Mt. Takahe and Mt. Siple that are 2 sigma lower than other West Antarctic basalts, and Ba/Nb, Ba/La, and Ba/Th values at Mt Murphy and Mt Takahe that are 3-8 times higher than normal OIB. Isotope and trace element data do not support crustal and lithospheric mantle contamination, or the presence of residual mantle amphibole or phlogopite as explanations of these anomalies. The apparent coincidence of these anomalies with the site of a pre-Cenozoic convergence zone along the Gond-wanaland margin suggests a subduction influence. Major episodes of subduction and granitic plutonism took place in MBL during the Devonian, Permian, and Late Cretaceous. Relicts in the source region, of components from these subducted slabs, provide a credible explanation for the uncoupling of Ba from other large ion lithophile elements (LILE), for its erratic distribution, and for the anomalously low Nd-143/Nd-144 at Mt. Takahe. The last episode of subduction ended similar to 85 Ma, and was followed by continental break-up, rifting and lithospheric attenuation that produced the West Antarctic rift as we know it today. Thus, the enigmatic geochemical signatures in these three volcanoes seem to have been preserved roughly 61-85 m.y. after subduction ended. New calculations of source melting depth and a new determination of lithospheric thickness suggest that the source of the anomalies resides in a fossil melange diapir that rose from the Cretaceous subducting slab, became attached to the base of the lithosphere at 80-100 km depth, and remained there during the subsequent plate motion and source remobilization history of this region. (C) 2016 Elsevier B.V. All rights reserved.</t>
  </si>
  <si>
    <t>[LeMasurier, Wesley E.] Univ Colorado, Inst Arctic &amp; Alpine Res, Boulder, CO 80309 USA; [Choi, Sung Hi] Chungnam Natl Univ, Dept Geol &amp; Earth Environm Sci, 99 Daehangno, Daejeon 34134, South Korea; [Hart, Stanley R.] Woods Hole Oceanog Inst, Dept Geol &amp; Geophys, MS 25, Woods Hole, MA 02543 USA; [Mukasa, Sam] Univ New Hampshire, Coll Engn &amp; Phys Sci, Durham, NH 03824 USA; [Rogers, Nick] Open Univ, Dept Earth Sci, Milton Keynes, Bucks, England</t>
  </si>
  <si>
    <t>University of Colorado System; University of Colorado Boulder; Chungnam National University; Woods Hole Oceanographic Institution; University System Of New Hampshire; University of New Hampshire; Open University - UK</t>
  </si>
  <si>
    <t>LeMasurier, WE (corresponding author), Univ Colorado, Inst Arctic &amp; Alpine Res, Boulder, CO 80309 USA.</t>
  </si>
  <si>
    <t>Choi, Sung Hi/0000-0001-8942-0359</t>
  </si>
  <si>
    <t>NSF [0536526, 9419094]; Institute of Arctic and Alpine Research (INSTAAR); Directorate For Geosciences; Division Of Polar Programs [0536526] Funding Source: National Science Foundation; Office Of The Director; Office of Polar Programs [9419094] Funding Source: National Science Foundation</t>
  </si>
  <si>
    <t>NSF(National Science Foundation (NSF)); Institute of Arctic and Alpine Research (INSTAAR); Directorate For Geosciences; Division Of Polar Programs(National Science Foundation (NSF)NSF - Directorate for Geosciences (GEO)); Office Of The Director; Office of Polar Programs(National Science Foundation (NSF)NSF - Office of the Director (OD)NSF - Directorate for Geosciences (GEO))</t>
  </si>
  <si>
    <t>Work on the geochemistry of Marie Byrd Land volcanoes has been supported by NSF Grants #0536526 (to WEL) and #9419094 (to SRH) administered by the Office of Polar Programs. WEL thanks the Institute of Arctic and Alpine Research (INSTAAR) for funds to cover publication costs. Lang Farmer and Chuck Stern, provided helpful comments and advice regarding the potential residence times of subduction signatures. Steve Cande guided us skillfully through the intricacies of Cretaceous/Cenozoic sea floor tectonics of the Amundsen Sea region. Gerhard Worner provided 10 new ICPMS analyses of Mt. Murphy and Mt. Siple samples, and comprehensive reviews of early drafts. Rob Larter and Graeme Eagles provided invaluable help with lithospheric thickness in MBL and the history of plate motions over the past 100 m.y. We are pleased to acknowledge interesting and constructive formal reviews by Godfrey Fitton and Adam Martin which greatly improved our interpretations.</t>
  </si>
  <si>
    <t>10.1016/j.lithos.2016.05.018</t>
  </si>
  <si>
    <t>DT5NL</t>
  </si>
  <si>
    <t>WOS:000381529800010</t>
  </si>
  <si>
    <t>Bracken, J; Gust, N; Ross, J; Coutts, A</t>
  </si>
  <si>
    <t>Bracken, James; Gust, Nick; Ross, Jeff; Coutts, Ashley</t>
  </si>
  <si>
    <t>An assessment of the efficacy of chemical descalers for managing non-indigenous marine species within vessel internal seawater systems and niche areas</t>
  </si>
  <si>
    <t>MANAGEMENT OF BIOLOGICAL INVASIONS</t>
  </si>
  <si>
    <t>non-indigenous species; mussels; biofouling; calcium carbonate</t>
  </si>
  <si>
    <t>SEA-CHESTS; BALLAST WATER; VECTOR; ORGANISMS; MECHANISM; INVASIONS; BIVALVE; MYTILUS; MUSSELS; EXTENT</t>
  </si>
  <si>
    <t>This study assessed the efficacy of commercially available descalers and factors that influence their efficacy as tools for marine biosecurity management. Laboratory experiments found calcium carbonate (CaCO3) degradation varied up to 29% (from 111 to 143 g/l) amongst seven products tested. Increasing the concentration of hydrochloric, phosphoric and acid-surfactant descalers from 25 to 75% did not increase the rate or total degradation of the mussel, Mytilus planulatus. Warming descaling solutions (from 11 to 26 degrees C) significantly increased the rate of mussel mortality, decay and total degradation in all treatments. Circulating treatments increased mussel mortality and decay rate in hydrochloric and acid-surfactant descalers, but had no detectable effect on total degradation after 24h. Hydrochloric acid based descalers (Rydlyme (R), 3H (R) and Dynamic Descaler (R)) were more effective than phosphoric acid (Barnacle Buster (R)) and acid-surfactant (Triple 7 Enviroscale Plus (R)) treatments. Organic material was largely resistant to degradation under all treatments. The implications for descalers as marine biosecurity tools are discussed</t>
  </si>
  <si>
    <t>[Bracken, James; Gust, Nick; Coutts, Ashley] Biofouling Solut Pty Ltd, 244 Summerleas Rd, Kingston, Tas 7050, Australia; [Ross, Jeff] Inst Marine &amp; Antarctic Studies, 20 Castray Esplanade, Battery Point, Tas 7004, Australia</t>
  </si>
  <si>
    <t>Bracken, J (corresponding author), Biofouling Solut Pty Ltd, 244 Summerleas Rd, Kingston, Tas 7050, Australia.</t>
  </si>
  <si>
    <t>james.bracken@utas.edu.au</t>
  </si>
  <si>
    <t>Ross, Donald/F-7607-2012</t>
  </si>
  <si>
    <t>Ross, Donald/0000-0002-8659-3833</t>
  </si>
  <si>
    <t>Institute for Marine and Antarctic Studies (at the University of Tasmania); Biofouling Solutions Pty. Ltd.; Envirofluid; Trac Ecological; Precision Dynamics</t>
  </si>
  <si>
    <t>This study was completed as a component of an honours award with the Institute for Marine and Antarctic Studies (at the University of Tasmania) in collaboration with Biofouling Solutions Pty. Ltd. The authors wish to thank the companies Envirofluid, Trac Ecological and Precision Dynamics for your support of this research. Funding for this study was provided by Biofouling Solutions Pty. Ltd.</t>
  </si>
  <si>
    <t>REGIONAL EURO-ASIAN BIOLOGICAL INVASIONS CENTRE-REABIC</t>
  </si>
  <si>
    <t>HELSINKI</t>
  </si>
  <si>
    <t>PO BOX 3, HELSINKI, 00981, FINLAND</t>
  </si>
  <si>
    <t>1989-8649</t>
  </si>
  <si>
    <t>MANAG BIOL INVASION</t>
  </si>
  <si>
    <t>Manag. Biol. Invasion</t>
  </si>
  <si>
    <t>10.3391/mbi.2016.7.3.04</t>
  </si>
  <si>
    <t>Biodiversity Conservation</t>
  </si>
  <si>
    <t>Biodiversity &amp; Conservation</t>
  </si>
  <si>
    <t>VB8VW</t>
  </si>
  <si>
    <t>WOS:000422637100004</t>
  </si>
  <si>
    <t>Piazza, P; Alvaro, MC; Bowden, DA; Clark, MR; Conci, N; Ghiglione, C; Schiaparelli, S</t>
  </si>
  <si>
    <t>Piazza, Paola; Alvaro, Maria Chiara; Bowden, David A.; Clark, Malcom R.; Conci, Nicola; Ghiglione, Claudio; Schiaparelli, Stefano</t>
  </si>
  <si>
    <t>First record of living Acesta (Mollusca: Bivalvia) from an Antarctic seamount</t>
  </si>
  <si>
    <t>MARINE BIODIVERSITY</t>
  </si>
  <si>
    <t>[Piazza, Paola; Alvaro, Maria Chiara; Ghiglione, Claudio; Schiaparelli, Stefano] Univ Genoa, Italian Natl Antarctic Museum MNA, Genoa, Italy; [Piazza, Paola; Alvaro, Maria Chiara; Conci, Nicola; Ghiglione, Claudio; Schiaparelli, Stefano] Univ Genoa, Dept Earth Environm &amp; Life Sci DISTAV, Genoa, Italy; [Bowden, David A.; Clark, Malcom R.] Natl Inst Water &amp; Atmospher Res NIWA, Wellington, New Zealand</t>
  </si>
  <si>
    <t>University of Genoa; University of Genoa; National Institute of Water &amp; Atmospheric Research (NIWA) - New Zealand</t>
  </si>
  <si>
    <t>Schiaparelli, S (corresponding author), Univ Genoa, Italian Natl Antarctic Museum MNA, Genoa, Italy.;Schiaparelli, S (corresponding author), Univ Genoa, Dept Earth Environm &amp; Life Sci DISTAV, Genoa, Italy.</t>
  </si>
  <si>
    <t>stefano.schiaparelli@unige.it</t>
  </si>
  <si>
    <t>Schiaparelli, Stefano/AAI-4024-2020</t>
  </si>
  <si>
    <t>Schiaparelli, Stefano/0000-0002-0137-3605; Conci, Nicola/0000-0001-5549-3197</t>
  </si>
  <si>
    <t>1867-1616</t>
  </si>
  <si>
    <t>1867-1624</t>
  </si>
  <si>
    <t>MAR BIODIVERS</t>
  </si>
  <si>
    <t>Mar. Biodivers.</t>
  </si>
  <si>
    <t>10.1007/s12526-015-0397-6</t>
  </si>
  <si>
    <t>Biodiversity Conservation; Marine &amp; Freshwater Biology</t>
  </si>
  <si>
    <t>Biodiversity &amp; Conservation; Marine &amp; Freshwater Biology</t>
  </si>
  <si>
    <t>DU1XL</t>
  </si>
  <si>
    <t>WOS:000382003800001</t>
  </si>
  <si>
    <t>Ogier, EM; Davidson, J; Fidelman, P; Haward, M; Hobday, AJ; Holbrook, NJ; Hoshino, E; Pecl, GT</t>
  </si>
  <si>
    <t>Ogier, Emily M.; Davidson, Julie; Fidelman, Pedro; Haward, Marcus; Hobday, Alistair J.; Holbrook, Neil J.; Hoshino, Eriko; Pecl, Gretta T.</t>
  </si>
  <si>
    <t>Fisheries management approaches as platforms for climate change adaptation: Comparing theory and practice in Australian fisheries</t>
  </si>
  <si>
    <t>Climate change adaptation; Fisheries management; Co-management; Adaptive management; Ecosystem-based management; Practitioner perceptions</t>
  </si>
  <si>
    <t>ECOSYSTEM-BASED MANAGEMENT; ADAPTIVE COMANAGEMENT; CHANGE IMPACTS; RESILIENCE; GOVERNANCE; SYSTEMS; PERSPECTIVES; TRANSITION; STRATEGIES; FRAMEWORK</t>
  </si>
  <si>
    <t>This study examines the extent to which the choice of management approach is a critical factor in enabling climate change adaptation in marine fisheries. Climate change is expected to compound many pressing issues affecting fisheries management. Good governance of fisheries, which is critical to building their adaptive capacity and social-ecological resilience, is seen as ever more important in the context of climate change. A range of fisheries management approaches have been developed and, to varying degrees, applied. Each has been described in the literature as a promising way to manage marine resources. Through literature reviews and a survey of practitioners, this study explores how theoretical properties of selected major management approaches (i.e., ecosystem-based management, adaptive management, co-management, adaptive co-management, and active adaptive management) enable climate change adaptation, and how such properties are perceived by practitioners to manifest in practice using an Australian marine fisheries context. Overall, the selected management approaches have the potential to enable climate change adaptation to varying degrees. Ecosystem-based management, in combination with adaptive management and co-management as nested management approaches, possesses the full array of adaptation capacities and attributes required for adaptation in fisheries. Distinctions between theory and practice observed in this study highlight the importance of practitioner perceptions and enabling institutional arrangements in adapting management to climate change. (C) 2016 Elsevier Ltd. All rights reserved.</t>
  </si>
  <si>
    <t>[Ogier, Emily M.; Haward, Marcus; Holbrook, Neil J.; Pecl, Gretta T.] Univ Tasmania, Inst Marine &amp; Antarctic Studies, Private Bag 49, Hobart, Tas 7001, Australia; [Davidson, Julie] Univ Tasmania, Sch Land &amp; Food, Discipline Geog &amp; Spatial Sci, Hobart, Tas 7001, Australia; [Fidelman, Pedro] Univ Sunshine Coast, Sustainabil Res Ctr, Locked Bag 4, Maroochydore, Qld 4558, Australia; [Hobday, Alistair J.; Hoshino, Eriko] CSIRO Oceans &amp; Atmosphere, Hobart, Tas 7000, Australia; [Ogier, Emily M.; Davidson, Julie; Haward, Marcus; Hobday, Alistair J.; Holbrook, Neil J.; Pecl, Gretta T.] Univ Tasmania, Ctr Marine Socioecol, Hobart, Tas 7001, Australia; [Holbrook, Neil J.] Univ Tasmania, ARC Ctr Excellence Climate Syst Sci, Hobart, Tas 7001, Australia</t>
  </si>
  <si>
    <t>University of Tasmania; University of Tasmania; University of the Sunshine Coast; Commonwealth Scientific &amp; Industrial Research Organisation (CSIRO); University of Tasmania; ARC Centre of Excellence for Climate System Science; University of Tasmania</t>
  </si>
  <si>
    <t>Ogier, EM (corresponding author), Univ Tasmania, Inst Marine &amp; Antarctic Studies, Private Bag 49, Hobart, Tas 7001, Australia.</t>
  </si>
  <si>
    <t>Emily.Ogier@utas.edu.au</t>
  </si>
  <si>
    <t>Pecl, Gretta/D-7267-2011; Hobday, Alistair/A-1460-2012; Fidelman, Pedro/N-1466-2014; Holbrook, Neil/M-7544-2013; Hoshino, Eriko/N-7557-2013; Haward, Marcus/G-3369-2014</t>
  </si>
  <si>
    <t>Pecl, Gretta/0000-0003-0192-4339; Fidelman, Pedro/0000-0001-7780-0952; Holbrook, Neil/0000-0002-3523-6254; Ogier, Emily/0000-0001-6157-5279; Hoshino, Eriko/0000-0001-7110-4251; Haward, Marcus/0000-0003-4775-0864</t>
  </si>
  <si>
    <t>Australian Government Department of Climate Change and Energy Efficiency through the National Climate Change Adaptation Research Facility; ARC Future Fellowship [FT140100596]; Australian Research Council [FT140100596] Funding Source: Australian Research Council</t>
  </si>
  <si>
    <t>Australian Government Department of Climate Change and Energy Efficiency through the National Climate Change Adaptation Research Facility(Australian Government); ARC Future Fellowship(Australian Research Council); Australian Research Council(Australian Research Council)</t>
  </si>
  <si>
    <t>This paper was developed as part of activities conducted by members of Australia's National Climate Change Adaptation Research Network for Marine Biodiversity and Resources (20092013). The Adaptation Research Network for Marine Biodiversity and Resources acknowledges funding provided by the Australian Government Department of Climate Change and Energy Efficiency through the National Climate Change Adaptation Research Facility. Gretta Pecl was supported by an ARC Future Fellowship (FT140100596). The authors also wish to acknowledge the contribution made by those reviewers who provided comment on an earlier version of the paper.</t>
  </si>
  <si>
    <t>10.1016/j.marpol.2016.05.014</t>
  </si>
  <si>
    <t>DT6KT</t>
  </si>
  <si>
    <t>WOS:000381593800011</t>
  </si>
  <si>
    <t>Haumann, FA; Gruber, N; Münnich, M; Frenger, I; Kern, S</t>
  </si>
  <si>
    <t>Haumann, F. Alexander; Gruber, Nicolas; Munnich, Matthias; Frenger, Ivy; Kern, Stefan</t>
  </si>
  <si>
    <t>Sea-ice transport driving Southern Ocean salinity and its recent trends</t>
  </si>
  <si>
    <t>DATA ASSIMILATION; CLIMATE-CHANGE; CIRCULATION; PACIFIC; CARBON</t>
  </si>
  <si>
    <t>Recent salinity changes in the Southern Ocean(1-7) are among the most prominent signals of climate change in the global ocean, yet their underlying causes have not been firmly established(1,3,4,6). Here we propose that trends in the northward transport of Antarctic sea ice are a major contributor to these changes. Using satellite observations supplemented by sea-ice reconstructions, we estimate that wind-driven(8,9) northward freshwater transport by sea ice increased by 20 +/- 10 per cent between 1982 and 2008. The strongest and most robust increase occurred in the Pacific sector, coinciding with the largest observed salinity changes(4,5). We estimate that the additional freshwater for the entire northern sea-ice edge entails a freshening rate of -0.02 +/- 0.01 grams per kilogram per decade in the surface and intermediate waters of the open ocean, similar to the observed freshening(1-5). The enhanced rejection of salt near the coast of Antarctica associated with stronger sea-ice export counteracts the freshening of both continental shelf(2,10,11) and newly formed bottom waters(6) due to increases in glacial meltwater(12). Although the data sources underlying our results have substantial uncertainties, regional analyses(13) and independent data from an atmospheric reanalysis support our conclusions. Our finding that northward sea-ice freshwater transport is also a key determinant of the mean salinity distribution in the Southern Ocean further underpins the importance of the sea-ice-induced freshwater flux. Through its influence on the density structure of the ocean, this process has critical consequences for the global climate by affecting the exchange of heat, carbon and nutrients between the deep ocean and surface waters(14-17).</t>
  </si>
  <si>
    <t>[Haumann, F. Alexander; Gruber, Nicolas; Munnich, Matthias; Frenger, Ivy] Swiss Fed Inst Technol, Inst Biogeochem &amp; Pollutant Dynam, Environm Phys, Univ Str 16, CH-8092 Zurich, Switzerland; [Haumann, F. Alexander; Gruber, Nicolas] Swiss Fed Inst Technol, Ctr Climate Syst Modeling, Univ Str 16, CH-8092 Zurich, Switzerland; [Frenger, Ivy] GEOMAR Helmholtz Ctr Ocean Res Kiel, Biogeochem Modelling, Dusternbrooker Weg 20, D-24105 Kiel, Germany; [Kern, Stefan] Univ Hamburg, ICDC, Ctr Earth Syst Res &amp; Sustainabil, Hamburg, Germany</t>
  </si>
  <si>
    <t>Swiss Federal Institutes of Technology Domain; ETH Zurich; Swiss Federal Institutes of Technology Domain; ETH Zurich; Helmholtz Association; GEOMAR Helmholtz Center for Ocean Research Kiel; University of Hamburg</t>
  </si>
  <si>
    <t>Haumann, FA (corresponding author), Swiss Fed Inst Technol, Inst Biogeochem &amp; Pollutant Dynam, Environm Phys, Univ Str 16, CH-8092 Zurich, Switzerland.;Haumann, FA (corresponding author), Swiss Fed Inst Technol, Ctr Climate Syst Modeling, Univ Str 16, CH-8092 Zurich, Switzerland.</t>
  </si>
  <si>
    <t>alexander.haumann@usys.ethz.ch</t>
  </si>
  <si>
    <t>Haumann, Alexander/J-6679-2014; Frenger, Ivy/B-9023-2017; Gruber, Nicolas/B-7013-2009</t>
  </si>
  <si>
    <t>Haumann, Alexander/0000-0002-8218-977X; Frenger, Ivy/0000-0002-3490-7239; Gruber, Nicolas/0000-0002-2085-2310; Kern, Stefan/0000-0001-7281-3746</t>
  </si>
  <si>
    <t>ETH [CH2-01 11-1]; European Union (EU) [264879]; C2SM at ETH Zurich; Swiss National Science Foundation [P2EZP2-152133]; Center of Excellence for Climate System Analysis and Prediction (CliSAP), University of Hamburg, Germany; International Space Science Institute (ISSI), Bern, Switzerland [245]; Swiss National Science Foundation (SNF) [P2EZP2_152133] Funding Source: Swiss National Science Foundation (SNF)</t>
  </si>
  <si>
    <t>ETH(ETH Zurich); European Union (EU)(European Union (EU)CGIAR); C2SM at ETH Zurich; Swiss National Science Foundation(Swiss National Science Foundation (SNSF)); Center of Excellence for Climate System Analysis and Prediction (CliSAP), University of Hamburg, Germany; International Space Science Institute (ISSI), Bern, Switzerland; Swiss National Science Foundation (SNF)(Swiss National Science Foundation (SNSF))</t>
  </si>
  <si>
    <t>This work was supported by ETH Research Grant CH2-01 11-1 and by European Union (EU) grant 264879 (CARBOCHANGE). I.F. was supported by C2SM at ETH Zurich and the Swiss National Science Foundation Grant P2EZP2-152133. S.K. was supported by the Center of Excellence for Climate System Analysis and Prediction (CliSAP), University of Hamburg, Germany. F.A.H. and S.K. acknowledge support from the International Space Science Institute (ISSI), Bern, Switzerland, under project #245. We are thankful to F. Massonnet for providing the sea-ice thickness reconstruction and discussion. The ICESat-1 sea-ice thickness data were provided by the NASA Goddard Space Flight Center. The ship-based sea-ice thickness data were provided by the SCAR Antarctic Sea Ice Processes and Climate (ASPeCt) programme. We appreciate the provision of sea-ice concentration and motion data by the National Snow and Ice Data Center, the Integrated Climate Data Center at the University of Hamburg and R. Kwok. We thank T. Frolicher, S. Yang, A. Stossel, M. Frischknecht, L. Papritz, P. Durack, M. van den Broecke, J. Lenaerts, J. van Angelen and M. Meredith for discussion, comments, and ideas.</t>
  </si>
  <si>
    <t>10.1038/nature19101</t>
  </si>
  <si>
    <t>DU7XC</t>
  </si>
  <si>
    <t>WOS:000382426900044</t>
  </si>
  <si>
    <t>Rubino, M; Etheridge, DM; Trudinger, CM; Allison, CE; Rayner, PJ; Enting, I; Mulvaney, R; Steele, LP; Langenfelds, RL; Sturges, WT; Curran, MAJ; Smith, AM</t>
  </si>
  <si>
    <t>Rubino, M.; Etheridge, D. M.; Trudinger, C. M.; Allison, C. E.; Rayner, P. J.; Enting, I.; Mulvaney, R.; Steele, L. P.; Langenfelds, R. L.; Sturges, W. T.; Curran, M. A. J.; Smith, A. M.</t>
  </si>
  <si>
    <t>Low atmospheric CO2 levels during the Little Ice Age due to cooling-induced terrestrial uptake</t>
  </si>
  <si>
    <t>NATURE GEOSCIENCE</t>
  </si>
  <si>
    <t>CARBONYL SULFIDE; CLIMATE-CHANGE; LAW DOME; TEMPERATURE VARIABILITY; SOUTH-POLE; CYCLE; CORE; RECORD; SINKS</t>
  </si>
  <si>
    <t>Low atmospheric carbon dioxide (CO2) concentration(1) during the Little Ice Age has been used to derive the global carbon cycle sensitivity to temperature(2). Recent evidence(3) confirms earlier indications(4) that the low CO2 was caused by increased terrestrial carbon storage. It remains unknown whether the terrestrial biosphere responded to temperature variations, or there was vegetation re-growth on abandoned farmland(5). Here we present a global numerical simulation of atmospheric carbonyl sulfide concentrations in the pre-industrial period. Carbonyl sulfide concentration is linked to changes in gross primary production(6) and shows a positive anomaly(7) during the Little Ice Age. We show that a decrease in gross primary production and a larger decrease in ecosystem respiration is themost likely explanation for the decrease in atmospheric-CO2 and increase in atmospheric carbonyl sulfide concentrations. Therefore, temperature change, not vegetation re-growth, was the main cause of the increased terrestrial carbon storage. We address the inconsistency between ice-core CO2 records from different sites(8) measuring CO2 and delta(CO2)-C-13 in ice from Dronning Maud Land (Antarctica). Our interpretation allows us to derive the temperature sensitivity of pre-industrial CO2 fluxes for the terrestrial biosphere (gamma(L) = -10 to -90 Pg CK-1), implying a positive climate feedback and providing a benchmark to reduce model uncertainties(9).</t>
  </si>
  <si>
    <t>[Rubino, M.; Etheridge, D. M.; Trudinger, C. M.; Allison, C. E.; Enting, I.; Steele, L. P.; Langenfelds, R. L.] CSIRO Oceans &amp; Atmosphere, PMB 1, Aspendale, Vic 3195, Australia; [Rayner, P. J.] Univ Melbourne, Sch Earth Sci, Melbourne, Vic 3010, Australia; [Enting, I.] Univ Melbourne, ARC Ctr Excellence Math &amp; Stat Complex Syst MASCO, Melbourne, Vic 3010, Australia; [Mulvaney, R.] British Antarctic Survey, Madingley Rd, Cambridge CB3 0ET, England; [Sturges, W. T.] Univ East Anglia, Sch Environm Sci, Ctr Ocean &amp; Atmospher Sci, Norwich NR4 7TJ, Norfolk, England; [Curran, M. A. J.] Australian Antarctic Div, 203 Channel Highway, Kingston, Tas 7050, Australia; [Curran, M. A. J.] Univ Tasmania, Antarctic Climate &amp; Ecosyst Cooperat Res Ctr, Hobart, Tas 7001, Australia; [Smith, A. M.] ANSTO, PMB 1, Menai, NSW 2234, Australia; [Rubino, M.] Seconda Univ Napoli, Dipartimento Matemat &amp; Fis, Viale Lincoln 5, I-81100 Caserta, Italy</t>
  </si>
  <si>
    <t>Commonwealth Scientific &amp; Industrial Research Organisation (CSIRO); University of Melbourne; Melbourne Bioinformatics; University of Melbourne; Melbourne Genomics Health Alliance; UK Research &amp; Innovation (UKRI); Natural Environment Research Council (NERC); NERC British Antarctic Survey; University of East Anglia; Australian Antarctic Division; University of Tasmania; Antarctic Climate &amp; Ecosystems Cooperative Research Centre (ACE CRC); Australian Nuclear Science &amp; Technology Organisation; Universita della Campania Vanvitelli</t>
  </si>
  <si>
    <t>Rubino, M (corresponding author), CSIRO Oceans &amp; Atmosphere, PMB 1, Aspendale, Vic 3195, Australia.;Rubino, M (corresponding author), Seconda Univ Napoli, Dipartimento Matemat &amp; Fis, Viale Lincoln 5, I-81100 Caserta, Italy.</t>
  </si>
  <si>
    <t>mauro.rubino@unina2.it</t>
  </si>
  <si>
    <t>, Andrew/HLX-8550-2023; Steele, Paul/B-3185-2009; Rubino, Mauro/Q-5578-2016; Trudinger, Cathy/A-2532-2008; Etheridge, David M/B-7334-2013; Langenfelds, Ray/B-5381-2012; Mulvaney, Robert/K-3929-2012</t>
  </si>
  <si>
    <t>Langenfelds, Ray/0000-0003-4890-2049; Rayner, Peter/0000-0001-7707-6298; Smith, Andrew/0000-0002-9193-2617; Enting, Ian/0000-0002-9667-3271; Trudinger, Cathy/0000-0002-4844-2153; Etheridge, David/0000-0001-7970-2002; Rubino, Mauro/0000-0002-8721-4508; Mulvaney, Robert/0000-0002-5372-8148; Allison, Colin/0000-0002-7796-6917</t>
  </si>
  <si>
    <t>Australian government-Department of the Environment; Bureau of Meteorology; CSIRO; CSIRO Frohlich Fellowship; Australian Professorial Fellowship [DP1096309]; Italian POLIGRID project [CUP B65B0900002007]; Natural Environment Research Council [NE/F021194/1]; Australian Antarctic Science Program; ANSTO through the AINSE grant; ANSTO through AAS grants [4061, 3064]; NERC [bas0100034, NE/F021194/1] Funding Source: UKRI; Natural Environment Research Council [1092450, NE/F021194/1, bas0100034] Funding Source: researchfish</t>
  </si>
  <si>
    <t>Australian government-Department of the Environment(Australian Government); Bureau of Meteorology(Bureau of Meteorology - Australia); CSIRO(Commonwealth Scientific &amp; Industrial Research Organisation (CSIRO)); CSIRO Frohlich Fellowship; Australian Professorial Fellowship(Australian Research Council); Italian POLIGRID project; Natural Environment Research Council(UK Research &amp; Innovation (UKRI)Natural Environment Research Council (NERC)); Australian Antarctic Science Program; ANSTO through the AINSE grant; ANSTO through AAS grants; NERC(UK Research &amp; Innovation (UKRI)Natural Environment Research Council (NERC)); Natural Environment Research Council(UK Research &amp; Innovation (UKRI)Natural Environment Research Council (NERC))</t>
  </si>
  <si>
    <t>This work was undertaken as part of the Australian Climate Change Science Program, funded by the Australian government-Department of the Environment, the Bureau of Meteorology and CSIRO. We thank S. Coram, R. Gregory, D. Thornton and D. Spencer of CSIRO for their analytical support and S. Allin for ice handling. W. Sturges recognizes the CSIRO Frohlich Fellowship for supporting a visit to CSIRO, Aspendale. P.J.R. was supported by an Australian Professorial Fellowship (DP1096309). M.R.'s visit to CSIRO and D.M.E.'s visit to the Second University of Naples were supported by the Italian POLIGRID project (CUP B65B0900002007). The DML ice was sampled using funding from the Natural Environment Research Council (grant NE/F021194/1). We thank the British Antarctic Survey for providing DML ice samples. The Australian Antarctic Science Program and ANSTO supported drilling of DSS0506 through the AINSE grant and AAS grants 4061 and 3064. We thank P. Fraser for useful comments.</t>
  </si>
  <si>
    <t>1752-0894</t>
  </si>
  <si>
    <t>1752-0908</t>
  </si>
  <si>
    <t>NAT GEOSCI</t>
  </si>
  <si>
    <t>Nat. Geosci.</t>
  </si>
  <si>
    <t>10.1038/NGEO2769</t>
  </si>
  <si>
    <t>DV9TA</t>
  </si>
  <si>
    <t>WOS:000383283700015</t>
  </si>
  <si>
    <t>Michael, SA; Howe, L; Chilvers, BL; Morel, PCH; Roe, WD</t>
  </si>
  <si>
    <t>Michael, S. A.; Howe, L.; Chilvers, B. L.; Morel, P. C. H.; Roe, W. D.</t>
  </si>
  <si>
    <t>Seroprevalence of Toxoplasma gondii in mainland and sub-Antarctic New Zealand sea lion (Phocarctos hookeri) populations</t>
  </si>
  <si>
    <t>NEW ZEALAND VETERINARY JOURNAL</t>
  </si>
  <si>
    <t>ELISA; latex agglutination test; Phocarctos hookeri; pinniped; Toxoplasma gondii; western blot</t>
  </si>
  <si>
    <t>FEMALE NEW-ZEALAND; OTAGO PENINSULA; OOCYSTS; DIET; INFECTION; SURVIVAL; FRESH; CATS</t>
  </si>
  <si>
    <t>AIMS: To investigate the seroprevalence of antibodies to Toxoplasma gondii in New Zealand sea lions (Phocarctos hookeri), as a potential contributor to reproductive failure.METHODS: Archived sera were sourced from New Zealand sea lions from two recolonising mainland populations in the Otago Peninsula (n=15) and Stewart Island (n=12), as well as a declining population at Enderby Island (n=28) in the New Zealand sub-Antarctic. Sera were tested for antibodies to T. gondii using a commercially available ELISA (with samples considered positive if the sample to positive ratio was&gt;30%), and latex agglutination test (LAT; with titres 1:32 considered positive). Western blot analysis was used to validate the results of a subset of 14 samples.RESULTS: Five samples from sea lions in mainland locations were confirmed positive for antibodies to T. gondii. Two adult females exhibited high LAT antibody titres (min 1:2048, max 1:4096) on both occasions when sampled 1 and 2 years apart, respectively. No animals from Enderby Island were seropositive.CONCLUSIONS: Toxoplasma gondii infection is unlikely to be a major contributor to poor reproductive success in New Zealand sea lions. However, continued surveillance is pertinent to assess subclinical and clinical impacts of the parasite on these threatened populations. The commercial tests evaluated here, with further species-specific threshold refinement could provide a fast, inexpensive and reliable indicator of T. gondii exposure in New Zealand sea lions.</t>
  </si>
  <si>
    <t>[Michael, S. A.; Chilvers, B. L.] Massey Univ, Inst Vet Anim &amp; Biomed Sci, Wildbase, Private Bag 11-222, Palmerston North 4442, New Zealand; [Howe, L.; Morel, P. C. H.; Roe, W. D.] Massey Univ, Inst Vet Anim &amp; Biomed Sci, Private Bag 11-222, Palmerston North 4442, New Zealand; [Chilvers, B. L.] Dept Conservat, Marine Species &amp; Threats, POB 10-420, Wellington, New Zealand</t>
  </si>
  <si>
    <t>Massey University; Massey University</t>
  </si>
  <si>
    <t>Michael, SA (corresponding author), Massey Univ, Inst Vet Anim &amp; Biomed Sci, Wildbase, Private Bag 11-222, Palmerston North 4442, New Zealand.</t>
  </si>
  <si>
    <t>sarah.a.michael@gmail.com</t>
  </si>
  <si>
    <t>Chilvers, B. Louise/AAV-1965-2021; roe, wendi d/K-4110-2012</t>
  </si>
  <si>
    <t>Chilvers, B. Louise/0000-0002-7657-4217; Michael, Sarah/0000-0002-7176-0774; Howe, Laryssa/0000-0002-2594-2008</t>
  </si>
  <si>
    <t>IVABS Research Fund, Massey University</t>
  </si>
  <si>
    <t>This project was funded in part by the IVABS Research Fund, Massey University. The data presented in this paper were collected under permit from the New Zealand Department of Conservation. The authors wish to thank the teams involved with collecting samples in the field.</t>
  </si>
  <si>
    <t>0048-0169</t>
  </si>
  <si>
    <t>1176-0710</t>
  </si>
  <si>
    <t>NEW ZEAL VET J</t>
  </si>
  <si>
    <t>N. Z. Vet. J.</t>
  </si>
  <si>
    <t>10.1080/00480169.2016.1191974</t>
  </si>
  <si>
    <t>DU6GU</t>
  </si>
  <si>
    <t>WOS:000382313100006</t>
  </si>
  <si>
    <t>Lecomte, O; Goosse, H; Fichefet, T; Holland, PR; Uotila, P; Zunz, V; Kimura, N</t>
  </si>
  <si>
    <t>Lecomte, O.; Goosse, H.; Fichefet, T.; Holland, P. R.; Uotila, P.; Zunz, V.; Kimura, N.</t>
  </si>
  <si>
    <t>Impact of surface wind biases on the Antarctic sea ice concentration budget in climate models</t>
  </si>
  <si>
    <t>OCEAN MODELLING</t>
  </si>
  <si>
    <t>Antarctic; Sea ice; Wind; Models</t>
  </si>
  <si>
    <t>PACK ICE; DRIFT; SIMULATIONS; TRENDS; CMIP5; DYNAMICS; RHEOLOGY; MOTION; EXTENT</t>
  </si>
  <si>
    <t>We derive the terms in the Antarctic sea ice concentration budget from the output of three models, and compare them to observations of the same terms. Those models include two climate models from the 5th Coupled Model Intercomparison Project (CMIP5) and one ocean-sea ice coupled model with prescribed atmospheric forcing. Sea ice drift and wind fields from those models, in average over April-October 1992-2005, all exhibit large differences with the available observational or reanalysis datasets. However, the discrepancies between the two distinct ice drift products or the two wind reanalyses used here are sometimes even greater than those differences. Two major findings stand out from the analysis. Firstly, large biases in sea ice drift speed and direction in exterior sectors of the sea ice covered region tend to be systematic and consistent with those in winds. This suggests that sea ice errors in these areas are most likely wind-driven, so as errors in the simulated ice motion vectors. The systematic nature of these biases is less prominent in interior sectors, nearer the coast, where sea ice is mechanically constrained and its motion in response to the wind forcing more depending on the model rheology. Second, the intimate relationship between winds, sea ice drift and the sea ice concentration budget gives insight on ways to categorize models with regard to errors in their ice dynamics. In exterior regions, models with seemingly too weak winds and slow ice drift consistently yield a lack of ice velocity divergence and hence a wrong wintertime sea ice growth rate. In interior sectors, too slow ice drift, presumably originating from issues in the physical representation of sea ice dynamics as much as from errors in surface winds, leads to wrong timing of the late winter ice retreat. Those results illustrate that the applied methodology provides a valuable tool for prioritizing model improvements based on the ice concentration budget-ice drift biases-wind biases relationship prevailing in the simulation of Antarctic sea ice over the last decades. (C) 2016 Elsevier Ltd. All rights reserved.</t>
  </si>
  <si>
    <t>[Lecomte, O.; Goosse, H.; Fichefet, T.; Zunz, V.] Catholic Univ Louvain, Earth &amp; Life Inst, Georges Lemaitre Ctr Earth &amp; Climate Res UCL ELIC, Louvain La Neuve, Belgium; [Holland, P. R.] BAS, Cambridge, England; [Uotila, P.] FMI, Helsinki, Finland; [Kimura, N.] Natl Inst Polar Res, Tachikawa, Tokyo, Japan</t>
  </si>
  <si>
    <t>Universite Catholique Louvain; UK Research &amp; Innovation (UKRI); Natural Environment Research Council (NERC); NERC British Antarctic Survey; Research Organization of Information &amp; Systems (ROIS); National Institute of Polar Research (NIPR) - Japan</t>
  </si>
  <si>
    <t>Lecomte, O (corresponding author), Catholic Univ Louvain, Earth &amp; Life Inst, Georges Lemaitre Ctr Earth &amp; Climate Res UCL ELIC, Louvain La Neuve, Belgium.</t>
  </si>
  <si>
    <t>Uotila, Petteri/A-1703-2012; Holland, Paul R/G-2796-2012</t>
  </si>
  <si>
    <t>Uotila, Petteri/0000-0002-2939-7561;</t>
  </si>
  <si>
    <t>Fonds de la Recherche Scientifique de Belgique (FRS-FNRS); FNRS Research Project Amelioration de la representation de la glace de mer antarctique dans les modeles climatiques grace a une meilleure comprehension des processus gouvernant son etat moyen et sa variabilite [T.0007.14]; Academy of Finland [264358, 283034]; Academy of Finland (AKA) [264358, 283034] Funding Source: Academy of Finland (AKA); Natural Environment Research Council [bas0100033] Funding Source: researchfish; NERC [bas0100033] Funding Source: UKRI</t>
  </si>
  <si>
    <t>Fonds de la Recherche Scientifique de Belgique (FRS-FNRS)(Fonds de la Recherche Scientifique - FNRS); FNRS Research Project Amelioration de la representation de la glace de mer antarctique dans les modeles climatiques grace a une meilleure comprehension des processus gouvernant son etat moyen et sa variabilite(Fonds de la Recherche Scientifique - FNRS); Academy of Finland(Research Council of Finland); Academy of Finland (AKA)(Research Council of Finland); Natural Environment Research Council(UK Research &amp; Innovation (UKRI)Natural Environment Research Council (NERC)); NERC(UK Research &amp; Innovation (UKRI)Natural Environment Research Council (NERC))</t>
  </si>
  <si>
    <t>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thank Antoine Barthelemy for producing and providing the NEMO-LIM3 simulation used in this study and three anonymous reviewers for comments that helped to improve this manuscript. Computational resources for this simulation have been provided by the supercomputing facilities of the Universite catholique de Louvain (CISM/UCL) and the Consortium des Equipements de Calcul Intensif en Federation Wallonie Bruxelles (CECI) funded by the Fonds de la Recherche Scientifique de Belgique (FRS-FNRS). O. L. and H. G. are respectively Postdoctoral Researcher and Research Director with the Fonds National de la Recherche Scientifique (F.R.S.-FNRS-Belgium). This work was supported by FNRS Research Project Amelioration de la representation de la glace de mer antarctique dans les modeles climatiques grace a une meilleure comprehension des processus gouvernant son etat moyen et sa variabilite, under Grant Agreement no. T.0007.14. The work of P. U. was supported by the Academy of Finland (contracts 264358 and 283034).</t>
  </si>
  <si>
    <t>1463-5003</t>
  </si>
  <si>
    <t>1463-5011</t>
  </si>
  <si>
    <t>OCEAN MODEL</t>
  </si>
  <si>
    <t>Ocean Model.</t>
  </si>
  <si>
    <t>10.1016/j.ocemod.2016.08.001</t>
  </si>
  <si>
    <t>EA6XG</t>
  </si>
  <si>
    <t>WOS:000386771800006</t>
  </si>
  <si>
    <t>Kochhann, KGD; Holbourn, A; Kuhnt, W; Channell, JET; Lyle, M; Shackford, JK; Wilkens, RH; Andersen, N</t>
  </si>
  <si>
    <t>Kochhann, Karlos G. D.; Holbourn, Ann; Kuhnt, Wolfgang; Channell, James E. T.; Lyle, Mitch; Shackford, Julia K.; Wilkens, Roy H.; Andersen, Nils</t>
  </si>
  <si>
    <t>Eccentricity pacing of eastern equatorial Pacific carbonate dissolution cycles during the Miocene Climatic Optimum</t>
  </si>
  <si>
    <t>Miocene Climatic Optimum; eastern equatorial Pacific; benthic stable isotopes; magnetostratigraphy; cyclostratigraphy; carbonate dissolution</t>
  </si>
  <si>
    <t>ISOTOPE STRATIGRAPHY; OLIGOCENE; OCEAN; BURIAL; RECORD; DRIVEN; SCALE; ONSET</t>
  </si>
  <si>
    <t>The Miocene Climatic Optimum (MCO; similar to 16.9 to 14.7Ma) provides an outstanding opportunity to investigate climate-carbon cycle dynamics during a geologically recent interval of global warmth. We present benthic stable oxygen (O-18) and carbon (C-13) isotope records (5-12kyr time resolution) spanning the late early to middle Miocene interval (18 to 13Ma) at Integrated Ocean Drilling Program (IODP) Site U1335 (eastern equatorial Pacific Ocean). The U1335 stable isotope series track the onset and development of the MCO as well as the transitional climatic phase culminating with global cooling and expansion of the East Antarctic Ice Sheet at similar to 13.8Ma. We integrate these new data with published stable isotope, geomagnetic polarity, and X-ray fluorescence (XRF) scanner-derived carbonate records from IODP Sites U1335, U1336, U1337, and U1338 on a consistent, astronomically tuned timescale. Benthic isotope and XRF scanner-derived CaCO3 records depict prominent 100kyr variability with 400kyr cyclicity additionally imprinted on C-13 and CaCO3 records, pointing to a tight coupling between the marine carbon cycle and climate variations. Our intersite comparison further indicates that the lysocline behaved in highly dynamic manner throughout the MCO, with &gt;75% carbonate loss occurring at paleodepths ranging from similar to 3.4 to similar to 4km in the eastern equatorial Pacific Ocean. Carbonate dissolution maxima coincide with warm phases (O-18 minima) and C-13 decreases, implying that climate-carbon cycle feedbacks fundamentally differed from the late Pleistocene glacial-interglacial pattern, where dissolution maxima correspond to C-13 maxima and O-18 minima. Carbonate dissolution cycles during the MCO were, thus, more similar to Paleogene hyperthermal patterns.</t>
  </si>
  <si>
    <t>[Kochhann, Karlos G. D.; Holbourn, Ann; Kuhnt, Wolfgang] Univ Kiel, Inst Geosci, Kiel, Germany; [Channell, James E. T.] Univ Florida, Dept Geol Sci, Gainesville, FL USA; [Lyle, Mitch] Oregon State Univ, Coll Earth Ocean &amp; Atmospher Sci, Corvallis, OR 97331 USA; [Shackford, Julia K.] EarthCon Consultants, Houston, TX USA; [Wilkens, Roy H.] Univ Hawaii Manoa, Inst Geophys &amp; Planetol, Honolulu, HI 96822 USA; [Andersen, Nils] Univ Kiel, Leibniz Lab Radiometr Dating &amp; Stable Isotope Res, Kiel, Germany</t>
  </si>
  <si>
    <t>University of Kiel; State University System of Florida; University of Florida; Oregon State University; University of Hawaii System; University of Hawaii Manoa; University of Kiel</t>
  </si>
  <si>
    <t>Kochhann, KGD (corresponding author), Univ Kiel, Inst Geosci, Kiel, Germany.</t>
  </si>
  <si>
    <t>kochhann@gpi.uni-kiel.de</t>
  </si>
  <si>
    <t>Kochhann, Karlos G. D./AAH-4636-2019</t>
  </si>
  <si>
    <t>Kochhann, Karlos G. D./0000-0001-5339-1103; Holbourn, Ann/0000-0002-3167-0862</t>
  </si>
  <si>
    <t>Deutsche Forschungsgemeinschaft [HO233/1]; Conselho Nacional de Desenvolvimento Cientifico e Tecnologico (CNPq), Brazil [244926/2013-1]; US National Science Foundation [OCE-0962184]</t>
  </si>
  <si>
    <t>Deutsche Forschungsgemeinschaft(German Research Foundation (DFG)); Conselho Nacional de Desenvolvimento Cientifico e Tecnologico (CNPq), Brazil(Conselho Nacional de Desenvolvimento Cientifico e Tecnologico (CNPQ)); US National Science Foundation(National Science Foundation (NSF))</t>
  </si>
  <si>
    <t>This research used samples provided by the Integrated Ocean Drilling Program and was funded by the Deutsche Forschungsgemeinschaft (grant HO233/1). Karlos G. D. Kochhann received a PhD scholarship from Conselho Nacional de Desenvolvimento Cientifico e Tecnologico (CNPq grant 244926/2013-1), Brazil. Mitch Lyle and Julia Shackford were funded through a US National Science Foundation grant OCE-0962184. We thank two anonymous referees for their constructive comments. Stable isotope data sets are available at the Data Publisher for Earth and Environmental Science (http://www.pangaea.de). XRF elemental and geomagnetic polarity records can be obtained with the original publications cited in the text.</t>
  </si>
  <si>
    <t>10.1002/2016PA002988</t>
  </si>
  <si>
    <t>WOS:000385742500002</t>
  </si>
  <si>
    <t>Shrestha, M; Lunau, K; Dorin, A; Schulze, B; Bischoff, M; Burd, M; Dyer, AG</t>
  </si>
  <si>
    <t>Shrestha, M.; Lunau, K.; Dorin, A.; Schulze, B.; Bischoff, M.; Burd, M.; Dyer, A. G.</t>
  </si>
  <si>
    <t>Floral colours in a world without birds and bees: the plants of Macquarie Island</t>
  </si>
  <si>
    <t>PLANT BIOLOGY</t>
  </si>
  <si>
    <t>Chromatic signal; floral colour; fly pollination; hoverfly (Eristalis); sub-Antarctic island</t>
  </si>
  <si>
    <t>POLLINATION ECOLOGY; FLOWER COLORS; HONEY-BEES; EVOLUTION; DISCRIMINATION; PREFERENCE; PHYLOGENY; SIGNALS; BIOLOGY; VISION</t>
  </si>
  <si>
    <t>We studied biotically pollinated angiosperms on Macquarie Island, a remote site in the Southern Ocean with a predominately or exclusively dipteran pollinator fauna, in an effort to understand how flower colour affects community assembly. We compared a distinctive group of cream-green Macquarie Island flowers to the flora of likely source pools of immigrants and to a continental flora from a high latitude in the northern hemisphere. We used both dipteran and hymenopteran colour models and phylogenetically informed analyses to explore the chromatic component of community assembly. The species with cream-green flowers are very restricted in colour space models of both fly vision and bee vision and represent a distinct group that plays a very minor role in other communities. It is unlikely that such a community could form through random immigration from continental source pools. Our findings suggest that fly pollination has imposed a strong ecological filter on Macquarie Island, favouring floral colours that are rare in continental floras. This is one of the strongest demonstrations that plant-pollinator interactions play an important role in plant community assembly. Future work exploring colour choices by dipteran flower visitors would be valuable.</t>
  </si>
  <si>
    <t>[Shrestha, M.; Dyer, A. G.] RMIT Univ, Sch Media &amp; Commun, Melbourne, Vic 3001, Australia; [Shrestha, M.; Dorin, A.] Monash Univ, Fac Informat Technol, Melbourne, Vic, Australia; [Lunau, K.; Schulze, B.] Univ Dusseldorf, Inst Sinnesokol, Dept Biol, Dusseldorf, Germany; [Bischoff, M.] Univ Darmstadt, Chem Plant Ecol, Darmstadt, Germany; [Burd, M.] Monash Univ, Sch Biol Sci, Melbourne, Vic, Australia; [Dyer, A. G.] Monash Univ, Dept Physiol, Melbourne, Vic, Australia</t>
  </si>
  <si>
    <t>Royal Melbourne Institute of Technology (RMIT); Melbourne Genomics Health Alliance; Monash University; Heinrich Heine University Dusseldorf; Technical University of Darmstadt; Monash University; Melbourne Genomics Health Alliance; Monash University</t>
  </si>
  <si>
    <t>Dyer, AG (corresponding author), RMIT Univ, Sch Media &amp; Commun, Melbourne, Vic 3001, Australia.</t>
  </si>
  <si>
    <t>adrian.dyer@rmit.edu.au</t>
  </si>
  <si>
    <t>Lunau, Klaus/AAL-2532-2021; Shrestha, Mani/P-7045-2015</t>
  </si>
  <si>
    <t>Lunau, Klaus/0000-0001-5184-4201; Shrestha, Mani/0000-0002-6165-8418; Burd, Martin/0000-0002-1175-2596; Dorin, Alan/0000-0002-5456-4835</t>
  </si>
  <si>
    <t>Australian Research Council [DP130100015, DP160100161]</t>
  </si>
  <si>
    <t>We thank Royal Tasmanian Botanical Gardens, Tasmania, Australia, for the samples; and Lorraine Perrins and Natalie Tapson for help sampling MI plants and Image contribution. This research was supported under Australian Research Council's Discovery Projects funding scheme (project numbers DP130100015 and DP160100161).</t>
  </si>
  <si>
    <t>1435-8603</t>
  </si>
  <si>
    <t>1438-8677</t>
  </si>
  <si>
    <t>Plant Biol.</t>
  </si>
  <si>
    <t>10.1111/plb.12456</t>
  </si>
  <si>
    <t>DS8IT</t>
  </si>
  <si>
    <t>WOS:000381027400012</t>
  </si>
  <si>
    <t>Teniswood, CMH; Roberts, D; Howard, WR; Bray, SG; Bradby, JE</t>
  </si>
  <si>
    <t>Teniswood, Clara M. H.; Roberts, Donna; Howard, William R.; Bray, Stephen G.; Bradby, Jodie E.</t>
  </si>
  <si>
    <t>Microstructural shell strength of the Subantarctic pteropod Limacina helicina antarctica</t>
  </si>
  <si>
    <t>Nanoindentation; Calcifying marine organism; Subantarctic</t>
  </si>
  <si>
    <t>OCEAN ACIDIFICATION; SOUTHERN-OCEAN; REDUCED CALCIFICATION; INDENTATION; IMPACT; CARBON; SEA; SEAWATER; BEHAVIOR</t>
  </si>
  <si>
    <t>Anthropogenic inputs of CO2 are changing ocean chemistry and will likely affect calcifying marine organisms, particularly aragonite producers such as pteropods. This work seeks to set a benchmark analysis of pteropod shell properties and variability using nanoindentation and electron microscopy to measure the structural and mechanical properties of Subantarctic pteropod shells (Limacina helicina antarctica) collected in 1998 and 2007. The 1998 shells were collected by a sediment trap deployed at 2000 m, 47 degrees S, 142 degrees E, and the 2007 shells were collected using nets from mixed-layer waters in the region (44 degrees-54 degrees S, 140 degrees-155 degrees E). Transmission electron microscopy revealed that the shells are composed of a polycrystalline structure, and no obvious porosity was visible. The hardness and modulus of the shells were measured using shell cross-section nanoindentation, across various regions of the shell from the inner to outer whorl. No change in mechanical properties was found with respect to the region of the shell cross-section probed. There was no statistically significant difference in the mean modulus or hardness of the shells between the 1998 and 2007 data sets. No major changes in the mechanical properties of these pteropod shells were detected between the 1998 and 2007 data sets, and we discuss the possible biases in the sampling techniques in complicating our analysis. However, quantifying the mechanical properties and microstructure of calcified may still provide insights into the responses of calcification to environmental changes, such as ocean acidification.</t>
  </si>
  <si>
    <t>[Teniswood, Clara M. H.; Bradby, Jodie E.] Australian Natl Univ, Res Sch Phys &amp; Engn, Canberra, ACT 2601, Australia; [Roberts, Donna; Bray, Stephen G.] Univ Tasmania, Antarctic Climate &amp; Ecosyst Cooperat Res Ctr, Private Bag 80, Hobart, Tas 7001, Australia; [Howard, William R.] Univ Melbourne, Sch Earth Sci, Parkville, Vic 3010, Australia</t>
  </si>
  <si>
    <t>Australian National University; Antarctic Climate &amp; Ecosystems Cooperative Research Centre (ACE CRC); University of Tasmania; University of Melbourne</t>
  </si>
  <si>
    <t>Teniswood, CMH (corresponding author), Australian Natl Univ, Res Sch Phys &amp; Engn, Canberra, ACT 2601, Australia.</t>
  </si>
  <si>
    <t>clara.teniswood@gmail.com</t>
  </si>
  <si>
    <t>Bradby, Jodie E/A-8963-2009</t>
  </si>
  <si>
    <t>Bradby, Jodie E/0000-0002-9560-8400; Roberts, Donna/0000-0001-6701-6662</t>
  </si>
  <si>
    <t>Australian Government through the Department of Industry Cooperative Research Centres Program; Australian Antarctic Sciences program (AAS) [1156]; Australian Marine National Facility; Australian Government through the Department of Climate Change; Australian Cooperative Research Centres Program; Australian Antarctic Division (AAS) [2720]; Australian Research Council</t>
  </si>
  <si>
    <t>Australian Government through the Department of Industry Cooperative Research Centres Program(Australian GovernmentDepartment of Industry, Innovation and ScienceCooperative Research Centres (CRC) Programme); Australian Antarctic Sciences program (AAS); Australian Marine National Facility; Australian Government through the Department of Climate Change(Australian Government); Australian Cooperative Research Centres Program(Australian GovernmentDepartment of Industry, Innovation and ScienceCooperative Research Centres (CRC) Programme); Australian Antarctic Division (AAS); Australian Research Council(Australian Research Council)</t>
  </si>
  <si>
    <t>The authors acknowledge Dr. Thomas Trull for the sediment trap samples, which was supported by the Australian Government through the Department of Industry Cooperative Research Centres Program, the Australian Antarctic Sciences program (AAS #1156) and the Australian Marine National Facility. The SAZ-Sense voyage was supported by the Australian Government through the Department of Climate Change, the Australian Cooperative Research Centres Program and the Australian Antarctic Division (AAS Grant #2720). The authors thank Dr. Karsten Goemann and Dr. Sandrin Feig of the Electron Scanning Facility at the Central Science Laboratory, University of Tasmania, for their assistance with the electron microscopy, the ANFF (ACT Node) for use of the FIB, and Dr. Simon Wotherspoon of the Institute for Marine and Antarctic Studies, University of Tasmania, for assistance with the statistical analysis. JEB is funded by an Australian Research Council Future Fellowship.</t>
  </si>
  <si>
    <t>10.1007/s00300-016-1888-z</t>
  </si>
  <si>
    <t>WOS:000384551500012</t>
  </si>
  <si>
    <t>Pichrtová, M; Hájek, T; Elster, J</t>
  </si>
  <si>
    <t>Pichrtova, Martina; Hajek, Tomas; Elster, Josef</t>
  </si>
  <si>
    <t>Annual development of mat-forming conjugating green algae Zygnema spp. in hydro-terrestrial habitats in the Arctic</t>
  </si>
  <si>
    <t>Chlorophyll a fluorescence; Desiccation; Green algae; Stress tolerance; Svalbard; Zygnematophyceae</t>
  </si>
  <si>
    <t>FRESH-WATER ECOSYSTEMS; CHLOROPHYLL FLUORESCENCE; SEASONAL PERIODICITY; ANTARCTIC STRAINS; PHYSICAL FACTORS; OSMOTIC-STRESS; DESICCATION; GROWTH; ZYGNEMATOPHYCEAE; STREPTOPHYTA</t>
  </si>
  <si>
    <t>Conjugating green algae of the genus Zygnema (Zygnematophyceae, Streptophyta) are dominant eukaryotic components of hydro-terrestrial microbial mats in the Arctic. Considering the harsh environmental conditions, the aim of this study was to elucidate mechanisms that enable Zygnema spp. to thrive in this habitat. We hypothesized that changes in morphology, physiological performance, and stress tolerance take place during the annual life cycle of the algae. We thus selected four natural populations of Zygnema spp. on Svalbard and investigated them throughout the vegetation season by means of light microscopy and chlorophyll a fluorescence. Additionally, we also investigated one overwintering population. No formation of specialized resting stages (e.g., dormant zygospores) was observed. Markedly, Zygnema spp. survived harsh periods as modified vegetative cells, i.e., preakinetes. Pre-akinetes tolerate both desiccation during summer and freezing in winter. These cells are not dormant and therefore recover their physiological activity immediately after transfer to favorable conditions, undergoing rapid growth in the early spring. Nevertheless, once pre-akinetes begin to grow, these newly produced vegetative cells lose stress tolerance. Such rapid dehardening explains their high mortality due to frequent freeze-thaw cycles in the early spring. Arctic Zygnema spp. thus face a phenological trade-off between missing the early growing season and experiencing frost damage.</t>
  </si>
  <si>
    <t>[Pichrtova, Martina] Charles Univ Prague, Fac Sci, Dept Bot, Benatska 2, Prague 12801, Czech Republic; [Hajek, Tomas; Elster, Josef] Univ South Bohemia, Fac Sci, Branisovska 1760, Ceske Budejovice 37005, Czech Republic; [Hajek, Tomas; Elster, Josef] Czech Acad Sci, Inst Bot, Dukelska 135, Trebon 37982, Czech Republic</t>
  </si>
  <si>
    <t>Charles University Prague; University of South Bohemia Ceske Budejovice; Czech Academy of Sciences; Institute of Botany of the Czech Academy of Sciences</t>
  </si>
  <si>
    <t>Pichrtová, M (corresponding author), Charles Univ Prague, Fac Sci, Dept Bot, Benatska 2, Prague 12801, Czech Republic.</t>
  </si>
  <si>
    <t>martina.pichrtova@natur.cuni.cz</t>
  </si>
  <si>
    <t>Pichrtová, Martina/N-1298-2014; Elster, Josef/B-1031-2008; Hájek, Tomáš/H-3923-2011</t>
  </si>
  <si>
    <t>Pichrtová, Martina/0000-0002-6003-9666; Hájek, Tomáš/0000-0002-5981-5840; Elster, Josef/0000-0002-4535-5636</t>
  </si>
  <si>
    <t>Czech Science Foundation (GACR) [15-34645L]; Czech Ministry of Education, Youth and Sports [KONTAKT ME 934, INGO LA 341, LM2010009 CzechPolar]; European Social Fund [CZ.1.07/2.2.00/28.0190]; government budget of the Czech Republic; Czech Academy of Sciences [RVO 67985939]</t>
  </si>
  <si>
    <t>Czech Science Foundation (GACR)(Grant Agency of the Czech Republic); Czech Ministry of Education, Youth and Sports(Ministry of Education, Youth &amp; Sports - Czech Republic); European Social Fund(European Social Fund (ESF)); government budget of the Czech Republic; Czech Academy of Sciences(Czech Academy of Sciences)</t>
  </si>
  <si>
    <t>We thank to Kamil Laska for providing map background for a figure showing site location. We also wish to thank Daria Tashyreva for her assistance during field expeditions. This work was supported by the Grant No. 15-34645L of the Czech Science Foundation (GACR), by projects from the Czech Ministry of Education, Youth and Sports (KONTAKT ME 934, INGO LA 341 and LM2010009 CzechPolar), by Project Reg. No. CZ.1.07/2.2.00/28.0190 funded by the European Social Fund and from the government budget of the Czech Republic, and as a long-term research development project of the Czech Academy of Sciences RVO 67985939.</t>
  </si>
  <si>
    <t>10.1007/s00300-016-1889-y</t>
  </si>
  <si>
    <t>WOS:000384551500013</t>
  </si>
  <si>
    <t>González, ML; Urdampilleta, JD; Fasanella, M; Premoli, AC; Chiapella, JO</t>
  </si>
  <si>
    <t>Laura Gonzalez, Maria; Domingo Urdampilleta, Juan; Fasanella, Mariana; Cecilia Premoli, Andrea; Oscar Chiapella, Jorge</t>
  </si>
  <si>
    <t>Distribution of rDNA and polyploidy in Deschampsia antarctica E. Desv. in Antarctic and Patagonic populations</t>
  </si>
  <si>
    <t>Deschampsia antarctica; Karyotype; FISH; Highly repetitive DNA; Polyploidy; Phylogeny</t>
  </si>
  <si>
    <t>RIBOSOMAL DNA SITES; COLOBANTHUS-QUITENSIS; VASCULAR PLANTS; GENETIC DIVERSITY; GENOME EVOLUTION; GRASSES POACEAE; CHROMOSOME; HYBRIDIZATION; FESTUCA; FISH</t>
  </si>
  <si>
    <t>Unlike the Arctic flora, with many flowering plant species offering opportunities to study evolutionary processes, the Antarctic flora offers only two. One of them is the Antarctic grass Deschampsia antarctica E. Desv., whose distribution spans from northern Patagonia (ca. 38 degrees S) down to Alamode Island (ca. 68 degrees S), in the west side of the Antarctic Peninsula. While some aspects of Antarctic plants have been extensively studied (e.g., anatomy, physiology, genetics), little is known about the related Patagonian populations. Particularly in cytogenetics, no single study has focused on continental populations and its relationships with the Antarctic plants. The combination of traditional fluorescent in situ hybridization (FISH) with a phylogenetic framework highlights the importance of cytogenetics in plant evolutionary studies, by allowing comparison of chromosome characters in phylogenetically related individuals. Most used characters for this purpose are the chromosome number, karyotype morphology and patterns of repetitive DNA. These were used to compare distant populations of D. antarctica in a phylogenetic framework, to obtain a first view of the cytogenetic structure of the species along its distribution. Patagonian populations have greater variability in the chromosomal and molecular characters, while Antarctic populations are very alike, hinting at a South American origin hypothesis. A polyploid population is reported for the first time, located on Central Patagonia populations, close to the northern limit of distribution range. Cytogenetic characteristics suggest that hybridization processes could have played an important role in the evolution of the genome of D. antarctica.</t>
  </si>
  <si>
    <t>[Laura Gonzalez, Maria; Domingo Urdampilleta, Juan; Oscar Chiapella, Jorge] Univ Nacl Cordoba, Consejo Nacl Invest Cient &amp; Tecn, Inst Multidisciplinario Biol Vegetal, CC 495, Cordoba, Argentina; [Fasanella, Mariana; Cecilia Premoli, Andrea] Univ Nacl Comahue CRUB, Lab Ecotono, RA-8400 San Carlos De Bariloche, Rio Negro, Argentina</t>
  </si>
  <si>
    <t>National University of Cordoba; Consejo Nacional de Investigaciones Cientificas y Tecnicas (CONICET); Universidad Nacional del Comahue</t>
  </si>
  <si>
    <t>González, ML (corresponding author), Univ Nacl Cordoba, Consejo Nacl Invest Cient &amp; Tecn, Inst Multidisciplinario Biol Vegetal, CC 495, Cordoba, Argentina.</t>
  </si>
  <si>
    <t>mlauragonzalez23@gmail.com</t>
  </si>
  <si>
    <t>Chiapella, Jorge O./AAI-2433-2021; PREMOLI, ANDREA C./JFL-0693-2023</t>
  </si>
  <si>
    <t>Chiapella, Jorge O./0000-0003-1686-1211; Urdampilleta, Juan Domingo/0000-0001-9922-2866</t>
  </si>
  <si>
    <t>CONICET; ANPCyT-FONCyT; SECyT-UNC; ANPCyT-DNA [PICTO 2010-0095]</t>
  </si>
  <si>
    <t>CONICET(Consejo Nacional de Investigaciones Cientificas y Tecnicas (CONICET)); ANPCyT-FONCyT(ANPCyTFONCyT); SECyT-UNC(Secretaria de Ciencia y Tecnologia (SECYT)); ANPCyT-DNA</t>
  </si>
  <si>
    <t>The authors are grateful to CONICET, ANPCyT-FONCyT and SECyT-UNC for financial support and to Direccion Nacional del Antartico and the personnel of the Carlini Station for logistic support for fieldwork in Antarctica. This work was funded by Project PICTO 2010-0095 (ANPCyT-DNA).</t>
  </si>
  <si>
    <t>10.1007/s00300-016-1890-5</t>
  </si>
  <si>
    <t>WOS:000384551500014</t>
  </si>
  <si>
    <t>Landais, A</t>
  </si>
  <si>
    <t>Landais, Amaelle</t>
  </si>
  <si>
    <t>RECONSTRUCTION OF CLIMATE AND ENVIRONMENT OF THE LAST 800 000 YEARS FROM ICE CORES - ORBITAL AND MILLENNIAL VARIABILITY</t>
  </si>
  <si>
    <t>QUATERNAIRE</t>
  </si>
  <si>
    <t>French</t>
  </si>
  <si>
    <t>ice core; termination; dating; water isotopes; air bubbles; Dansgaard-Oeschger; Antarctic; Greenland; Interglacial</t>
  </si>
  <si>
    <t>ANTARCTIC ICE; ATMOSPHERIC CO2; TEMPERATURE RECONSTRUCTION; ISOTOPIC COMPOSITION; INTERGLACIAL PERIOD; CHRONOLOGY AICC2012; GREENLAND CLIMATE; METHANE EMISSIONS; SCALE VARIATIONS; GLOBAL CLIMATE</t>
  </si>
  <si>
    <t>Unique results have been obtained from ice core research over the last 40 years documenting the evolution of polar temperature and atmospheric composition at millennial and orbital timescales over the last 800 000 years. Recent progresses on coherent ice core dating integrated stratigraphic markers as well as a bayesian method. This led to an easy compilation of various ice core records. Moreover, new measurements in polar ice cores and dating improvements enabled one to quantify the phasing between temperature and CO2 concentration in atmosphere. Initial rises in CO2 concentration and Antarctic temperature are synchronous over the last two deglaciations within +/- 200 years. High resolution measurements in ice cores and efforts in relative dating between Greenland and Antarctic have led to an accurate description of the millennial variability of the last glacial period: in addition to the bipolar seesaw mechanism, a regional climate variability has been evidenced in Antarctica. Finally, ice cores are also very useful to document the ice sheet - climate system in a warmer world. Recent reconstructions inferred from Greenland ice cores indeed suggest that the temperature of the last interglacial was 8 degrees C warmer than today in Greenland.</t>
  </si>
  <si>
    <t>[Landais, Amaelle] CNRS CEA UVSQ, UMR 8212, IPSL LSCE, FR-91190 Gif Sur Yvette, France</t>
  </si>
  <si>
    <t>Universite Paris Saclay; CEA; Centre National de la Recherche Scientifique (CNRS); CNRS - National Institute for Earth Sciences &amp; Astronomy (INSU)</t>
  </si>
  <si>
    <t>Landais, A (corresponding author), CNRS CEA UVSQ, UMR 8212, IPSL LSCE, FR-91190 Gif Sur Yvette, France.</t>
  </si>
  <si>
    <t>LANDAIS, Amaelle/0000-0002-5620-5465</t>
  </si>
  <si>
    <t>SOC GEOLOGIQUE FRANCE</t>
  </si>
  <si>
    <t>PARIS</t>
  </si>
  <si>
    <t>77, RUE CLAUDE-BERNARD, PARIS, F-75005, FRANCE</t>
  </si>
  <si>
    <t>1142-2904</t>
  </si>
  <si>
    <t>Quaternaire</t>
  </si>
  <si>
    <t>EC8DO</t>
  </si>
  <si>
    <t>WOS:000388370700002</t>
  </si>
  <si>
    <t>Hogan, KA; Cofaigh, CO; Jennings, AE; Dowdeswell, JA; Hiemstra, JF</t>
  </si>
  <si>
    <t>Hogan, Kelly A.; Cofaigh, Colm O.; Jennings, Anne E.; Dowdeswell, Julian A.; Hiemstra, John F.</t>
  </si>
  <si>
    <t>Deglaciation of a major palaeo-ice stream in Disko Trough, West Greenland</t>
  </si>
  <si>
    <t>Greenland ice sheet; Last glacial maximum; Marine sediment cores; Deglacial lithofacies; Submarine landforms; Grounding-zone wedge; Ice-sheet retreat; Calving bay; West Greenland</t>
  </si>
  <si>
    <t>LAST GLACIAL MAXIMUM; NORTHERN BARENTS SEA; ANTARCTIC PENINSULA; SUBMARINE LANDFORMS; SHEET DYNAMICS; SEISMIC ARCHITECTURE; JAKOBSHAVNS ISBRAE; DISENCHANTMENT BAY; EASTERN GREENLAND; CONTINENTAL-SHELF</t>
  </si>
  <si>
    <t>Recent work has confirmed that grounded ice reached the shelf break in central West Greenland during the Last Glacial Maximum (LGM). Here we use a combination of marine sediment-core data, including glacimarine lithofacies and IRD proxy records, and geomorphological and acoustic facies evidence to examine the nature of and controls on the retreat of a major outlet of the western sector of the Greenland Ice Sheet (GrIS) across the shelf. Retreat of this outlet, which contained the ancestral Jakobshavns Isbra ice stream, from the outer shelf in Disko Trough was rapid and progressed predominantly through iceberg calving, however, minor pauses in retreat (tens of years) occurred on the middle shelf at a trough narrowing forming subtle grounding-zone wedges. By 12.1 cal kyr BP ice had retreated to a basalt escarpment and shallow banks on the inner continental shelf, where it was pinned and stabilised for at least 100 years. During this time the ice margin appears to have formed a calving bay over the trough and melting became an important mechanism of ice-mass loss. Fine-grained sediments (muds) were deposited alternately with IRD-rich sediments (diamictons) forming a characteristic deglacial lithofacies that may be related to seasonal climatic cycles. High influxes of subglacial meltwater, emanating from the nearby ice margins, deposited muddy sediments during the warmer summer months whereas winters were dominated by iceberg calving leading to the deposition of the diamictons. This is the first example of this glacimarine lithofacies from a continental-shelf setting and we suggest that the calving-bay configuration of the ice margin, plus the switching between calving and melting as ablation mechanisms, facilitated its deposition by channelling meltwater and icebergs through the inner trough. The occurrence of a major stillstand on the inner shelf in Disko Trough demonstrates that the ice-dynamical response to local topography was a crucial control on the behaviour of a major outlet in this sector of the GrIS during retreat. (C) 2016 The Authors. Published by Elsevier Ltd.</t>
  </si>
  <si>
    <t>[Hogan, Kelly A.] British Antarctic Survey, Nat Environm Res Council, High Cross, Madingley Rd, Cambridge CB3 0ET, England; [Cofaigh, Colm O.] Univ Durham, Dept Geog, Sci Labs, South Rd, Durham DH1 3LE, England; [Jennings, Anne E.] Univ Colorado, INSTAAR, Boulder, CO 80309 USA; [Jennings, Anne E.] Univ Colorado, Dept Geol Sci, Boulder, CO 80309 USA; [Dowdeswell, Julian A.] Univ Cambridge, Scott Polar Res Inst, Lensfield Rd, Cambridge CB2 1ER, England; [Hiemstra, John F.] Swansea Univ, Coll Sci, Dept Geog, Singleton Pk, Swansea SA2 8PP, W Glam, Wales</t>
  </si>
  <si>
    <t>UK Research &amp; Innovation (UKRI); Natural Environment Research Council (NERC); NERC British Antarctic Survey; Durham University; University of Colorado System; University of Colorado Boulder; University of Colorado System; University of Colorado Boulder; University of Cambridge; Swansea University</t>
  </si>
  <si>
    <t>Hogan, KA (corresponding author), British Antarctic Survey, Nat Environm Res Council, High Cross, Madingley Rd, Cambridge CB3 0ET, England.</t>
  </si>
  <si>
    <t>kelgan@bas.ac.uk</t>
  </si>
  <si>
    <t>Hiemstra, John F/E-4192-2013</t>
  </si>
  <si>
    <t>Dowdeswell, Julian/0000-0003-1369-9482</t>
  </si>
  <si>
    <t>Directorate For Geosciences; Division Of Polar Programs [1203492] Funding Source: National Science Foundation; Natural Environment Research Council [bas0100030, NE/D001986/1, NE/D001951/1] Funding Source: researchfish; NERC [NE/D001951/1, bas0100030, NE/D001986/1] Funding Source: UKRI</t>
  </si>
  <si>
    <t>Directorate For Geosciences; Division Of Polar Programs(National Science Foundation (NSF)NSF - Directorate for Geosciences (GEO)); Natural Environment Research Council(UK Research &amp; Innovation (UKRI)Natural Environment Research Council (NERC)); NERC(UK Research &amp; Innovation (UKRI)Natural Environment Research Council (NERC))</t>
  </si>
  <si>
    <t>10.1016/j.quascirev.2016.01.018</t>
  </si>
  <si>
    <t>WOS:000382409500002</t>
  </si>
  <si>
    <t>Sheldon, C; Jennings, A; Andrews, JT; Cofaigh, CO; Hogan, K; Dowdeswell, JA; Seidenkrantz, MS</t>
  </si>
  <si>
    <t>Sheldon, Christina; Jennings, Anne; Andrews, John T.; Cofaigh, Colm O.; Hogan, Kelly; Dowdeswell, Julian A.; Seidenkrantz, Marit-Solveig</t>
  </si>
  <si>
    <t>Ice stream retreat following the LGM and onset of the west Greenland current in Uummannaq Trough, west Greenland</t>
  </si>
  <si>
    <t>Uummannaq trough; Ice stream retreat; West Greenland current; Foraminifera</t>
  </si>
  <si>
    <t>YOUNGER DRYAS; BENTHIC FORAMINIFERA; JAKOBSHAVN ISBRAE; DISKO BUGT; BAFFIN-ISLAND; BENTHONIC FORAMINIFERA; SUBMARINE LANDFORMS; DISENCHANTMENT BAY; SURFACE SEDIMENTS; HEINRICH EVENTS</t>
  </si>
  <si>
    <t>The deglacial history and oceanography of Uummannaq Trough, central West Greenland continental shelf, was investigated using foraminiferal, sedimentological, and bathymetric records together with a radiocarbon chronology, providing a timeline for the retreat of glacial ice after the Last Glacial Maximum (LGM). To map ice stream retreat, data were collected from cores from the outer UR175-VC45 and JR175-VC43) and inner (JR175-VC42) Uummannaq Trough. A large ice stream, fed by confluent glaciers draining the interior of the Greenland Ice Sheet, extended across the outer shelf during the LGM and was in retreat by 15.0 cal kyr BP. Foraminiferal data indicate that the 'warm' West Greenland Current (WGC) was established prior to 14.0 cal kyr BP, which is the hitherto earliest record of Atlantic Water found on the West Greenland shelf. For each of the cores, foraminifera indicate that ice sheet retreat was followed quickly by incursion of the WGC, suggesting that the warm water may have enhanced ice retreat. Prior to the Younger Dryas cold event, the radiocarbon chronology indicates that the ice sheet retreated to the mid-shelf, where it subsequently stabilised and formed a large grounding-zone wedge (GZW). After the Younger Dryas, around 11.5 cal kyr BP, the ice retreated rapidly from the GZW and into the fjords. (C) 2016 Elsevier Ltd. All rights reserved.</t>
  </si>
  <si>
    <t>[Sheldon, Christina; Seidenkrantz, Marit-Solveig] Aarhus Univ, Ctr Climate Studies, Aarhus, Denmark; [Sheldon, Christina; Seidenkrantz, Marit-Solveig] Aarhus Univ, Arctic Res Ctr, Dept Geosci, Aarhus, Denmark; [Jennings, Anne; Andrews, John T.] Univ Colorado, INSTAAR, Boulder, CO 80309 USA; [Jennings, Anne; Andrews, John T.] Univ Colorado, Dept Geol Sci, Boulder, CO 80309 USA; [Cofaigh, Colm O.] Univ Durham, Dept Geog, Durham, England; [Hogan, Kelly] British Antarctic Survey, High Cross, Madingley Rd, Cambridge, England; [Dowdeswell, Julian A.] Univ Cambridge, Scott Polar Res Inst, Cambridge, England</t>
  </si>
  <si>
    <t>Aarhus University; Aarhus University; University of Colorado System; University of Colorado Boulder; University of Colorado System; University of Colorado Boulder; Durham University; UK Research &amp; Innovation (UKRI); Natural Environment Research Council (NERC); NERC British Antarctic Survey; University of Cambridge</t>
  </si>
  <si>
    <t>Sheldon, C (corresponding author), Aarhus Univ, Ctr Climate Studies, Aarhus, Denmark.;Sheldon, C (corresponding author), Aarhus Univ, Arctic Res Ctr, Dept Geosci, Aarhus, Denmark.</t>
  </si>
  <si>
    <t>christina.sheldon@geo.au.dk</t>
  </si>
  <si>
    <t>Seidenkrantz, Marit-Solveig/A-3451-2012; Seidenkrantz, Marit-Solveig/T-7198-2019</t>
  </si>
  <si>
    <t>Jennings, Anne/0000-0003-3176-2916; Dowdeswell, Julian/0000-0003-1369-9482; Seidenkrantz, Marit-Solveig/0000-0002-1973-5969</t>
  </si>
  <si>
    <t>Natural Environment Research Council [NE/D001986/1, NE/D001951/1, bas0100030] Funding Source: researchfish; Division Of Polar Programs; Directorate For Geosciences [1203492] Funding Source: National Science Foundation; NERC [NE/D001951/1, NE/D001986/1, bas0100030] Funding Source: UKRI</t>
  </si>
  <si>
    <t>Natural Environment Research Council(UK Research &amp; Innovation (UKRI)Natural Environment Research Council (NERC)); Division Of Polar Programs; Directorate For Geosciences(National Science Foundation (NSF)NSF - Directorate for Geosciences (GEO)); NERC(UK Research &amp; Innovation (UKRI)Natural Environment Research Council (NERC))</t>
  </si>
  <si>
    <t>10.1016/j.quascirev.2016.01.019</t>
  </si>
  <si>
    <t>WOS:000382409500003</t>
  </si>
  <si>
    <t>Biskaborn, BK; Subetto, DA; Savelieva, LA; Vakhrameeva, PS; Hansche, A; Herzschuh, U; Klemm, J; Heinecke, L; Pestryakova, LA; Meyer, H; Kuhn, G; Diekmann, B</t>
  </si>
  <si>
    <t>Biskaborn, B. K.; Subetto, D. A.; Savelieva, L. A.; Vakhrameeva, P. S.; Hansche, A.; Herzschuh, U.; Klemm, J.; Heinecke, L.; Pestryakova, L. A.; Meyer, H.; Kuhn, G.; Diekmann, B.</t>
  </si>
  <si>
    <t>Late Quaternary vegetation and lake system dynamics in north-eastern Siberia: Implications for seasonal climate variability</t>
  </si>
  <si>
    <t>Diatoms; Pollen; Summer and winter temperature; Holocene Thermal Maximum; Aquatic and terrestrial ecosystems; Lake-ice cover</t>
  </si>
  <si>
    <t>LENA RIVER DELTA; HOLOCENE ENVIRONMENTS; POLLEN RECORD; ICE COVER; HISTORY; DIATOMS; COMMUNITIES; TEMPERATURE; RECONSTRUCTIONS; PRECIPITATION</t>
  </si>
  <si>
    <t>Although the climate development over the Holocene in the Northern Hemisphere is well known, palaeolimnological climate reconstructions reveal spatiotemporal variability in northern Eurasia. Here we present a multi-proxy study from north-eastern Siberia combining sediment geochemistry, and diatom and pollen data from lake-sediment cores covering the last 38,000 cal. years. Our results show major changes in pyrite content and fragilarioid diatom species distributions, indicating prolonged seasonal lake-ice cover between similar to 13,500 and similar to 8900 cal. years BP and possibly during the 8200 cal. years BP cold event. A pollen-based climate reconstruction generated a mean July temperature of 17.8 degrees C during the Holocene Thermal Maximum (HTM) between similar to 8900 and similar to 4500 cal. years BP. Naviculoid diatoms appear in the late Holocene indicating a shortening of the seasonal ice cover that continues today. Our results reveal a strong correlation between the applied terrestrial and aquatic indicators and natural seasonal climate dynamics in the Holocene. Planktonic diatoms show a strong response to changes in the lake ecosystem due to recent climate warming in the Anthropocene. We assess other palaeolimnological studies to infer the spatiotemporal pattern of the HTM and affirm that the timing of its onset, a difference of up to 3000 years from north to south, can be well explained by climatic teleconnections. The westerlies brought cold air to this part of Siberia until the Laurentide ice sheet vanished 7000 years ago. The apparent delayed ending of the HTM in the central Siberian record can be ascribed to the exceedance of ecological thresholds trailing behind increases in winter temperatures and decreases in contrast in insolation between seasons during the mid to late Holocene as well as lacking differentiation between summer and winter trends in paleolimnological reconstructions. (C) 2015 Elsevier Ltd. All rights reserved.</t>
  </si>
  <si>
    <t>[Biskaborn, B. K.; Hansche, A.; Herzschuh, U.; Klemm, J.; Heinecke, L.; Meyer, H.; Diekmann, B.] Helmholtz Ctr Polar &amp; Marine Res, Alfred Wegener Inst, Potsdam, Germany; [Subetto, D. A.] Russian Acad Sci, Karelian Res Ctr, Northern Water Problems Inst, Petrozavodsk, Russia; [Subetto, D. A.] Herzen State Pedag Univ Russia, St Petersburg, Russia; [Subetto, D. A.] Kazan Volga Fed Univ, Kazan, Russia; [Savelieva, L. A.; Vakhrameeva, P. S.] St Petersburg State Univ, St Petersburg, Russia; [Vakhrameeva, P. S.] Arctic &amp; Antarctic Res Inst, St Petersburg, Russia; [Herzschuh, U.; Diekmann, B.] Univ Potsdam, Potsdam, Germany; [Pestryakova, L. A.] North Eastern Fed Univ Yakutsk, Yakutsk, Russia; [Kuhn, G.] Helmholtz Ctr Polar &amp; Marine Res, Alfred Wegener Inst, Bremerhaven, Germany</t>
  </si>
  <si>
    <t>Helmholtz Association; Alfred Wegener Institute, Helmholtz Centre for Polar &amp; Marine Research; Russian Academy of Sciences; Karelian Research Centre of the Russian Academy of Sciences; Northern Water Problems Institute, Karelian Scientific Center, RAS; Herzen State Pedagogical University of Russia; Kazan Federal University; Saint Petersburg State University; Arctic &amp; Antarctic Research Institute; University of Potsdam; North-Eastern Federal University in Yakutsk; Helmholtz Association; Alfred Wegener Institute, Helmholtz Centre for Polar &amp; Marine Research</t>
  </si>
  <si>
    <t>Biskaborn, BK (corresponding author), Helmholtz Ctr Polar &amp; Marine Res, Alfred Wegener Inst, Potsdam, Germany.</t>
  </si>
  <si>
    <t>boris.biskaborn@awi.de</t>
  </si>
  <si>
    <t>Meyer, Hanno/AAQ-4260-2021; Pestryakova, Luidmila/Q-9900-2016; IPO, PAGES/JXY-7546-2024; Savelieva, Larisa/H-9135-2013; Biskaborn, Boris K./D-2419-2011; Subetto, Dmitry/A-4467-2014</t>
  </si>
  <si>
    <t>Meyer, Hanno/0000-0003-4129-4706; Pestryakova, Luidmila/0000-0001-5347-4478; Biskaborn, Boris K./0000-0003-2378-0348; Herzschuh, Ulrike/0000-0003-0999-1261; Kuhn, Gerhard/0000-0001-6069-7485; Heinecke, Liv/0000-0003-3836-8460; Diekmann, Bernhard/0000-0001-5129-3649; Subetto, Dmitry/0000-0002-3585-8598</t>
  </si>
  <si>
    <t>10.1016/j.quascirev.2015.08.014</t>
  </si>
  <si>
    <t>WOS:000382409500025</t>
  </si>
  <si>
    <t>Dalfior, BM; Roriz, LD; Júnior, RF; de Freitas, AC; da Silva, HE; Carneiro, MTWD; Licinio, MVVJ; Brandao, GP</t>
  </si>
  <si>
    <t>Dalfior, Bruna M.; Roriz, Larissa D.; Junior, Reginaldo F.; de Freitas, Antonio Carlos; da Silva, Heitor E.; Carneiro, Maria Tereza W. D.; Licinio, Marcus Vinicius V. J.; Brandao, Geisamanda P.</t>
  </si>
  <si>
    <t>EVALUATION OF Pb, Cd, Sn, Co, Hg, Mo AND As IN SOIL FROM FILDES PENINSULA - ANTARCTICA</t>
  </si>
  <si>
    <t>soil; Antarctica; trace elements; ICP-MS</t>
  </si>
  <si>
    <t>KING GEORGE ISLAND; TRACE-METALS; CONTAMINATION; SEDIMENTS; STATION; ZN; CU</t>
  </si>
  <si>
    <t>Antarctic Continent is one of the few places that has not been explored at all, but studies show that this place is suffering interference by human activities. Therefore, monitoring of this region becomes very important. After optimization and verification of the methodology, the concentrations of Pb, Cd, Sn, Co, Hg, Mo and As in soil samples collected in the Fildes Peninsula, King George Island, Antarctica, were determined by ICP-MS. The ranges found (mu g kg(-1)) were: for Pb 525.2-2314.1, for Cd 54.8-193.8, for Sn 54.8-193.8, for Co 2095.0-11094.1, for Hg &lt; 2.4-54.6, for Mo 5.3-38.7 and for As 120.3-1297.1. In general, the presence of these elements can be attributed to different factors, such as natural composition of soil, melting process and transport of chemical elements caused by physical phenomena as sea and air currents, besides anthropic contamination. Using enrichment factor was possible suggest contribution by anthropic activities mainly for Co and As. Thus, it is important monitoring the elements levels constantly assisting in environmental protection.</t>
  </si>
  <si>
    <t>[Dalfior, Bruna M.; Roriz, Larissa D.; Junior, Reginaldo F.; Carneiro, Maria Tereza W. D.; Brandao, Geisamanda P.] Univ Fed Espirito Santo, Ctr Ciencias Exatas, Dept Quim, BR-29075910 Vitoria, ES, Spain; [Licinio, Marcus Vinicius V. J.] Univ Fed Espirito Santo, Centro Ciencias Saude, Dept Ciencias Fisiol, BR-29075910 Vitoria, ES, Spain; [de Freitas, Antonio Carlos; da Silva, Heitor E.] Univ Estado Rio de Janeiro, Inst Biol, Dept Biofis &amp; Biometria, BR-20550900 Rio De Janeiro, RJ, Brazil</t>
  </si>
  <si>
    <t>Universidade do Estado do Rio de Janeiro</t>
  </si>
  <si>
    <t>Brandao, GP (corresponding author), Univ Fed Espirito Santo, Ctr Ciencias Exatas, Dept Quim, BR-29075910 Vitoria, ES, Spain.</t>
  </si>
  <si>
    <t>geisamanda@gmail.com</t>
  </si>
  <si>
    <t>Evangelista, Heitor/C-7561-2013; Carneiro, Maria João Alves/HDN-9049-2022; CARNEIRO, MARIA TEREZA/AAW-5566-2020; Carneiro, Maria João Alves/JCE-2044-2023; CARNEIRO, MARIA TEREZA Weitzel Dias/C-6116-2012; Licínio, Marcus VVJ/G-6317-2012; Brandao, Geisamanda/D-1810-2013</t>
  </si>
  <si>
    <t>CARNEIRO, MARIA TEREZA Weitzel Dias/0000-0002-8731-5093; Licinio, Marcus Vinicius/0000-0003-3589-5652; Brandao, Geisamanda/0000-0002-4315-0653</t>
  </si>
  <si>
    <t>10.21577/0100-4042.20160134</t>
  </si>
  <si>
    <t>WOS:000387157800001</t>
  </si>
  <si>
    <t>Bell, JB; Aquilina, A; Woulds, C; Glover, AG; Little, CTS; Reid, WDK; Hepburn, LE; Newton, J; Mills, RA</t>
  </si>
  <si>
    <t>Bell, James B.; Aquilina, Alfred; Woulds, Clare; Glover, Adrian G.; Little, Crispin T. S.; Reid, William D. K.; Hepburn, Laura E.; Newton, Jason; Mills, Rachel A.</t>
  </si>
  <si>
    <t>Geochemistry, faunal composition and trophic structure in reducing sediments on the southwest South Georgia margin</t>
  </si>
  <si>
    <t>methane; Southern Ocean; ecology; assemblage composition; trophodynamics; authigenic carbonates</t>
  </si>
  <si>
    <t>MONTACUTA-FERRUGINOSA MOLLUSCA; AUTHIGENIC CARBONATE FORMATION; COLD-SEEP SEDIMENTS; ANAEROBIC OXIDATION; FATTY-ACIDS; SULFATE REDUCTION; ISOTOPE FRACTIONATION; HYDROTHERMAL VENT; MARINE-SEDIMENTS; STABLE-ISOTOPES</t>
  </si>
  <si>
    <t>Despite a number of studies in areas of focused methane seepage, the extent of transitional sediments of more diffuse methane seepage, and their influence upon biological communities is poorly understood. We investigated an area of reducing sediments with elevated levels of methane on the South Georgia margin around 250 m depth and report data from a series of geochemical and biological analyses. Here, the geochemical signatures were consistent with weak methane seepage and the role of sub-surface methane consumption was clearly very important, preventing gas emissions into bottom waters. As a result, the contribution of methane-derived carbon to the microbial and metazoan food webs was very limited, although sulfur isotopic signatures indicated a wider range of dietary contributions than was apparent from carbon isotope ratios. Macrofaunal assemblages had high dominance and were indicative of reducing sediments, with many taxa common to other similar environments and no seep-endemic fauna, indicating transitional assemblages. Also similar to other cold seep areas, there were samples of authigenic carbonate, but rather than occurring as pavements or sedimentary concretions, these carbonates were restricted to patches on the shells of Axinulus antarcticus (Bivalvia, Thyasiridae), which is suggestive of microbe-metazoan interactions.</t>
  </si>
  <si>
    <t>[Bell, James B.; Woulds, Clare] Univ Leeds, Sch Geog &amp; Water Leeds, Leeds LS2 9JT, W Yorkshire, England; [Little, Crispin T. S.] Univ Leeds, Sch Earth &amp; Environm, Leeds LS2 9JT, W Yorkshire, England; [Bell, James B.; Glover, Adrian G.] Nat Hist Museum, Life Sci, Cromwell Rd, London SW7 5BD, England; [Aquilina, Alfred; Hepburn, Laura E.; Mills, Rachel A.] Univ Southampton, Ocean &amp; Earth Sci, Natl Oceanog Ctr Southampton, Southampton SO14 3ZH, Hants, England; [Reid, William D. K.] Newcastle Univ, Sch Biol, Ridley Bldg, Newcastle Upon Tyne NE1 7RU, Tyne &amp; Wear, England; [Newton, Jason] SUERC, NERC Life Sci Mass Spectrometry Facil, E Kilbride G75 0QF, Lanark, Scotland</t>
  </si>
  <si>
    <t>University of Leeds; University of Leeds; Natural History Museum London; NERC National Oceanography Centre; University of Southampton; Newcastle University - UK; Scottish Universities Research &amp; Reactor Center; UK Research &amp; Innovation (UKRI); Natural Environment Research Council (NERC)</t>
  </si>
  <si>
    <t>Bell, JB (corresponding author), Univ Leeds, Sch Geog &amp; Water Leeds, Leeds LS2 9JT, W Yorkshire, England.;Bell, JB (corresponding author), Nat Hist Museum, Life Sci, Cromwell Rd, London SW7 5BD, England.</t>
  </si>
  <si>
    <t>gyjbb@leeds.ac.uk</t>
  </si>
  <si>
    <t>Hepburn, Laura/AAW-4324-2021; Newton, Jason/A-9536-2009; Mills, Rachel/A-1150-2011; Reid, William/J-8528-2013</t>
  </si>
  <si>
    <t>Newton, Jason/0000-0001-7594-3693; Hepburn, Laura/0000-0003-3336-5340; Little, Crispin/0000-0002-1917-4460; Mills, Rachel/0000-0002-9811-246X; Reid, William/0000-0003-0190-0425</t>
  </si>
  <si>
    <t>NERC ChEsSo consortium (Chemosynthetically driven Ecosystems South of the Polar Front, NERC grant) [NE/DOI249X/I]; NERC [NE/L501542/1]; NERC Life Sciences Mass Spectrometry Facility [EK246-01/15]; Natural Environment Research Council [NE/F017197/1, NE/H004394/1, lsmsf010002, 1354643] Funding Source: researchfish; NERC [NE/F017197/1, NE/H004394/1, lsmsf010002] Funding Source: UKRI</t>
  </si>
  <si>
    <t>NERC ChEsSo consortium (Chemosynthetically driven Ecosystems South of the Polar Front, NERC grant)(UK Research &amp; Innovation (UKRI)Natural Environment Research Council (NERC)); NERC(UK Research &amp; Innovation (UKRI)Natural Environment Research Council (NERC)); NERC Life Sciences Mass Spectrometry Facility; Natural Environment Research Council(UK Research &amp; Innovation (UKRI)Natural Environment Research Council (NERC)); NERC(UK Research &amp; Innovation (UKRI)Natural Environment Research Council (NERC))</t>
  </si>
  <si>
    <t>This work was funded by the NERC ChEsSo consortium (Chemosynthetically driven Ecosystems South of the Polar Front, NERC grant no. NE/DOI249X/I). C.W. was supported by a bursary from Antarctic Science Ltd. J.B.B. was funded by an NERC PhD Studentship (NE/L501542/1). Isotopic analyses were funded by the NERC Life Sciences Mass Spectrometry Facility (EK246-01/15).</t>
  </si>
  <si>
    <t>10.1098/rsos.160284</t>
  </si>
  <si>
    <t>EE0AW</t>
  </si>
  <si>
    <t>Green Accepted, gold, Green Published</t>
  </si>
  <si>
    <t>WOS:000389236700014</t>
  </si>
  <si>
    <t>Boschetti, F; Cvitanovic, C; Fleming, A; Fulton, E</t>
  </si>
  <si>
    <t>Boschetti, Fabio; Cvitanovic, Christopher; Fleming, Aysha; Fulton, Elisabeth</t>
  </si>
  <si>
    <t>A call for empirically based guidelines for building trust among stakeholders in environmental sustainability projects</t>
  </si>
  <si>
    <t>SUSTAINABILITY SCIENCE</t>
  </si>
  <si>
    <t>SOCIAL-CONTRACT; KNOWLEDGE EXCHANGE; ADAPTATION; NETWORKS; ENGAGEMENT; SCIENCE; RISKS</t>
  </si>
  <si>
    <t>[Boschetti, Fabio; Fleming, Aysha; Fulton, Elisabeth] Commonwealth Sci &amp; Ind Org, Canberra, ACT, Australia; [Boschetti, Fabio] Univ Western Australia, Sch Earth &amp; Geog Sci, Perth, WA, Australia; [Cvitanovic, Christopher; Fleming, Aysha; Fulton, Elisabeth] Univ Tasmania, Inst Marine &amp; Antarctic Studies, Ctr Marine Socioecol, Hobart, Tas, Australia; [Cvitanovic, Christopher] Univ Tasmania, Fac Law, Hobart, Tas, Australia</t>
  </si>
  <si>
    <t>Commonwealth Scientific &amp; Industrial Research Organisation (CSIRO); University of Western Australia; University of Tasmania; University of Tasmania</t>
  </si>
  <si>
    <t>Boschetti, F (corresponding author), Commonwealth Sci &amp; Ind Org, Canberra, ACT, Australia.;Boschetti, F (corresponding author), Univ Western Australia, Sch Earth &amp; Geog Sci, Perth, WA, Australia.</t>
  </si>
  <si>
    <t>Fabio.Boschetti@csiro.au</t>
  </si>
  <si>
    <t>Fulton, Beth/AAJ-1398-2021; Fleming, Aysha/E-8753-2011; Fulton, Beth/A-2871-2008; Boschetti, Fabio/A-1607-2015</t>
  </si>
  <si>
    <t>Fulton, Beth/0000-0002-5904-7917; Fleming, Aysha/0000-0001-9895-1928; Boschetti, Fabio/0000-0001-8999-6913; Cvitanovic, Christopher/0000-0002-2565-3396</t>
  </si>
  <si>
    <t>1862-4065</t>
  </si>
  <si>
    <t>1862-4057</t>
  </si>
  <si>
    <t>SUSTAIN SCI</t>
  </si>
  <si>
    <t>Sustain. Sci.</t>
  </si>
  <si>
    <t>10.1007/s11625-016-0382-4</t>
  </si>
  <si>
    <t>Green &amp; Sustainable Science &amp; Technology; Environmental Sciences</t>
  </si>
  <si>
    <t>Science &amp; Technology - Other Topics; Environmental Sciences &amp; Ecology</t>
  </si>
  <si>
    <t>DT6OH</t>
  </si>
  <si>
    <t>WOS:000381603100010</t>
  </si>
  <si>
    <t>Dayton, P; Jarrell, S; Kim, S; Thrush, S; Hammerstrom, K; Slattery, M; Parnell, E</t>
  </si>
  <si>
    <t>Dayton, Paul; Jarrell, Shannon; Kim, Stacy; Thrush, Simon; Hammerstrom, Kamille; Slattery, Marc; Parnell, Edward</t>
  </si>
  <si>
    <t>Surprising episodic recruitment and growth of Antarctic sponges: Implications for ecological resilience</t>
  </si>
  <si>
    <t>Antarctica; Sponges; Recruitment; Time-series; Resilience</t>
  </si>
  <si>
    <t>MCMURDO-SOUND; BENTHIC COMMUNITIES; SPECIES COMPOSITION; CLIMATE-CHANGE; COMPETITION; PATTERNS; ICE; PREDATORS; ECOSYSTEM; CORALS</t>
  </si>
  <si>
    <t>Sponges are the most conspicuous component of the Antarctic benthic ecosystem, a system under stress both from climate change and fishing activities. Observations over four decades are compiled and reveal extremely episodic sponge recruitment and growth. Recruitment occurred under different oceanographic conditions on both sides of McMurdo Sound. Most of the sponges appear to have recruited in the late 1990s-2000. Observations from 2000 to 2010 follow thirty years of relative stasis with very little sponge recruitment or growth followed by a general pattern of recruitment by some forty species of sponges. That there was almost no recruitment observed on natural substrata emphasizes the contrast between potential and realized recruitment This unique data set was derived from a region noted for physical stasis, but the episodic ecological phenomena highlight the importance of rare events. Against a background of intermittent food resources and the low metabolic costs of stasis, understanding the causes of irregular larval supply, dispersal processes, recruitment success and survivorship becomes critical to predicting ecosystem dynamics and resilience in response to increasing environmental change. Our time-series emphasizes that long-term data collection is essential for meaningful forecasts about environmental change in the unique benthic ecosystems of the Antarctic shelf. (C) 2016 Elsevier B.V. All rights reserved.</t>
  </si>
  <si>
    <t>[Dayton, Paul; Jarrell, Shannon; Parnell, Edward] Scripps Inst Oceanog, La Jolla, CA 92075 USA; [Kim, Stacy; Hammerstrom, Kamille] Moss Landing Marine Labs, Pob 450, Moss Landing, CA 95039 USA; [Thrush, Simon] Univ Auckland, Inst Marine Sci, Private Bag 92019, Auckland 1142, New Zealand; [Slattery, Marc] Univ Alabama Birmingham, Dept Biol Sci, Birmingham, AL 35294 USA; [Slattery, Marc] Univ Mississippi, Dept BioMol Sci, Div Environm Toxicol, POB 1848, University, MS 38677 USA; [Slattery, Marc] Univ Mississippi, Dept BioMol Sci, Div Pharmacognosy, POB 1848, University, MS 38677 USA</t>
  </si>
  <si>
    <t>University of California System; University of California San Diego; Scripps Institution of Oceanography; Moss Landing Marine Laboratories; University of Auckland; University of Alabama System; University of Alabama Birmingham; University of Mississippi; University of Mississippi</t>
  </si>
  <si>
    <t>Dayton, P (corresponding author), Scripps Inst Oceanog, La Jolla, CA 92075 USA.</t>
  </si>
  <si>
    <t>pdayton@ucsd.edu</t>
  </si>
  <si>
    <t>Thrush, Simon/0000-0002-4005-3882; Hammerstrom, Kamille/0000-0002-1177-5552</t>
  </si>
  <si>
    <t>National Science Foundation; NSF [ANT-0852064]; NSF EAGER grant [PLR-1355533]; Directorate For Geosciences; Office of Polar Programs (OPP) [0944747] Funding Source: National Science Foundation; Office of Polar Programs (OPP); Directorate For Geosciences [1355533] Funding Source: National Science Foundation</t>
  </si>
  <si>
    <t>National Science Foundation(National Science Foundation (NSF)); NSF(National Science Foundation (NSF)); NSF EAGER grant(National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</si>
  <si>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Thanks to Jim Mastro for visibility data in 1994. This paper rests on the data collected in 2010 and we acknowledge with thanks the hard work by the SCINI crew: Julie Barber, David Burnett, Jennifer Fisher, Kevin O'Connor, DJ Osborne, Tina Sanders, and Bob Zook. For taxonomic assistance over the years we thank Jerry Bakus, Dagmar Barthol, Pat Bergquist, Christian Goecke, Dorte Janussen, Vladimir Koltun, Henry Reiswig, Ole Tendel, and Rob van Soest. For photographic contributions here and the supplements, we thank G. Robilliard, J. Mastro, K. Conlan, R. Robbins, S. Rupp, A. Thurber, J. Fisher, J. Barber, K. O'Connor, Shawn Harper, Adam Marsh, and Bruce Miller. We thank Peter Brueggeman for his support and help over many years. This material is based upon work supported by the National Science Foundation over 40 years. We acknowledge the visionary leadership of G. A. Llano in the 1960s and 1970s and R.L. Marinelli and S. Twombly for recognizing the value of long-term data sets and taking a chance on this project with NSF grant ANT-0852064. This paper would not have been written without an NSF EAGER grant PLR-1355533 greatly facilitated by C.D. Amsler. Any opinions, findings, and conclusions or recommendations expressed in this publication are those of the authors and do not necessarily reflect the views of the National Science Foundation.</t>
  </si>
  <si>
    <t>10.1016/j.jembe.2016.05.001</t>
  </si>
  <si>
    <t>DQ7EW</t>
  </si>
  <si>
    <t>WOS:000379370700005</t>
  </si>
  <si>
    <t>Jena, B</t>
  </si>
  <si>
    <t>Jena, Babula</t>
  </si>
  <si>
    <t>Satellite remote sensing of the island mass effect on the Sub-Antarctic Kerguelen Plateau, Southern Ocean</t>
  </si>
  <si>
    <t>FRONTIERS OF EARTH SCIENCE</t>
  </si>
  <si>
    <t>island mass effect; Antarctic Circumpolar Current; Aqua-MODIS; SeaWiFS</t>
  </si>
  <si>
    <t>MESOSCALE IRON ENRICHMENT; PHYTOPLANKTON BLOOM; COMMUNITY COMPOSITION; SEA-ICE; WATERS; FERTILIZATION; DISTRIBUTIONS; WAKE; TEMPERATURE; IRRADIANCE</t>
  </si>
  <si>
    <t>The presence of the Kerguelen Plateau and surrounding bathymetric features has a strong influence on the persistently eastward flowing Antarctic Circumpolar Current (ACC), resulting in enhancement of surface chlorophyll-a (Chl-a) in the downstream section of the plateau along the polar front (PF). The phenomenon is reported in this paper as the island mass effect (IME). Analysis of climatological Chl-a datasets from Aqua- Moderate Resolution Imaging Spectroradiometer (Aqua- MODIS) and Sea-viewing Wide Field-of-view Sensor (SeaWiFS) shows distinct bloomy plumes (Chl-a &gt; 0.5 mg/m(3)) during austral spring-summer spreading as far as similar to 1800 km offshore up to 98A degrees E along the downstream of the north Kerguelen Plateau (NKP). Similar IME phenomena is apparent over the south Kerguelen Plateau (SKP) with the phytoplankton bloom extending up to 96.7A degrees E, along the southern boundary of ACC. The IME phenomena are pronounced only during austral spring-summer period with the availability of light and sedimentary source of iron from shallow plateau to sea surface that fertilizes the mixed layer. The NKP bloom peaks with a maximum areal extent of 1.315 million km(2) during December, and the SKP bloom peaks during January with a time lag of one month. The blooms exist for at least 4 months of a year and are significant both as the base of regional food web and for regulating the biogeochemical cycle in the Southern Ocean. Even though the surface water above the Kerguelen Plateau is rich in Chl-a, an exception of an oligotrophic condition dominated between NKP and SKP due to apparent intrusion of iron limited low phytoplankton regime waters from the Enderby basin through the northeastward Fawn Trough Current.</t>
  </si>
  <si>
    <t>[Jena, Babula] Minist Earth Sci MoES, ESSO Natl Ctr Antarct &amp; Ocean Res, Headland Sada 403804, Goa, India</t>
  </si>
  <si>
    <t>Ministry of Earth Sciences (MoES) - India; National Centre for Polar and Ocean Research (NCPOR)</t>
  </si>
  <si>
    <t>Jena, B (corresponding author), Minist Earth Sci MoES, ESSO Natl Ctr Antarct &amp; Ocean Res, Headland Sada 403804, Goa, India.</t>
  </si>
  <si>
    <t>jena_ocean@yahoo.co.in</t>
  </si>
  <si>
    <t>2095-0195</t>
  </si>
  <si>
    <t>2095-0209</t>
  </si>
  <si>
    <t>FRONT EARTH SCI-PRC</t>
  </si>
  <si>
    <t>Front. Earth Sci.</t>
  </si>
  <si>
    <t>10.1007/s11707-016-0561-8</t>
  </si>
  <si>
    <t>DQ3BF</t>
  </si>
  <si>
    <t>WOS:000379077000007</t>
  </si>
  <si>
    <t>Clements, AR; Suter, PJ; Fussell, M; Silvester, E</t>
  </si>
  <si>
    <t>Clements, A. R.; Suter, P. J.; Fussell, M.; Silvester, E.</t>
  </si>
  <si>
    <t>Macroinvertebrate communities in spring-fed alpine source pools</t>
  </si>
  <si>
    <t>HYDROBIOLOGIA</t>
  </si>
  <si>
    <t>Alpine; Aquatic macroinvertebrates; Source pools; Thermal regime; Bryophytes; Groundwater springs; Australian Alps</t>
  </si>
  <si>
    <t>BOGONG HIGH-PLAINS; SURFACE WATERS; FAUNA; VEGETATION; CHEMISTRY; CRUSTACEA; DYNAMICS; INVERTEBRATES; HYDROGEOLOGY; BIODIVERSITY</t>
  </si>
  <si>
    <t>Three permanent alpine springs and their associated pools in the Australian Alps were studied over a summer season to understand their hydrochemical function and characterise the (previously unreported) aquatic macroinvertebrate communities. These source pools represent an extremely limited habitat within Australian alpine peatlands and are likely vulnerable to groundwater flow changes associated with climate change. The pools provide an extremely stable habitat for 30 macroinvertebrate taxa in the harsh alpine environment with near chemostatic conditions and pool temperatures constrained to 5.6-6.3A degrees C despite air temperatures varying between -4.5A degrees C and 30.6A degrees C. Although small in area source pools have a significant effect on nitrate concentrations (decreases) and pH (increases) of waters flowing to downstream Sphagnum-dominated peatlands. The macroinvertebrate communities were distinctly different to that found in peatlands and headwater streams and were dominated by the amphipod Austrocrangonyx sp. (76.6% of total abundance), despite the low pH conditions (pH 5.27-5.56). Some of the macroinvertebrate taxa (Nannochorista, Anzacladius, and Parochlus) have a Gondwanan and circum-Antarctic distribution, similar to the bryophytes that also occur in these pools (Bartramia and Blindia). These source pools contribute to the diversity of alpine fauna and should be separately recognised and protected.</t>
  </si>
  <si>
    <t>[Clements, A. R.; Suter, P. J.; Fussell, M.; Silvester, E.] La Trobe Univ, Dept Ecol, Res Ctr Appl Alpine Ecol, Environm &amp; Evolut, Albury Wodonga Campus, Wodonga, Vic 3690, Australia; [Clements, A. R.] Charles Sturt Univ, Inst Land Water &amp; Soc, Albury, NSW 2640, Australia</t>
  </si>
  <si>
    <t>La Trobe University; Charles Sturt University</t>
  </si>
  <si>
    <t>Suter, PJ (corresponding author), La Trobe Univ, Dept Ecol, Res Ctr Appl Alpine Ecol, Environm &amp; Evolut, Albury Wodonga Campus, Wodonga, Vic 3690, Australia.</t>
  </si>
  <si>
    <t>p.suter@latrobe.edu.au</t>
  </si>
  <si>
    <t>Silvester, Ewen/0000-0001-8467-7657; Suter, Phillip/0000-0002-6116-2885</t>
  </si>
  <si>
    <t>0018-8158</t>
  </si>
  <si>
    <t>1573-5117</t>
  </si>
  <si>
    <t>Hydrobiologia</t>
  </si>
  <si>
    <t>10.1007/s10750-016-2770-2</t>
  </si>
  <si>
    <t>DQ2GG</t>
  </si>
  <si>
    <t>WOS:000379019900009</t>
  </si>
  <si>
    <t>Cho, Y; Sugita, S; Miura, YN; Okazaki, R; Iwata, N; Morota, T; Kameda, S</t>
  </si>
  <si>
    <t>Cho, Yuichiro; Sugita, Seiji; Miura, Yayoi N.; Okazaki, Ryuji; Iwata, Naoyoshi; Morota, Tomokatsu; Kameda, Shingo</t>
  </si>
  <si>
    <t>An in-situ K-Ar isochron dating method for planetary landers using a spot-by-spot laser-ablation technique</t>
  </si>
  <si>
    <t>PLANETARY AND SPACE SCIENCE</t>
  </si>
  <si>
    <t>In-situ geochronology; K-Ar dating; Planetary missions; Laser-induced breakdown spectroscopy; Noble gas mass spectrometry</t>
  </si>
  <si>
    <t>GALE CRATER; MARS; CHRONOLOGY; ORIGIN; AGES; MASS; STRATIGRAPHY; EVOLUTION; MOON; GEOCHRONOLOGY</t>
  </si>
  <si>
    <t>Age is essential information for interpreting the geologic record on planetary surfaces. Although crater counting has been widely used to estimate the planetary surface ages, crater chronology in the inner solar system is largely built on radiometric age data from limited sites on the Moon. This has resulted in major uncertainty in planetary chronology. Because opportunities for sample-return missions are limited, in-situ geochronology measurements from one-way lander/rover missions are extremely valuable. Here we developed an in-situ isochron-based dating method using the K-Ar system, with K and Ar in a single rock sample extracted locally by laser ablation and measured using laser-induced breakdown spectroscopy (LIBS) and a quadrupole mass spectrometer (QMS), respectively. We built an experimental system combining flight equivalent instruments and measured K-Ar ages for mineral samples with known ages (similar to 1.8 Ga) and K contents (1-8 wt%); we achieved precision of 20% except for a mineral with low mechanical strength. Furthermore, validation measurements with two natural rocks (gneiss slabs) obtained K-Ar isochron ages and initial Ar-40 consistent with known values for both cases. This result supports that our LIBS-MS approach can derive both isochron ages and contributions of non-in situ radiogenic Ar-40 from natural rocks. Error assessments suggest that the absolute ages of key geologic events including the Noachian/Hesperian- and the Hesperian/Amazonian-transition can be dated with 10-20% errors for a rock containing similar to 1 wt% K2O, greatly reducing the uncertainty of current crater chronology models on Mars. (C) 2016 Elsevier Ltd. All rights reserved.</t>
  </si>
  <si>
    <t>[Cho, Yuichiro; Sugita, Seiji] Univ Tokyo, Dept Earth &amp; Planetary Sci, Bunkyo Ku, 7-3-1 Hongo, Tokyo 1130033, Japan; [Cho, Yuichiro; Kameda, Shingo] Rikkyo Univ, Dept Phys, Toshima Ku, 3-34-1 Nishi Ikebukuro, Tokyo 1718501, Japan; [Miura, Yayoi N.] Univ Tokyo, Earthquake Res Inst, Bunkyo Ku, 1-1-1 Yayoi, Tokyo 1130032, Japan; [Okazaki, Ryuji] Kyushu Univ, Dept Earth &amp; Planetary Sci, Nishi Ku, 744 Motooka, Fukuoka 8190395, Japan; [Iwata, Naoyoshi] Yamagata Univ, Dept Earth &amp; Environm Sci, 1-4-12 Kojirakawa, Yamagata 9908560, Japan; [Morota, Tomokatsu] Nagoya Univ, Dept Earth &amp; Planetary Sci, Chikusa Ku, Nagoya, Aichi 4648601, Japan; [Cho, Yuichiro] NASA, Marshall Space Flight Ctr, 320 Sparkman Dr, Huntsville, AL 35805 USA</t>
  </si>
  <si>
    <t>University of Tokyo; Rikkyo University; University of Tokyo; Kyushu University; Yamagata University; Nagoya University; National Aeronautics &amp; Space Administration (NASA); NASA Marshall Space Flight Center</t>
  </si>
  <si>
    <t>Cho, Y (corresponding author), Rikkyo Univ, Dept Phys, Toshima Ku, 3-34-1 Nishi Ikebukuro, Tokyo 1718501, Japan.</t>
  </si>
  <si>
    <t>cho@rikkyo.ac.jp</t>
  </si>
  <si>
    <t>Sugita, Seiji/GQI-1142-2022; Iwata, Naoyoshi/B-7554-2008</t>
  </si>
  <si>
    <t>Sugita, Seiji/0000-0001-6076-3614; Iwata, Naoyoshi/0000-0002-0017-9130</t>
  </si>
  <si>
    <t>Institute of Space and Aeronautical Science (ISAS)/Japan Aerospace Exploration Agency (JAXA); Japan Society for the Promotion of Science (JSPS) [26247092]; JSPS [15K17796]; Grants-in-Aid for Scientific Research [26247092, 15K17796] Funding Source: KAKEN</t>
  </si>
  <si>
    <t>Institute of Space and Aeronautical Science (ISAS)/Japan Aerospace Exploration Agency (JAXA); Japan Society for the Promotion of Science (JSPS)(Ministry of Education, Culture, Sports, Science and Technology, Japan (MEXT)Japan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</si>
  <si>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authors are grateful to two anonymous reviewers whose careful reading of this paper led to a number of significant improvements. This study was supported by funds from the Institute of Space and Aeronautical Science (ISAS)/Japan Aerospace Exploration Agency (JAXA) and by Japan Society for the Promotion of Science (JSPS) Grant-in-Aid in Scientific Research Grant Number 26247092. Y. Cho was supported by JSPS Grant-in-Aid for Young Scientists (B.) Grant Number 15K17796. The authors thank Keisuke Nagao of the University of Tokyo for providing the mineral samples. We would like to thank Takahiko Yagi, Ehime University, and Hirotada Goto, the University of Tokyo for assistance in making the pellet samples with a cubic press at the Institute of Solid State Physics, the University of Tokyo. The authors thank Naoto Ishikawa of Kyoto University and the 41st and 42nd Japanese Antarctic Research Expedition Program for acquiring the gneiss samples. Asako Takamasa in Japan Agency for Marine-Earth Science and Technology (JAMSTEC) is acknowledged for separating biotites from the gneiss rocks. We are thankful to Kenji Mibe at Earthquake Research Institute, the University of Tokyo, for preparing a basaltic glass sample used for Ar measurements. All data and programs used for producing the results in this paper are available from the lead author on request (cho@rikkyo.ac.jp).</t>
  </si>
  <si>
    <t>0032-0633</t>
  </si>
  <si>
    <t>PLANET SPACE SCI</t>
  </si>
  <si>
    <t>Planet Space Sci.</t>
  </si>
  <si>
    <t>10.1016/j.pss.2016.05.004</t>
  </si>
  <si>
    <t>DQ1LA</t>
  </si>
  <si>
    <t>WOS:000378961300002</t>
  </si>
  <si>
    <t>Kubicki, M; Odzimek, A; Neska, M</t>
  </si>
  <si>
    <t>Kubicki, Marek; Odzimek, Anna; Neska, Mariusz</t>
  </si>
  <si>
    <t>Relationship of ground-level aerosol concentration and atmospheric electric field at three observation sites in the Arctic, Antarctic and Europe</t>
  </si>
  <si>
    <t>ATMOSPHERIC RESEARCH</t>
  </si>
  <si>
    <t>Atmospheric aerosols; Atmospheric measurements; Atmospheric electricity; Fair-weather; Electric field; Potential gradient; Global atmospheric electric circuit; Planetary boundary layer</t>
  </si>
  <si>
    <t>DIURNAL-VARIATIONS; GEOELECTRIC FIELD; CONDUCTIVITY; REGION; AIR; CIRCUIT; STATION</t>
  </si>
  <si>
    <t>Aerosol number concentrations in the particle size range from similar to 10 nm to 1 mu m and vertical electric field strength in the surface layer was measured between September 2012 and December 2013 at three observation, sites: mid latitude station Swider, Poland, and, for the first time, in Hornsund in the Arctic, Spitsbergen, and the Antarctic Arctowski station in the South Shetland Islands. The measurements of aerosol concentrations have been performed simultaneously with measurements of the electric field with the aim to assess the local effect of aerosol on the electric field E-z near the ground at the three stations which at present form a network of atmospheric electricity observatories. Measurements have been made regardless of weather conditions at Swider and Arctowski station and mostly on fair-weather days at Hornsund station. The monthly mean particle number concentrations varied between 580 and 2100 particles cm(-3) at Arctowski, between 90 and 1270 particles cm(-3) in Hornsund, and between 6700 and 14,000 particles cm(-3) in the middle latitude station Swider. Average diurnal variations of the ground-level electric field E-z and particle number concentrations in fair-weather conditions were independent of each other for Arctowski and Hornsund stations. At Swider station the diurnal variation is usually characterized by an increase of aerosol concentration in the evening which results in the increased electric field. The assumption of neglecting the influence of varying aerosol concentration on the variation of the electric field in the polar regions, often adopted in studies, is confirmed here by the observations at Arctowski and Hornsund. The results of aerosol observations are also compared with modelled aerosol concentrations for global atmospheric electric circuit models. (C) 2016 Elsevier B.V. All rights reserved.</t>
  </si>
  <si>
    <t>[Kubicki, Marek; Odzimek, Anna; Neska, Mariusz] Polish Acad Sci, Inst Geophys, Ksiecia Janusza 64, PL-01452 Warsaw, Poland</t>
  </si>
  <si>
    <t>Polish Academy of Sciences; Institute of Geophysics of the Polish Academy of Sciences</t>
  </si>
  <si>
    <t>Kubicki, M (corresponding author), Polish Acad Sci, Inst Geophys, Ksiecia Janusza 64, PL-01452 Warsaw, Poland.</t>
  </si>
  <si>
    <t>swider@igf.edu.pl</t>
  </si>
  <si>
    <t>Odzimek, Anna/AAG-2364-2020</t>
  </si>
  <si>
    <t>Odzimek, Anna/0000-0003-3490-5257; Kubicki, Marek/0000-0001-8664-4939</t>
  </si>
  <si>
    <t>Polish National Science Centre [NCN-2011/01/B/ST10/07118]; Ministry of Science and Higher Education of Poland [3841/E-41/S/2013]</t>
  </si>
  <si>
    <t>Polish National Science Centre; Ministry of Science and Higher Education of Poland(Ministry of Science and Higher Education, Poland)</t>
  </si>
  <si>
    <t>This work has been supported by Polish National Science Centre grant number NCN-2011/01/B/ST10/07118, awarded to the Institute of Geophysics, Polish Academy of Sciences. Atmospheric electricity observations at Swider and Hornsund have been supported within the statutory activities of Institute of Geophysics, PAS, grant No 3841/E-41/S/2013 of the Ministry of Science and Higher Education of Poland. Credits are also to the Institute of Biochemistry and Biophysics, Polish Academy of Sciences, for providing access to the observation site and operating the measurements of the atmospheric ground-level electric field at Henryk Arctowski Polish Antarctic Station and for providing meteorological and aerosol concentration data. The authors would like to thank Maciej Benedyk and Miroslaw Szumny who performed the measurements at Stanislaw Siedlecki Polish Polar Station in Hornsund, and Sylwia Lukawska and Emil Kasprzyk who performed the measurements at Polish Arctowski Antarctic Station.</t>
  </si>
  <si>
    <t>0169-8095</t>
  </si>
  <si>
    <t>1873-2895</t>
  </si>
  <si>
    <t>ATMOS RES</t>
  </si>
  <si>
    <t>Atmos. Res.</t>
  </si>
  <si>
    <t>10.1016/j.atmosres.2016.03.029</t>
  </si>
  <si>
    <t>DP2YY</t>
  </si>
  <si>
    <t>WOS:000378360700030</t>
  </si>
  <si>
    <t>Wilhelm, KR; Bockheim, JG; Haus, NW</t>
  </si>
  <si>
    <t>Wilhelm, Kelly R.; Bockheim, James G.; Haus, Nicholas W.</t>
  </si>
  <si>
    <t>Properties and processes of recently established soils from deglaciation of Cierva Point, Western Antarctic Peninsula</t>
  </si>
  <si>
    <t>GEODERMA</t>
  </si>
  <si>
    <t>Soil classification; Antarctic Peninsula; Ornithogenic soils; Soil acidity</t>
  </si>
  <si>
    <t>SOUTH-SHETLAND ISLANDS; KING-GEORGE ISLAND; MARITIME ANTARCTICA; CRYOSOLS; PEDOGENESIS; PERMAFROST; VEGETATION; GENESIS</t>
  </si>
  <si>
    <t>For more than sixty years the Antarctic Peninsula has experienced significant temperature increases that have accelerated glacial retreat. Glacial losses, along with the relatively warm and moist climatic conditions of the region, have increased the rate of soil development The objective of this study is to study the properties and genesis of soils at Cierva Point, which is located in the zone of maximum warming along the western Antarctic Peninsula. Cierva Point is a terraced, steeply sloping, ice-free peninsula containing a small retreating glacier. The peninsula contains a large penguin rookery and significant areas of moss buildup. Twenty-seven soils were described; physical and chemical properties from each horizon were analyzed. Four categories of soil were identified: acidic (pH &lt; 5), neutral (pH &gt; 5), moss-dominated (high organic matter accumulations), and ornithogenic (high phosphorus accumulations). Neutral soils were newly formed soils which had undergone the least development and were located closest to the glacier margin. Acidic soils were located farthest from the glacier margin, allowing for a greater nutrient leaching to occur; these soils have extremely low pH values (as low as 3.5) but did not have the high phosphorus accumulations found in ornithogenic soils or the high soil carbon content found in moss-dominated soils. In a region with rapidly retreating glaciers, such as the Antarctic Peninsula, proximity to the glacier margin becomes an important factor determining soil properties. Soils farther from the glacier have had more time to be affected by leaching, penguin activity, and moss buildup. (C) 2016 Elsevier B.V. All rights reserved.</t>
  </si>
  <si>
    <t>[Wilhelm, Kelly R.; Bockheim, James G.; Haus, Nicholas W.] Univ Wisconsin, Dept Soil Sci, 1525 Observ Dr, Madison, WI 53706 USA</t>
  </si>
  <si>
    <t>Wilhelm, KR (corresponding author), Univ Wisconsin, Dept Soil Sci, 1525 Observ Dr, Madison, WI 53706 USA.</t>
  </si>
  <si>
    <t>The authors wish to thank the National Science Foundation (OPP_0943799) and the United States Antarctic Program for their support throughout this project, in particular John Evans, Cara Ferrier and Alexandra Isern, without whom this study would not have been possible. Thanks also to Adam Beilke, Neal Scheibe, Glenn Grant, and Graham Tilbury for helping in the field and maintaining equipment during the winter months. Finally, we would like to thank the crew of the Laurence M. Gould and the staff at Palmer Station for always being available to help with this project, without them this project would have been impossible. Funding for this project was provided by the National Science Foundation.</t>
  </si>
  <si>
    <t>0016-7061</t>
  </si>
  <si>
    <t>1872-6259</t>
  </si>
  <si>
    <t>Geoderma</t>
  </si>
  <si>
    <t>10.1016/j.geoderma.2016.05.001</t>
  </si>
  <si>
    <t>Soil Science</t>
  </si>
  <si>
    <t>Agriculture</t>
  </si>
  <si>
    <t>DP0PS</t>
  </si>
  <si>
    <t>WOS:000378192300002</t>
  </si>
  <si>
    <t>Kochman-Kedziora, N; Noga, T; Zidarova, R; Kopalová, K; Van De Vijver, B</t>
  </si>
  <si>
    <t>Kochman-Kedziora, Natalia; Noga, Teresa; Zidarova, Ralitsa; Kopalova, Katerina; Van De Vijver, Bart</t>
  </si>
  <si>
    <t>Humidophila komarekiana sp. nov. (Bacillariophyta), a new limnoterrestrial diatom species from King George Island (Maritime Antarctica)</t>
  </si>
  <si>
    <t>Antarctica; diatoms; Humidophila; new species</t>
  </si>
  <si>
    <t>FRESH-WATER; DIADESMIS; CROZET; REGION; TAXA</t>
  </si>
  <si>
    <t>During a survey of the non-marine diatom flora of King George Island (South Shetland Islands), an unknown Humidophila taxon was recorded. Detailed light and scanning electron microscopy observations indicated that the unknown taxon could not be identified based on the currently available literature. The new species is described as Humidophila komarekiana sp. nov. and is characterized in having strictly linear valves with parallel margins and broadly rounded, never protracted apices, a filiform raphe with almost indistinct, straight proximal and distal raphe endings. The striae are composed of one, irregularly shortened areola. The mantle areolae are interrupted at the apices. The new species is compared with similar taxa in the Antarctic Region and worldwide. Notes on the ecology of the new species are added.</t>
  </si>
  <si>
    <t>[Kochman-Kedziora, Natalia; Noga, Teresa] Univ Rzeszow, Fac Biol &amp; Agr, Dept Soil Studies Environm Chem &amp; Hydrol, Zelwerowicza 8B, PL-35601 Rzeszow, Poland; [Zidarova, Ralitsa] Sofia Univ St Kliment Ohridski, Fac Biol, Dept Bot, 8 Dragan Tzankov Blvd, Sofia 1164, Bulgaria; [Kopalova, Katerina] Charles Univ Prague, Fac Sci, Dept Ecol, Vinicna 7, CR-12844 Prague 2, Czech Republic; [Van De Vijver, Bart] Bot Garden Meise, Dept Bryophyta &amp; Thallophyta, Nieuwelaan 38, B-1860 Meise, Belgium; [Van De Vijver, Bart] Univ Antwerp, Dept Biol, ECOBE, Univ Pl 1, B-2610 Antwerp, Belgium</t>
  </si>
  <si>
    <t>University of Rzeszow; University of Sofia; Charles University Prague; University of Antwerp</t>
  </si>
  <si>
    <t>Van De Vijver, B (corresponding author), Bot Garden Meise, Dept Bryophyta &amp; Thallophyta, Nieuwelaan 38, B-1860 Meise, Belgium.;Van De Vijver, B (corresponding author), Univ Antwerp, Dept Biol, ECOBE, Univ Pl 1, B-2610 Antwerp, Belgium.</t>
  </si>
  <si>
    <t>bart.vandevijver@plantentuinmeise.be</t>
  </si>
  <si>
    <t>Zidarova, Ralitsa/I-3793-2017; Kopalova, Katerina/M-6207-2017</t>
  </si>
  <si>
    <t>Zidarova, Ralitsa/0000-0002-6451-0099; Kochman-Kedziora, Natalia/0000-0003-1006-1715; Noga, Teresa/0000-0002-4864-5620; Kopalova, Katerina/0000-0002-7905-4268</t>
  </si>
  <si>
    <t>Science Fund, Bulgaria [(sic)MY 03-63]; BELSPO project CCAMBIO</t>
  </si>
  <si>
    <t>Science Fund, Bulgaria; BELSPO project CCAMBIO</t>
  </si>
  <si>
    <t>Sampling and observations on Fildes Pennisula, King George Island, were done within (sic)MY 03-63 (Science Fund, Bulgaria). The staff of Bellingshausen Station (20122013) is thanked for their support. Prof. Maria Olech (Jagiellonian University, Krakow, Poland) is thanked for providing the samples from vicinity of Polish H. Arctowski Station used in this study. Part of this research was funded within the BELSPO project CCAMBIO. Two anonymous referees are thanked for their constructive remarks.</t>
  </si>
  <si>
    <t>AUG 31</t>
  </si>
  <si>
    <t>10.11646/phytotaxa.272.3.2</t>
  </si>
  <si>
    <t>ED3HR</t>
  </si>
  <si>
    <t>WOS:000388740700002</t>
  </si>
  <si>
    <t>Pallarés, S; Velasco, J; Millán, A; Bilton, DT; Arribas, P</t>
  </si>
  <si>
    <t>Pallares, Susana; Velasco, Josefa; Millan, Andres; Bilton, David T.; Arribas, Paula</t>
  </si>
  <si>
    <t>Aquatic insects dealing with dehydration: do desiccation resistance traits differ in species with contrasting habitat preferences?</t>
  </si>
  <si>
    <t>Water content; Coleoptera; Lotic; Water loss; Cuticle; Salinity; Enochrus; Lentic; Inland salt water; Drought</t>
  </si>
  <si>
    <t>KERATIN BEETLES COLEOPTERA; GOLDENROD GALL FLY; WATER-BALANCE; ANTARCTIC MIDGE; BODY-SIZE; CUTICULAR PERMEABILITY; SALINITY TOLERANCE; THERMAL TOLERANCE; LIPID-COMPOSITION; DROSOPHILA</t>
  </si>
  <si>
    <t>Background. Desiccation resistance shapes the distribution of terrestrial insects at multiple spatial scales. However, responses to drying stress have been poorly studied in aquatic groups, despite their potential role in constraining their distribution and diversification, particularly in arid and semi-arid regions. Methods. We examined desiccation resistance in adults of four congeneric water beetle species (Enochrus, family Hydrophilidae) with contrasting habitat specificity (lentic vs. lotic systems and different salinity optima from fresh- to hypersaline waters). We measured survival, recovery capacity and key traits related to desiccation resistance ( fresh mass, % water content, % cuticle content and water loss rate) under controlled exposure to desiccation, and explored their variability within and between species. Results. Meso- and hypersaline species were more resistant to desiccation than freshwater and hyposaline ones, showing significantly lower water loss rates and higher water content. No clear patterns in desiccation resistance traits were observed between lotic and lentic species. Intraspecifically, water loss rate was positively related to specimens' initial % water content, but not to fresh mass or % cuticle content, suggesting that the dynamic mechanism controlling water loss is mainly regulated by the amount of body water available. Discussion. Our results support previous hypotheses suggesting that the evolution of desiccation resistance is associated with the colonization of saline habitats by aquatic beetles. The interespecific patterns observed in Enochrus also suggest that freshwater species may be more vulnerable than saline ones to drought intensification expected under climate change in semi-arid regions such as the Mediterranean Basin.</t>
  </si>
  <si>
    <t>[Pallares, Susana; Velasco, Josefa; Millan, Andres] Univ Murcia, Dept Ecol &amp; Hydrol, Murcia, Spain; [Bilton, David T.] Univ Plymouth, Sch Marine Sci &amp; Engn, Marine Biol &amp; Ecol Res Ctr, Plymouth, Devon, England; [Arribas, Paula] Nat Hist Museum London, Dept Life Sci, London, England; [Arribas, Paula] Imperial Coll London, Dept Life Sci, London, England; [Arribas, Paula] IPNA CSIC, Isl Ecol &amp; Evolut Res Grp, San Cristobal la Laguna, Tenerife, Spain</t>
  </si>
  <si>
    <t>University of Murcia; University of Plymouth; Natural History Museum London; Imperial College London; Consejo Superior de Investigaciones Cientificas (CSIC); CSIC - Instituto de Productos Naturales y Agrobiologia (IPNA)</t>
  </si>
  <si>
    <t>Pallarés, S (corresponding author), Univ Murcia, Dept Ecol &amp; Hydrol, Murcia, Spain.</t>
  </si>
  <si>
    <t>susana.pallares@um.es</t>
  </si>
  <si>
    <t>Arribas, Paula/ABG-9998-2020; Pallarés, Susana/AAI-2417-2019; Millan, Andres/D-3655-2009; Velasco, Josefa/K-3806-2017</t>
  </si>
  <si>
    <t>Arribas, Paula/0000-0002-0358-8271; Pallarés, Susana/0000-0001-8677-7475; Millan, Andres/0000-0003-0036-363X; Velasco, Josefa/0000-0002-7457-0781; Bilton, David/0000-0003-1136-0848</t>
  </si>
  <si>
    <t>I+D+i project (Spanish Ministry of Economy and Competitiveness) [CGL2013-48950-C2-2-P]; FEDER funds; University of Murcia; Royal Society UK (Newton International Program); Spanish Ministry of Economy and Competitiveness (Juan de la Cierva Formacion Program)</t>
  </si>
  <si>
    <t>I+D+i project (Spanish Ministry of Economy and Competitiveness); FEDER funds(European Union (EU)); University of Murcia; Royal Society UK (Newton International Program)(Royal Society); Spanish Ministry of Economy and Competitiveness (Juan de la Cierva Formacion Program)</t>
  </si>
  <si>
    <t>This research was part of the I+D+i project CGL2013-48950-C2-2-P (Spanish Ministry of Economy and Competitiveness) cofinanced with FEDER funds, and also supported by a PhD grant from University of Murcia to S.P and two post-doctoral grants from the Royal Society UK (Newton International Program) and from the Spanish Ministry of Economy and Competitiveness (Juan de la Cierva Formacion Program) to PA. The funders had no role in study design, data collection and analysis, decision to publish, or preparation of the manuscript.</t>
  </si>
  <si>
    <t>e2382</t>
  </si>
  <si>
    <t>10.7717/peerj.2382</t>
  </si>
  <si>
    <t>DV9MF</t>
  </si>
  <si>
    <t>WOS:000383263900005</t>
  </si>
  <si>
    <t>Nedoluha, GE; Connor, BJ; Mooney, T; Barrett, JW; Parrish, A; Gomez, RM; Boyd, I; Allen, DR; Kotkamp, M; Kremser, S; Deshler, T; Newman, P; Santee, ML</t>
  </si>
  <si>
    <t>Nedoluha, Gerald E.; Connor, Brian J.; Mooney, Thomas; Barrett, James W.; Parrish, Alan; Gomez, R. Michael; Boyd, Ian; Allen, Douglas R.; Kotkamp, Michael; Kremser, Stefanie; Deshler, Terry; Newman, Paul; Santee, Michelle L.</t>
  </si>
  <si>
    <t>20 years of ClO measurements in the Antarctic lower stratosphere</t>
  </si>
  <si>
    <t>CHLORINE MONOXIDE; SPRING STRATOSPHERE; LOW ALTITUDES; OZONE; REANALYSIS; SATELLITE; CHEMISTRY; CIO</t>
  </si>
  <si>
    <t>We present 20 years (1996-2015) of austral springtime measurements of chlorine monoxide (ClO) over Antarctica from the Chlorine Oxide Experiment (ChlOE1) ground-based millimeter wave spectrometer at Scott Base, Antarctica, as well 12 years (2004-2015) of ClO measurements from the Aura Microwave Limb Sounder (MLS). From August onwards we observe a strong increase in lower stratospheric ClO, with a peak column amount usually occurring in early September. From mid-September onwards we observe a strong decrease in ClO. In order to study interannual differences, we focus on a 3-week period from 28 August to 17 September for each year and compare the average column ClO anomalies. These column ClO anomalies are shown to be highly correlated with the average ozone mass deficit for September and October of each year. We also show that anomalies in column ClO are strongly anti-correlated with 30 hPa temperature anomalies, both on a daily and an interannual timescale. Making use of this anti-correlation we calculate the linear dependence of the interannual variations in column ClO on interannual variations in temperature. By making use of this relationship, we can better estimate the underlying trend in the total chlorine (Cl-y = HCl + ClONO2 + HOCl + 2 x Cl-2 + 2 x Cl2O2 + ClO + Cl). The resultant trends in Cl-y, which determine the long-term trend in ClO, are estimated to be -0.5 +/- 0.2, -1.4 +/- 0.9, and -0.6 +/- 0.4% year(-1), for zonal MLS, Scott Base MLS (both 2004-2015), and ChlOE (1996-2015) respectively. These trends are within 1 sigma of trends in stratospheric Cl-y previously found at other latitudes. The decrease in ClO is consistent with the trend expected from regulations enacted under the Montreal Protocol.</t>
  </si>
  <si>
    <t>[Nedoluha, Gerald E.; Gomez, R. Michael; Allen, Douglas R.] Naval Res Lab, Washington, DC 20375 USA; [Connor, Brian J.; Mooney, Thomas; Boyd, Ian] BC Sci Consulting LLC, Stony Brook, NY USA; [Barrett, James W.] SUNY Stony Brook, Stony Brook, NY 11794 USA; [Parrish, Alan] Univ Massachusetts, Dept Astron, Amherst, MA 01003 USA; [Kotkamp, Michael] Natl Inst Water &amp; Atmospher Res, Lauder, New Zealand; [Kremser, Stefanie] Bodeker Sci, Alexandra, New Zealand; [Deshler, Terry] Univ Wyoming, Dept Atmospher Sci, Laramie, WY 82071 USA; [Newman, Paul] NASA Goddard Space Flight Ctr, Greenbelt, MD USA; [Santee, Michelle L.] CALTECH, Jet Prop Lab, Pasadena, CA USA</t>
  </si>
  <si>
    <t>United States Department of Defense; United States Navy; Naval Research Laboratory; State University of New York (SUNY) System; State University of New York (SUNY) Stony Brook; University of Massachusetts System; University of Massachusetts Amherst; National Institute of Water &amp; Atmospheric Research (NIWA) - New Zealand; University of Wyoming; National Aeronautics &amp; Space Administration (NASA); NASA Goddard Space Flight Center; National Aeronautics &amp; Space Administration (NASA); NASA Jet Propulsion Laboratory (JPL); California Institute of Technology</t>
  </si>
  <si>
    <t>Nedoluha, GE (corresponding author), Naval Res Lab, Washington, DC 20375 USA.</t>
  </si>
  <si>
    <t>nedoluha@nrl.navy.mil</t>
  </si>
  <si>
    <t>Allen, Douglas Ray/GWZ-8901-2022; Newman, Paul A/D-6208-2012; Santee, MIchelle/R-5762-2019</t>
  </si>
  <si>
    <t>/0000-0002-3573-7083; Allen, Douglas/0000-0003-2747-9712</t>
  </si>
  <si>
    <t>NASA under the Upper Atmosphere Research Program; Naval Research Laboratory; Office of Naval Research; National Aeronautics and Space Administration</t>
  </si>
  <si>
    <t>NASA under the Upper Atmosphere Research Program; Naval Research Laboratory(United States Department of Defense); Office of Naval Research(Office of Naval Research); National Aeronautics and Space Administration(National Aeronautics &amp; Space Administration (NASA))</t>
  </si>
  <si>
    <t>This project was funded by NASA under the Upper Atmosphere Research Program, by the Naval Research Laboratory, and by the Office of Naval Research. We would like to acknowledge the many Antarctica New Zealand technicians who have supported the daily operation of ChlOE over two decades of measurements. We also acknowledge the logistical support that Antarctica New Zealand has supplied over this period. Work at the Jet Propulsion Laboratory, California Institute of Technology, was carried out under a contract with the National Aeronautics and Space Administration. Sonde temperature data were collected under support from the National Science Foundation.</t>
  </si>
  <si>
    <t>AUG 30</t>
  </si>
  <si>
    <t>10.5194/acp-16-10725-2016</t>
  </si>
  <si>
    <t>DW6EZ</t>
  </si>
  <si>
    <t>WOS:000383743600002</t>
  </si>
  <si>
    <t>Roman, L; Schuyler, QA; Hardesty, BD; Townsend, KA</t>
  </si>
  <si>
    <t>Roman, Lauren; Schuyler, Qamar A.; Hardesty, Britta Denise; Townsend, Kathy A.</t>
  </si>
  <si>
    <t>Anthropogenic Debris Ingestion by Avifauna in Eastern Australia</t>
  </si>
  <si>
    <t>PLASTIC-DERIVED CHEMICALS; MARINE DEBRIS; NORTH PACIFIC; SEABIRDS; PARTICLES; DIET; ACCUMULATION; TENUIROSTRIS; ENVIRONMENT; POLLUTION</t>
  </si>
  <si>
    <t>Anthropogenic debris in the world's oceans and coastal environments is a pervasive global issue that has both direct and indirect impacts on avifauna. The number of bird species affected, the feeding ecologies associated with an increased risk of debris ingestion, and selectivity of ingested debris have yet to be investigated in most of Australia's coastal and marine birds. With this study we aim to address the paucity of data regarding marine debris ingestion in Australian coastal and marine bird species. We investigated which Australian bird groups ingest marine debris, and whether debris-ingesting groups exhibit selectivity associated with their taxonomy, habitat or foraging methods. Here we present the largest multispecies study of anthropogenic debris ingestion in Australasian avifauna to date. We necropsied and investigated the gastrointestinal contents of 378 birds across 61 species, collected dead across eastern Australia. These species represented nine taxonomic orders, five habitat groups and six feeding strategies. Among investigated species, thirty percent had ingested debris, though ingestion did not occur uniformly within the orders of birds surveyed. Debris ingestion was found to occur in orders Procellariiformes, Suliformes, Charadriiformes and Pelecaniformes, across all surveyed habitats, and among birds that foraged by surface feeding, pursuit diving and search-by-sight. Procellariiformes, birds in pelagic habitats, and surface feeding marine birds ingested debris with the greatest frequency. Among birds which were found to ingest marine debris, we investigated debris selectivity and found that marine birds were selective with respect to both type and colour of debris. Selectivity for type and colour of debris significantly correlated with taxonomic order, habitat and foraging strategy. This study highlights the significant impact of feeding ecology on debris ingestion among Australia's avifauna.</t>
  </si>
  <si>
    <t>[Roman, Lauren] Univ Tasmania, Inst Marine &amp; Antarctic Studies, Hobart, Tas, Australia; [Schuyler, Qamar A.; Townsend, Kathy A.] Univ Queensland, Sch Biol Sci, St Lucia, Qld, Australia; [Hardesty, Britta Denise] CSIRO, Oceans &amp; Atmosphere Flagship, Hobart, Tas, Australia; [Townsend, Kathy A.] Univ Queensland, Moreton Bay Res Stn, Dunwich, Qld, Australia</t>
  </si>
  <si>
    <t>University of Tasmania; University of Queensland; Commonwealth Scientific &amp; Industrial Research Organisation (CSIRO); University of Queensland</t>
  </si>
  <si>
    <t>Roman, L (corresponding author), Univ Tasmania, Inst Marine &amp; Antarctic Studies, Hobart, Tas, Australia.</t>
  </si>
  <si>
    <t>lauren.roman@utas.edu.au</t>
  </si>
  <si>
    <t>Townsend, Kathy Ann/K-9486-2016; Hardesty, Britta Denise/A-3189-2011; Roman, Lauren/K-3804-2015; Schuyler, Qamar/L-2586-2014</t>
  </si>
  <si>
    <t>Townsend, Kathy Ann/0000-0002-2581-2158; Roman, Lauren/0000-0003-3591-4905; Hardesty, Britta Denise/0000-0003-1948-5098; Roman, Lauren/0000-0002-2959-2324; Schuyler, Qamar/0000-0002-2473-4311</t>
  </si>
  <si>
    <t>ARC Linkage grant [LP110200216]; DBH- CSIRO's Oceans and Atmosphere Flagship; Shell Social Investment Program; QS- Margaret Middleton Foundation; Australia Zoo Wildlife Hospital; Australian Seabird Rescue; Currumbin Sanctuary Wildlife Hospital; Department of Environment and Heritage Protection; Department of National Parks, Recreation, Sport and Racing; Pelican and Seabird Rescue; Earthwatch Australia (TeachWild); Queensland Museum; RSPCA QLD Wildlife Hospital; WildMob; CSIRO Oceans and Atmosphere; Margaret Middleton Foundation; Australian Research Council [LP110200216] Funding Source: Australian Research Council</t>
  </si>
  <si>
    <t>ARC Linkage grant(Australian Research Council); DBH- CSIRO's Oceans and Atmosphere Flagship; Shell Social Investment Program; QS- Margaret Middleton Foundation; Australia Zoo Wildlife Hospital; Australian Seabird Rescue; Currumbin Sanctuary Wildlife Hospital; Department of Environment and Heritage Protection; Department of National Parks, Recreation, Sport and Racing; Pelican and Seabird Rescue; Earthwatch Australia (TeachWild); Queensland Museum; RSPCA QLD Wildlife Hospital; WildMob; CSIRO Oceans and Atmosphere; Margaret Middleton Foundation; Australian Research Council(Australian Research Council)</t>
  </si>
  <si>
    <t>The authors received no specific funding for this particular research project, first authored by LR, but co-authors are supported for similar research by: ARC Linkage grant LP110200216; DBH- CSIRO's Oceans and Atmosphere Flagship and the Shell Social Investment Program; QS- Margaret Middleton Foundation. The funders had no role in study design, data collection and analysis, decision to publish, or preparation of the manuscript.; The authors would like to acknowledge the following organizations who have supported this project: Australia Zoo Wildlife Hospital, Australian Seabird Rescue, Currumbin Sanctuary Wildlife Hospital, The Department of Environment and Heritage Protection, The Department of National Parks, Recreation, Sport and Racing, Pelican and Seabird Rescue, Earthwatch Australia (TeachWild), Queensland Museum, RSPCA QLD Wildlife Hospital, and WildMob. The authors would also like to thank the following people who have assisted in bird collection: L. Behrendorff, T. Bishop, B. Cumming, R. Ferris, K. Fleischfresser, H. Forrest, N. Forrest, A. Genninges, A. Gillet, M. Hines, H. Janetzki, C. Lacasse, M. Pyne, S. Shaw, L. Short, K. Southwell, D. Stewart, S. Hassard, P. Swift, and P. Taylor, and, with special thanks to J. Lesel who dedicated many weeks to assisting with data collection. Thanks also to the many volunteers who helped with gathering trawl samples; Libby Edge and EcoBarge Clean Seas, Belinda Cooper and the Twisted Sisters, TeachWild participants, Earthwatch volunteers, Wild Mob volunteers, and a special thanks to Julia Hazel who conducted countless trawls. We also acknowledge constructive feedback the editors and reviewers provided on an earlier version of this paper. This work was conducted under Scientific purposes permit no. WISP12620313, Department of Environment and Heritage Protection, Queensland Government. BDH acknowledges support from CSIRO Oceans and Atmosphere and the Shell Social Investment Program. Funding was provided by the ARC Linkage grant LP110200216 and Margaret Middleton Foundation.</t>
  </si>
  <si>
    <t>e0158343</t>
  </si>
  <si>
    <t>10.1371/journal.pone.0158343</t>
  </si>
  <si>
    <t>DV4EE</t>
  </si>
  <si>
    <t>WOS:000382877200002</t>
  </si>
  <si>
    <t>Angot, H; Dastoor, A; De Simone, F; Gårdfeldt, K; Gencarelli, CN; Hedgecock, IM; Langer, S; Magand, O; Mastromonaco, MN; Nordstrom, C; Pfaffhuber, KA; Pirrone, N; Ryjkov, A; Selin, NE; Skov, H; Song, SJ; Sprovieri, F; Steffen, A; Toyota, K; Travnikov, O; Yang, X; Dommergue, A</t>
  </si>
  <si>
    <t>Angot, Helene; Dastoor, Ashu; De Simone, Francesco; Gardfeldt, Katarina; Gencarelli, Christian N.; Hedgecock, Ian M.; Langer, Sarka; Magand, Olivier; Mastromonaco, Michelle N.; Nordstrom, Claus; Pfaffhuber, Katrine A.; Pirrone, Nicola; Ryjkov, Andrei; Selin, Noelle E.; Skov, Henrik; Song, Shaojie; Sprovieri, Francesca; Steffen, Alexandra; Toyota, Kenjiro; Travnikov, Oleg; Yang, Xin; Dommergue, Aurelien</t>
  </si>
  <si>
    <t>Chemical cycling and deposition of atmospheric mercury in polar regions: review of recent measurements and comparison with models</t>
  </si>
  <si>
    <t>GASEOUS ELEMENTAL MERCURY; COASTAL DUMONT DURVILLE; NITROGEN-OXIDES NO; BOUNDARY-LAYER; NY-ALESUND; DEPLETION EVENTS; DOME-C; SPRINGTIME DEPLETION; OXIDIZED MERCURY; SURFACE OZONE</t>
  </si>
  <si>
    <t>Mercury (Hg) is a worldwide contaminant that can cause adverse health effects to wildlife and humans. While atmospheric modeling traces the link from emissions to deposition of Hg onto environmental surfaces, large uncertainties arise from our incomplete understanding of atmospheric processes (oxidation pathways, deposition, and re-emission). Atmospheric Hg reactivity is exacerbated in high latitudes and there is still much to be learned from polar regions in terms of atmospheric processes. This paper provides a synthesis of the atmospheric Hg monitoring data available in recent years (2011-2015) in the Arctic and in Antarctica along with a comparison of these observations with numerical simulations using four cutting-edge global models. The cycle of atmospheric Hg in the Arctic and in Antarctica presents both similarities and differences. Coastal sites in the two regions are both influenced by springtime atmospheric Hg depletion events and by summertime snowpack re-emission and oceanic evasion of Hg. The cycle of atmospheric Hg differs between the two regions primarily because of their different geography. While Arctic sites are significantly influenced by northern hemispheric Hg emissions especially in winter, coastal Antarctic sites are significantly influenced by the reactivity observed on the East Antarctic ice sheet due to katabatic winds. Based on the comparison of multi-model simulations with observations, this paper discusses whether the processes that affect atmospheric Hg seasonality and inter-annual variability are appropriately represented in the models and identifies research gaps in our understanding of the atmospheric Hg cycling in high latitudes.</t>
  </si>
  <si>
    <t>[Angot, Helene; Magand, Olivier; Dommergue, Aurelien] Univ Grenoble Alpes, LGGE, F-38041 Grenoble, France; [Dastoor, Ashu; Ryjkov, Andrei] Environm &amp; Climate Change Canada, Air Qual Res Div, Dorval, PQ H9P 1J3, Canada; [De Simone, Francesco; Gencarelli, Christian N.; Hedgecock, Ian M.] CNR, Inst Atmospher Pollut Res, Div Rende, UNICAL Polifunz, I-87036 Arcavacata Di Rende, Italy; [Gardfeldt, Katarina; Mastromonaco, Michelle N.] Chalmers Univ Technol, Dept Chem &amp; Chem Engn, S-41296 Gothenburg, Sweden; [Langer, Sarka] IVL Swedish Environm Res Inst, POB 530 21, S-40014 Gothenburg, Sweden; [Magand, Olivier; Dommergue, Aurelien] CNRS, LGGE, F-38041 Grenoble, France; [Nordstrom, Claus; Skov, Henrik] Natl Environm Res Inst, Frederiksborgvej 399, DK-4000 Roskilde, Denmark; [Pfaffhuber, Katrine A.] Norwegian Inst Air Res NILU, POB 100, N-2027 Kjeller, Norway; [Pirrone, Nicola] CNR, Inst Atmospher Pollut Res, Area Ric Roma 1, I-00015 Rome, Italy; [Selin, Noelle E.; Song, Shaojie] MIT, Dept Earth Atmospher &amp; Planetary Sci, Cambridge, MA USA; [Selin, Noelle E.] MIT, Inst Data Syst &amp; Soc, 77 Massachusetts Ave, Cambridge, MA 02139 USA; [Steffen, Alexandra; Toyota, Kenjiro] Environm &amp; Climate Change Canada, Air Qual Res Div, Toronto, ON M3H 5T4, Canada; [Travnikov, Oleg] East EMEP, Meteorol Synthesizing Ctr, 2nd Roshchinsky Proezd,8-5, Moscow 115419, Russia; [Yang, Xin] British Antarctic Survey, Cambridge, England</t>
  </si>
  <si>
    <t>Communaute Universite Grenoble Alpes; Universite Grenoble Alpes (UGA); Environment &amp; Climate Change Canada; Consiglio Nazionale delle Ricerche (CNR); Istituto Sull'inquinamento Atmosferico (IIA-CNR); Chalmers University of Technology; IVL Swedish Environmental Research Institute; Communaute Universite Grenoble Alpes; Universite Grenoble Alpes (UGA); Centre National de la Recherche Scientifique (CNRS); Aarhus University; NILU; Consiglio Nazionale delle Ricerche (CNR); Istituto Sull'inquinamento Atmosferico (IIA-CNR); Massachusetts Institute of Technology (MIT); Massachusetts Institute of Technology (MIT); Environment &amp; Climate Change Canada; UK Research &amp; Innovation (UKRI); Natural Environment Research Council (NERC); NERC British Antarctic Survey</t>
  </si>
  <si>
    <t>Dommergue, A (corresponding author), Univ Grenoble Alpes, LGGE, F-38041 Grenoble, France.;Dommergue, A (corresponding author), CNRS, LGGE, F-38041 Grenoble, France.</t>
  </si>
  <si>
    <t>aurelien.dommergue@univ-grenoble-alpes.fr</t>
  </si>
  <si>
    <t>De Simone, Francesco/HDN-9081-2022; Travnikov, Oleg/ACL-2820-2022; Yang, Xin/AGB-3514-2022; De Simone, Francesco/IZP-8333-2023; Song, Shaojie/A-1948-2012; Selin, Noelle E/A-4158-2008; Pirrone, Nicola/IXD-5019-2023; Hedgecock, Ian Michael/ITV-3348-2023; Gårdfeldt, Katarina/AAF-9952-2019; dommergue, aurelien/HLP-6539-2023; Pfaffhuber, Katrine Aspmo/G-9334-2017; Langer, Sarka/A-4076-2011; Toyota, Kenjiro/D-7044-2012</t>
  </si>
  <si>
    <t>Travnikov, Oleg/0000-0002-4413-0777; Yang, Xin/0000-0002-3838-9758; Song, Shaojie/0000-0001-6395-7422; Selin, Noelle E/0000-0002-6396-5622; Hedgecock, Ian Michael/0000-0002-3743-1870; dommergue, aurelien/0000-0002-8185-9604; Langer, Sarka/0000-0002-6580-8911; Dastoor, Ashu/0000-0002-3312-7484; Gencarelli, Christian Natale/0000-0002-2366-661X; Skov, Henrik/0000-0003-1167-8696; Toyota, Kenjiro/0000-0001-9280-5305; Gardfeldt, Katarina/0000-0002-5161-9597; De Simone, Francesco/0000-0003-0252-2382</t>
  </si>
  <si>
    <t>Labex OSUG@2020 (Investissements d'avenir) [ANR10 LABX56]; Institut Universitaire de France; French Polar Institute IPEV [1028]; Norwegian Environmental Agency; Norwegian Antarctic Research Expeditions; US National Science Foundation Atmospheric Chemistry Program [1053648]; NERC [bas0100032] Funding Source: UKRI; Div Atmospheric &amp; Geospace Sciences; Directorate For Geosciences [1053648] Funding Source: National Science Foundation; Natural Environment Research Council [bas0100032] Funding Source: researchfish; Villum Fonden [00007236] Funding Source: researchfish</t>
  </si>
  <si>
    <t>Labex OSUG@2020 (Investissements d'avenir)(Agence Nationale de la Recherche (ANR)); Institut Universitaire de France; French Polar Institute IPEV; Norwegian Environmental Agency; Norwegian Antarctic Research Expeditions; US National Science Foundation Atmospheric Chemistry Program(National Science Foundation (NSF)); NERC(UK Research &amp; Innovation (UKRI)Natural Environment Research Council (NERC)); Div Atmospheric &amp; Geospace Sciences; Directorate For Geosciences(National Science Foundation (NSF)NSF - Directorate for Geosciences (GEO)); Natural Environment Research Council(UK Research &amp; Innovation (UKRI)Natural Environment Research Council (NERC)); Villum Fonden(Villum Fonden)</t>
  </si>
  <si>
    <t>Helene Angot, Olivier Magand, and Aurelien Dommergue thank the overwintering crew: S. Aguado, D. Buiron, N. Coillard, G. Dufresnes, J. Guilhermet, B. Jourdain, B. Laulier, S. Oros, A. Thollot, and N. Vogel at DDU, S. Aubin, A. Barbero, N. Hueber, C. Lenormant, and R. Jacob at DC. This work contributed to the EU-FP7 project Global Mercury Observation System (GMOS, www.gmos.eu) and has been supported by a grant from Labex OSUG@2020 (Investissements d'avenir - ANR10 LABX56) and the Institut Universitaire de France. Logistical and financial support was provided by the French Polar Institute IPEV (Program 1028, GMOstral). Katrine A. Pfaffhuber thanks the Norwegian Environmental Agency and the Norwegian Antarctic Research Expeditions for long-term financial support of Norwegian mercury measurements and in particular the technicians J. H. Wasseng and A. Backlund at NILU for their excellent care taking of the Tekran monitors. Noelle E. Selin and Shaojie Song acknowledge support from the US National Science Foundation Atmospheric Chemistry Program under grant no. 1053648. Aurelien Dommergue, Helene Angot, Noelle E. Selin, and Shaojie Song acknowledge the MIT-France Seed Fund.</t>
  </si>
  <si>
    <t>10.5194/acp-16-10735-2016</t>
  </si>
  <si>
    <t>WOS:000383743600003</t>
  </si>
  <si>
    <t>Yau, AM; Bender, ML; Robinson, A; Brook, EJ</t>
  </si>
  <si>
    <t>Yau, Audrey M.; Bender, Michael L.; Robinson, Alexander; Brook, Edward J.</t>
  </si>
  <si>
    <t>Reconstructing the last interglacial at Summit, Greenland: Insights from GISP2</t>
  </si>
  <si>
    <t>W Greenland ice sheet; last interglacial; ice cores; sea level rise</t>
  </si>
  <si>
    <t>ICE-SHEET CONTRIBUTION; SEA-LEVEL RISE; AIR CONTENT; CLIMATIC PARAMETERS; ISOTOPE RECORDS; OXYGEN-ISOTOPE; ANTARCTIC ICE; CORE PROJECT; GRIP; DELTA-O-18</t>
  </si>
  <si>
    <t>The Eemian (last interglacial, 130-115 ka) was likely the warmest of all interglacials of the last 800 ka, with summer Arctic temperatures 3-5 degrees C above present. Here, we present improved Eemian climate records from central Greenland, reconstructed from the base of the Greenland Ice Sheet Project 2 (GISP2) ice core. Our record comes from clean, stratigraphically disturbed, and isotopically warm ice from 2,750 to 3,040 m depth. The age of this ice is constrained by measuring CH4 and delta O-18 of O-2, and comparing with the historical record of these properties from the North Greenland Ice Core Project (NGRIP) and North Greenland Eemian Ice Drilling (NEEM) ice cores. The delta(18)(Oice), delta N-15 of N-2, and total air content for samples dating discontinuously from 128 to 115 ka indicate a warming of similar to 6 degrees C between 127-121 ka, and a similar elevation history between GISP2 and NEEM. The reconstructed climate and elevation histories are compared with an ensemble of coupled climate-ice-sheet model simulations of the Greenland ice sheet. Those most consistent with the reconstructed temperatures indicate that the Greenland ice sheet contributed 5.1 m (4.1-6.2 m, 95% credible interval) to global eustatic sea level toward the end of the Eemian. Greenland likely did not contribute to anomalously high sea levels at similar to 127 ka, or to a rapid jump in sea level at similar to 120 ka. However, several unexplained discrepancies remain between the inferred and simulated histories of temperature and accumulation rate at GISP2 and NEEM, as well as between the climatic reconstructions themselves.</t>
  </si>
  <si>
    <t>[Yau, Audrey M.; Bender, Michael L.] Princeton Univ, Dept Geosci, Princeton, NJ 08540 USA; [Bender, Michael L.] Shanghai Jiao Tong Univ, Inst Oceanol, Shanghai 200240, Peoples R China; [Robinson, Alexander] Univ Complutense Madrid, E-28040 Madrid, Spain; [Robinson, Alexander] Univ Complutense Madrid, Consejo Super Invest Cient, Inst Geociencias, E-28040 Madrid, Spain; [Robinson, Alexander] Potsdam Inst Climate Impact Res, D-14473 Potsdam, Germany; [Brook, Edward J.] Oregon State Univ, Coll Earth Ocean &amp; Atmospher Sci, Corvallis, OR 97331 USA</t>
  </si>
  <si>
    <t>Princeton University; Shanghai Jiao Tong University; Complutense University of Madrid; Complutense University of Madrid; Consejo Superior de Investigaciones Cientificas (CSIC); CSIC-UCM - Instituto de Geociencias (IGEO); Potsdam Institut fur Klimafolgenforschung; Oregon State University</t>
  </si>
  <si>
    <t>Bender, ML (corresponding author), Princeton Univ, Dept Geosci, Princeton, NJ 08540 USA.</t>
  </si>
  <si>
    <t>bender@princeton.edu</t>
  </si>
  <si>
    <t>Robinson, Alexander/I-4018-2012; Robinson, Alexander/N-2429-2019; Brook, Edward/AAB-7807-2021</t>
  </si>
  <si>
    <t>Robinson, Alexander/0000-0003-3519-5293; Robinson, Alexander/0000-0003-3519-5293;</t>
  </si>
  <si>
    <t>U.S. National Science Foundation [PLR 1107343, 1107744]; Marie Curie Seventh Framework Programme [European Ice Sheet Modeling Initiative (EURICE)] [PIEF-GA-2012-331835]; Spanish Ministerio de Economia y Competitividad [Modeling Abrupt Climate Change (MOCCA)] [CGL2014-59384-R]; Princeton-BP Amoco Carbon Mitigation Initiative</t>
  </si>
  <si>
    <t>U.S. National Science Foundation(National Science Foundation (NSF)); Marie Curie Seventh Framework Programme [European Ice Sheet Modeling Initiative (EURICE)]; Spanish Ministerio de Economia y Competitividad [Modeling Abrupt Climate Change (MOCCA)]; Princeton-BP Amoco Carbon Mitigation Initiative</t>
  </si>
  <si>
    <t>We thank the members of the National Ice Core Laboratory for their support in recovering samples from the ice core archive. We are grateful to Mahe Perrette for help with the statistical analysis. This work was supported by Grants PLR 1107343 and 1107744 from the U.S. National Science Foundation. A.R. was funded by the Marie Curie Seventh Framework Programme [Project PIEF-GA-2012-331835; European Ice Sheet Modeling Initiative (EURICE)] and the Spanish Ministerio de Economia y Competitividad [Project CGL2014-59384-R; Modeling Abrupt Climate Change (MOCCA)]. M.L.B. was funded by the Princeton-BP Amoco Carbon Mitigation Initiative.</t>
  </si>
  <si>
    <t>1091-6490</t>
  </si>
  <si>
    <t>10.1073/pnas.1524766113</t>
  </si>
  <si>
    <t>DV7BL</t>
  </si>
  <si>
    <t>Green Published, Green Accepted, Green Submitted, Bronze</t>
  </si>
  <si>
    <t>WOS:000383090700035</t>
  </si>
  <si>
    <t>Xiao, B; Zhang, Y; Yang, XQ; Nie, Y</t>
  </si>
  <si>
    <t>Xiao, Bei; Zhang, Yang; Yang, Xiu-Qun; Nie, Yu</t>
  </si>
  <si>
    <t>On the role of extratropical air-sea interaction in the persistence of the Southern Annular Mode</t>
  </si>
  <si>
    <t>extratropical air-sea interaction; Southern Annular Mode; eddy-mean flow interaction</t>
  </si>
  <si>
    <t>DATA ASSIMILATION SYSTEM; AMPLITUDE WAVE ACTIVITY; ANTARCTIC OSCILLATION; EDDY FEEDBACK; ZONAL INDEX; MEAN FLOW; HEMISPHERE; VARIABILITY; ATMOSPHERE; REANALYSIS</t>
  </si>
  <si>
    <t>Using the daily atmosphere and ocean reanalysis data, this study highlights the role of extratropical air-sea interaction in the variability of the Southern Annular Mode (SAM). Our analysis shows that the SAM-induced meridional dipolar sea surface temperature (SST) anomalies, through surface heat fluxes, can maintain persistent lower tropospheric temperature anomalies, which further results in anomalous eddy momentum forcing enhancing the persistence of the SAM. With the Finite Amplitude Wave Activity diagnosis, we illustrate that response of the eddy momentum forcing to SST anomalies can be attributed to changes in both baroclinic processes as baroclinic eddy generation and barotropic processes as wave breaking thus resultant diffusive eddy mixing, with the former confined at high latitudes and the latter strongest at midlatitudes. Spectral analysis further suggests that the above air-sea interactions are important for bimonthly and longer time scale SAM variations. The dipolar SST pattern may be an indicator for predicting subseasonal and interseasonal variabilities of the SAM.</t>
  </si>
  <si>
    <t>[Xiao, Bei; Zhang, Yang; Yang, Xiu-Qun] Nanjing Univ, Sch Atmospher Sci, CMA NJU Joint Lab Climate Predict Studies, Nanjing, Jiangsu, Peoples R China; [Nie, Yu] China Meteorol Adm, Beijing Climate Ctr, Beijing, Peoples R China</t>
  </si>
  <si>
    <t>Nanjing University; China Meteorological Administration</t>
  </si>
  <si>
    <t>Zhang, Y (corresponding author), Nanjing Univ, Sch Atmospher Sci, CMA NJU Joint Lab Climate Predict Studies, Nanjing, Jiangsu, Peoples R China.</t>
  </si>
  <si>
    <t>yangzh@alum.mit.edu</t>
  </si>
  <si>
    <t>Zhang, Yang/ABG-4162-2021; Zhang, Yang/GXF-2390-2022; Yang, Michael/G-9716-2013</t>
  </si>
  <si>
    <t>Zhang, Yang/0000-0003-4102-2671; Nie, Yu/0000-0001-7019-0442</t>
  </si>
  <si>
    <t>NSF of China [41275058, 41330420, 41621005]</t>
  </si>
  <si>
    <t>NSF of China(National Natural Science Foundation of China (NSFC))</t>
  </si>
  <si>
    <t>The authors thank the two anonymous reviewers for their constructive suggestions, which help improve the quality of the manuscript. This study was supported by the NSF of China under grants 41275058, 41330420 and 41621005. The ERA-40 and ERA-Interim reanalysis used in this study were obtained from http://www.ecmwf.int/en/research/climate-reanalysis/browse-reanalysis-datasets. The OI_SST_V2 data were obtained from http://www.esrl.noaa.gov/psd/data/gridded/data.noaa.oisst.v2.highres.html and the GODAS data from http://cfs.ncep.noaa.gov/cfs/godas. We downloaded NCEP reanalysis from http://www.esrl.noaa.gov/psd/data/gridded/data.ncep.reanalysis.html and OA-flux from http://oaflux.whoi.edu.</t>
  </si>
  <si>
    <t>AUG 28</t>
  </si>
  <si>
    <t>10.1002/2016GL070255</t>
  </si>
  <si>
    <t>DX5TC</t>
  </si>
  <si>
    <t>WOS:000384443800057</t>
  </si>
  <si>
    <t>Nicolai-Shaw, N; Gudmundsson, L; Hirschi, M; Seneviratne, SI</t>
  </si>
  <si>
    <t>Nicolai-Shaw, Nadine; Gudmundsson, Lukas; Hirschi, Martin; Seneviratne, Sonia I.</t>
  </si>
  <si>
    <t>Long-term predictability of soil moisture dynamics at the global scale: Persistence versus large-scale drivers</t>
  </si>
  <si>
    <t>soil moisture predictability; soil moisture persistence; teleconnection indices; soil moisture dynamics; remote sensing</t>
  </si>
  <si>
    <t>SUMMER RAINFALL VARIABILITY; SOUTHERN OSCILLATION; WINTER TEMPERATURES; NORTHERN EUROPE; SURFACE; INTENSIFICATION; MEMORY; ASSIMILATION; CIRCULATION; GREENLAND</t>
  </si>
  <si>
    <t>Here we investigate factors that influence the long lead time predictability of soil moisture variability using standard statistical methods. As predictors we first consider soil moisture persistence only, using two independent global soil moisture data sets. In a second step we include three teleconnection indices indicative of the main northern, tropical, and southern atmospheric modes, i.e., the North Atlantic Oscillation (NAO), the Southern Oscillation Index (SOI), and the Antarctic Oscillation (AAO). For many regions results show significant skill in predicting soil moisture variability with lead times up to 5months. Soil moisture persistence plays a key role at monthly to subseasonal time scales. With increasing lead times large-scale atmospheric drivers become more important, and areas influenced by teleconnection indices show higher predictability. This long lead time predictability of soil moisture may help to improve early warning systems for important natural hazards, such as heat waves, droughts, wildfires, and floods.</t>
  </si>
  <si>
    <t>[Nicolai-Shaw, Nadine; Gudmundsson, Lukas; Hirschi, Martin; Seneviratne, Sonia I.] ETH, Inst Atmospher &amp; Climate Sci, Zurich, Switzerland</t>
  </si>
  <si>
    <t>Swiss Federal Institutes of Technology Domain; ETH Zurich</t>
  </si>
  <si>
    <t>Nicolai-Shaw, N (corresponding author), ETH, Inst Atmospher &amp; Climate Sci, Zurich, Switzerland.</t>
  </si>
  <si>
    <t>nadine.nicolai@env.ethz.ch</t>
  </si>
  <si>
    <t>Hirschi, Martin/ABF-1564-2020; Gudmundsson, Lukas/I-9535-2014; Seneviratne, Sonia I./G-8761-2011</t>
  </si>
  <si>
    <t>Hirschi, Martin/0000-0001-9154-756X; Gudmundsson, Lukas/0000-0003-3539-8621; Seneviratne, Sonia I./0000-0001-9528-2917; Nicolai-Shaw, Nadine/0000-0002-5369-8401</t>
  </si>
  <si>
    <t>ESA's Climate Change Initiative for Soil Moisture [4000112226/14/I-NB]</t>
  </si>
  <si>
    <t>ESA's Climate Change Initiative for Soil Moisture</t>
  </si>
  <si>
    <t>Financial support was provided by the ESA's Climate Change Initiative for Soil Moisture (contract 4000112226/14/I-NB). We acknowledge the providers of soil moisture data of the following products: CCI-SM (http://www.esa-soilmoisture-cci.org) and ERA-Land (http://www.ecmwf.int/); and the National Oceanic and Atmospheric Administration Climate Prediction Center (http://www.cpc.ncep.noaa.gov) for providing the teleconnection indices.</t>
  </si>
  <si>
    <t>10.1002/2016GL069847</t>
  </si>
  <si>
    <t>WOS:000384443800027</t>
  </si>
  <si>
    <t>Langley, ES; Leeson, AA; Stokes, CR; Jamieson, SSR</t>
  </si>
  <si>
    <t>Langley, Emily S.; Leeson, Amber A.; Stokes, Chris R.; Jamieson, Stewart S. R.</t>
  </si>
  <si>
    <t>Seasonal evolution of supraglacial lakes on an East Antarctic outlet glacier</t>
  </si>
  <si>
    <t>East Antarctic glaciology; supraglacial lakes; supraglacial channels; drainage</t>
  </si>
  <si>
    <t>GREENLAND ICE-SHEET; WESTERN GREENLAND; GROUNDING ZONE; SURFACE; SHELF; DRAINAGE; ACCELERATION; FRACTURE; MARGIN; ISBRAE</t>
  </si>
  <si>
    <t>Supraglacial lakes are known to influence ice melt and ice flow on the Greenland ice sheet and potentially cause ice shelf disintegration on the Antarctic Peninsula. In East Antarctica, however, our understanding of their behavior and impact is more limited. Using &gt;150 optical satellite images and meteorological records from 2000 to 2013, we provide the first multiyear analysis of lake evolution on Langhovde Glacier, Dronning Maud Land (69 degrees 11S, 39 degrees 32E). We mapped 7990 lakes and 855 surface channels up to 18.1km inland (similar to 670mabove sea level) from the grounding line and document three pathways of lake demise: (i) refreezing, (ii) drainage to the englacial/subglacial environment (on the floating ice), and (iii) overflow into surface channels (on both the floating and grounded ice). The parallels between these mechanisms, and those observed on Greenland and the Antarctic Peninsula, suggest that lakes may similarly affect rates and patterns of ice melt, ice flow, and ice shelf disintegration in East Antarctica.</t>
  </si>
  <si>
    <t>[Langley, Emily S.; Stokes, Chris R.; Jamieson, Stewart S. R.] Univ Durham, Dept Geog, Durham, England; [Leeson, Amber A.] Univ Lancaster, Lancaster Environm Ctr, Data Sci Inst, Lancaster, England</t>
  </si>
  <si>
    <t>Durham University; Lancaster University</t>
  </si>
  <si>
    <t>Langley, ES (corresponding author), Univ Durham, Dept Geog, Durham, England.</t>
  </si>
  <si>
    <t>emily.langley@durham.ac.uk</t>
  </si>
  <si>
    <t>Leeson, Amber/JFA-1001-2023; Jamieson, Stewart S.R./B-8330-2013; Stokes, Chris/A-1957-2011</t>
  </si>
  <si>
    <t>Jamieson, Stewart S.R./0000-0002-9036-2317; Stokes, Chris/0000-0003-3355-1573; Leeson, Amber/0000-0001-8720-9808</t>
  </si>
  <si>
    <t>Natural Environment Research Council (NERC) [NE/J018333/1]; NERC [NE/J018333/1, cpom30001] Funding Source: UKRI; Natural Environment Research Council [NE/J018333/1, cpom30001, ceh010010] Funding Source: researchfish</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</si>
  <si>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</si>
  <si>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Data generated for this paper are available from the corresponding author. S.S.R.J. was supported by Natural Environment Research Council (NERC) Fellowship NE/J018333/1. We thank climate scientists at the National Institute of Polar Research for access to Syowa temperature data. This manuscript was considerably improved by constructive comments from two anonymous reviewers and the Editor (Julienne Stroeve).</t>
  </si>
  <si>
    <t>10.1002/2016GL069511</t>
  </si>
  <si>
    <t>WOS:000384443800028</t>
  </si>
  <si>
    <t>Piñones, A; Fedorov, AV</t>
  </si>
  <si>
    <t>Pinones, Andrea; Fedorov, Alexey V.</t>
  </si>
  <si>
    <t>Projected changes of Antarctic krill habitat by the end of the 21st century</t>
  </si>
  <si>
    <t>Antarctic; sea ice; ocean temperature; climate change; Antarctic krill</t>
  </si>
  <si>
    <t>MODELS HISTORICAL BIAS; EUPHAUSIA-SUPERBA DANA; NATURAL GROWTH-RATES; SOUTHERN-OCEAN; ENVIRONMENTAL VARIABILITY; CLIMATE-CHANGE; LIFE-HISTORY; SEA; TEMPERATURE; TRANSPORT</t>
  </si>
  <si>
    <t>Climate change is rapidly shaping the living environment of the most abundant keystone species of the Antarctic marine food web, Antarctic krill. Projected future changes for the krill habitat include a sustained increase in ocean temperature and changes in sea ice and chlorophyll a. Here we investigate how these factors affect the early life history of krill and identify the regions around Antarctica where the impact will be greatest. Our tool is a temperature-dependent krill growth model forced by data from comprehensive greenhouse warming simulations. We find that by the year 2100 localized regions along the western Weddell Sea, isolated areas of the Indian Antarctic , and the Amundsen/Bellingshausen Sea will support successful spawning habitats for krill. The failure of potentially successful spawning will have a strong impact on the already declining adult populations with consequences for the Antarctic marine food web, having both ecological and commercial ramifications.</t>
  </si>
  <si>
    <t>[Pinones, Andrea; Fedorov, Alexey V.] Yale Univ, Dept Geol &amp; Geophys, New Haven, CT 06520 USA; [Pinones, Andrea] Univ Catolica Norte, Fac Ciencias Mar, CEAZA, Coquimbo, Chile; [Pinones, Andrea] Ctr FONDAP Invest Dinam Ecosistemas Marinos Altas, Valdivia, Chile</t>
  </si>
  <si>
    <t>Yale University; Universidad Catolica del Norte</t>
  </si>
  <si>
    <t>Piñones, A (corresponding author), Yale Univ, Dept Geol &amp; Geophys, New Haven, CT 06520 USA.;Piñones, A (corresponding author), Univ Catolica Norte, Fac Ciencias Mar, CEAZA, Coquimbo, Chile.;Piñones, A (corresponding author), Ctr FONDAP Invest Dinam Ecosistemas Marinos Altas, Valdivia, Chile.</t>
  </si>
  <si>
    <t>pinones.a@gmail.com</t>
  </si>
  <si>
    <t>Pinones, Andrea/0000-0002-1737-9016</t>
  </si>
  <si>
    <t>Yale Climate and Energy Institute at Yale University; Integrated Marine Biogeochemistry and Ecosystem Research (IMBER); United States Ocean Carbon and Biogeochemistry (US-OCB) programs; CONICYT through the Program FONDAP [15150003]</t>
  </si>
  <si>
    <t>Yale Climate and Energy Institute at Yale University; Integrated Marine Biogeochemistry and Ecosystem Research (IMBER); United States Ocean Carbon and Biogeochemistry (US-OCB) programs; CONICYT through the Program FONDAP</t>
  </si>
  <si>
    <t>This research was funded by the Yale Climate and Energy Institute at Yale University. We thank Angus Atkinson for providing the KRILLBASE data set. We thank, Eileen Hofmann and Diego Narvaez for comments and discussions during an early draft of the manuscript. A.P. thanks the Integrated Marine Biogeochemistry and Ecosystem Research (IMBER) and the United States Ocean Carbon and Biogeochemistry (US-OCB) programs for partially financing participation in the IMBER Open Science Conference. A.P. thanks Postdoctoral FONDECYT/Chile 3150252 and CONICYT through the Program FONDAP, Project 15150003. We also like to acknowledge the World Climate Research Programme's working group on coupled modeling, responsible for CMIP5 and the climate modeling groups for producing and making available their model output. These data sets were downloaded from the CMIP5 data portal: http://cmip-pcmdi.llnl.gov/cmip5/data_portal.html. The temperature and salinity observations from the World Ocean Atlas were obtained from the NOAA website https://www.nodc.noaa.gov/OC5/indprod.html. The gridded SeaWiFS chlorophyll a in network common data form (netCDF) was obtained from the Joint Institute for the Study of the Atmosphere and Ocean http://research.jisao.washington.edu/data_sets/. We would like to acknowledge the insightful comments from two anonymous reviewers whose suggestions have improved and strengthened this study.</t>
  </si>
  <si>
    <t>10.1002/2016GL069656</t>
  </si>
  <si>
    <t>WOS:000384443800030</t>
  </si>
  <si>
    <t>Clem, KR; Renwick, JA; McGregor, J; Fogt, RL</t>
  </si>
  <si>
    <t>Clem, Kyle R.; Renwick, James A.; McGregor, James; Fogt, Ryan L.</t>
  </si>
  <si>
    <t>The relative influence of ENSO and SAM on Antarctic Peninsula climate</t>
  </si>
  <si>
    <t>SOUTHERN ANNULAR MODE; ICE SHELVES; VARIABILITY; CIRCULATION; IMPACT; TROPICS; FLOW</t>
  </si>
  <si>
    <t>Recent warming of the Antarctic Peninsula during austral autumn, winter, and spring has been linked to sea surface temperature (SST) trends in the tropical Pacific and tropical Atlantic, while warming of the northeast Peninsula during summer has been linked to a strengthening of westerly winds traversing the Peninsula associated with a positive trend in the Southern Annular Mode (SAM). Here we demonstrate that circulation changes associated with the SAM dominate interannual temperature variability across the entire Antarctic Peninsula during both summer and autumn, while relationships with tropical Pacific SST variability associated with the El Nino-Southern Oscillation (ENSO) are strongest and statistically significant primarily during winter and spring only. We find the ENSO-Peninsula temperature relationship during autumn to be weak on interannual time scales and regional circulation anomalies associated with the SAM more important for interannual temperature variability across the Peninsula during autumn. Consistent with previous studies, western Peninsula temperatures during autumn, winter, and spring are closely tied to changes in the Amundsen Sea Low (ASL) and associated meridional wind anomalies. The interannual variability of ASL depth is most strongly correlated with the SAM index during autumn, while the ENSO relationship is strongest during winter and spring. Investigation of western and northeast Peninsula temperatures separately reveals that interannual variability of northeast Peninsula temperatures is primarily sensitive to zonal wind anomalies crossing the Peninsula and resultant leeside adiabatic warming rather than to meridional wind anomalies, which is closely tied to variability in the zonal portion of the SAM pattern.</t>
  </si>
  <si>
    <t>[Clem, Kyle R.; Renwick, James A.; McGregor, James] Victoria Univ Wellington, Sch Geog Environm &amp; Earth Sci, Wellington, New Zealand; [Fogt, Ryan L.] Ohio Univ, Dept Geog, Athens, OH 45701 USA</t>
  </si>
  <si>
    <t>Victoria University Wellington; University System of Ohio; Ohio University</t>
  </si>
  <si>
    <t>Clem, KR (corresponding author), Victoria Univ Wellington, Sch Geog Environm &amp; Earth Sci, Wellington, New Zealand.</t>
  </si>
  <si>
    <t>kyle.clem@vuw.ac.nz</t>
  </si>
  <si>
    <t>Fogt, Ryan L/B-6989-2008; Clem, Kyle/AAG-6626-2021</t>
  </si>
  <si>
    <t>Fogt, Ryan L/0000-0002-5398-3990; Clem, Kyle/0000-0002-1419-2758</t>
  </si>
  <si>
    <t>Victoria Doctoral Scholarship</t>
  </si>
  <si>
    <t>Three anonymous reviewers are thanked for their helpful comments, which helped clarify our main points. The European Centre for Medium-Range Weather Forecasts (ECMWF) is thanked for providing the ERA-Interim Reanalysis data, which were accessed freely online at http://www.ecmwf.int/en/research/climate-reanalysis. The Global Modeling and Assimilation Office and Goddard Space Flight Center are thanked for providing the MERRA-2 reanalysis data, which were used to confirm results using ERA-Interim. MERRA-2 data were also accessed freely online at http://disc.sci.gsfc.nasa.gov/daac-bin/FTPSubset2.pl. The UK Met Office Hadley Centre is thanked for providing the SST data, which were accessed freely online at http://www.metoffice.gov.uk/hadobs/hadisst/index.html. The NOAA/OAR/ESRL PSD, Boulder, CO, USA, is thanked for providing the ERSST version 4 SST data, which were used to confirm results using HadISST and were accessed freely from their website at http://www.esrl.noaa.gov/psd/. K.R.C. is supported by a Victoria Doctoral Scholarship.</t>
  </si>
  <si>
    <t>AUG 27</t>
  </si>
  <si>
    <t>10.1002/2016JD025305</t>
  </si>
  <si>
    <t>DZ9OQ</t>
  </si>
  <si>
    <t>WOS:000386207200004</t>
  </si>
  <si>
    <t>Park, AK; Kim, IS; Jeon, BW; Roh, SJ; Ryu, MY; Baek, HR; Jo, SW; Kim, YS; Park, H; Lee, JH; Yoon, HS; Kim, HW</t>
  </si>
  <si>
    <t>Park, Ae Kyung; Kim, Il-Sup; Jeon, Byung Wook; Roh, Soo Jung; Ryu, Min- Young; Baek, Hae-Ri; Jo, Seoung-Woo; Kim, Young-Saeng; Park, Hyun; Lee, Jun Hyuck; Yoon, Ho-Sung; Kim, Han-Woo</t>
  </si>
  <si>
    <t>Crystal structures of aldehyde deformylating oxygenase from Limnothrix sp KNUA012 and Oscillatoria sp KNUA011</t>
  </si>
  <si>
    <t>BIOCHEMICAL AND BIOPHYSICAL RESEARCH COMMUNICATIONS</t>
  </si>
  <si>
    <t>Aldehyde deformylating oxygenase; Ferritin-like di-iron protein; Limnothrix sp KNUA012; Oscillatoria sp KNUA011</t>
  </si>
  <si>
    <t>SHORT-CHAIN ALKANES; ELECTRON-TRANSFER; CYANOBACTERIUM; DECARBONYLASE; BIOSYNTHESIS; INTERMEDIATE; CONVERSION; SUBSTRATE</t>
  </si>
  <si>
    <t>The cyanobacterial aldehyde deformylating oxygenase (cADO) is a key enzyme that catalyzes the unusual deformylation of aliphatic aldehydes for alkane biosynthesis and can be applied to the production of biofuel in vitro and in vivo. In this study, we determined crystal structures of two ADOs from Limnothrix sp. KNUA012 (LiADO) and Oscillatoria sp. KNUA011 (OsADO). The structures of LiADO and OsADO resembled those of typical cADOs, consisting of eight alpha-helices found in ferritin-like di-iron proteins. However, structural comparisons revealed that while the LiADO active site was vacant of iron and substrates, the OsADO active site was fully occupied, containing both a coordinated metal ion and substrate. Previous reports indicated that helix 5 is capable of adopting two distinct conformations depending upon the existence of bound iron. We observed that helix 5 of OsADO with an iron bound in the active site presented as a long helix, whereas helix 5 of LiADO, which lacked iron in the active site, presented two conformations (one long and two short helices), indicating that an equilibrium exists between the two states in solution. Furthermore, acquisition of a structure Having a fully occupied active site is unique in the absence of higher iron concentrations as compared with other cADO structures, wherein low affinity for iron complicates the acquisition of crystal structures with bound iron. An indepth analysis of the ADO apo-enzyme, the enzyme with substrate bound, and the enzyme with both iron and substrate bound provided novel insight into substrate-binding modes in the absence of a coordinated metal ion and suggested a separate two-step binding mechanism for substrate and iron cofactors. Moreover, our results provided a comprehensive structural basis for conformational changes induced by binding of the substrate and co-factor. (C) 2016 Elsevier Inc. All rights reserved.</t>
  </si>
  <si>
    <t>[Park, Ae Kyung; Jeon, Byung Wook; Roh, Soo Jung; Park, Hyun; Lee, Jun Hyuck; Kim, Han-Woo] Korea Polar Res Inst, Div Polar Life Sci, Inchon 21990, South Korea; [Kim, Il-Sup; Yoon, Ho-Sung] Kyungpook Natl Univ, Plus KNU Creat BioRes Grp BK21, Sch Life Sci, Daegu 41566, South Korea; [Ryu, Min- Young; Baek, Hae-Ri; Yoon, Ho-Sung] Kyungpook Natl Univ, Dept Biol, Daegu 41566, South Korea; [Jo, Seoung-Woo] Kyungpook Natl Univ, Dept Energy Sci, Daegu 41566, South Korea; [Kim, Young-Saeng] Univ Calif San Diego, Div Biol Sci, La Jolla, CA 92093 USA; [Park, Hyun; Lee, Jun Hyuck; Kim, Han-Woo] Univ Sci &amp; Technol, Dept Polar Sci, Inchon 21990, South Korea</t>
  </si>
  <si>
    <t>Korea Polar Research Institute (KOPRI); Kyungpook National University; Kyungpook National University; Kyungpook National University; University of California System; University of California San Diego</t>
  </si>
  <si>
    <t>Lee, JH; Kim, HW (corresponding author), Korea Polar Res Inst, Div Polar Life Sci, Inchon 21990, South Korea.;Yoon, HS (corresponding author), Kyungpook Natl Univ, Dept Biol, Coll Nat Sci, Daegu 41566, South Korea.</t>
  </si>
  <si>
    <t>junhyucklee@kopri.re.kr; hsy@knu.ac.kr; hwkim@kopri.re.kr</t>
  </si>
  <si>
    <t>Korea Polar Research Institute [PE16070]; Next-Generation BioGreen 21 Program, Rural Development Administration, Korea [PJ0111222016]</t>
  </si>
  <si>
    <t>Korea Polar Research Institute(Korea Polar Research Institute of Marine Research Placement (KOPRI)); Next-Generation BioGreen 21 Program, Rural Development Administration, Korea(Rural Development Administration (RDA), Republic of Korea)</t>
  </si>
  <si>
    <t>We would like to thank the staff at the BL-5C and BL-7A of the Pohang Accelerator Laboratory (Pohang, Korea) for their help with data collection. This work was supported by the Antarctic organisms: Cold-Adaptation Mechanisms and its application grant (PE16070) funded by the Korea Polar Research Institute and by the Next-Generation BioGreen 21 Program (No. PJ0111222016), Rural Development Administration, Korea.</t>
  </si>
  <si>
    <t>0006-291X</t>
  </si>
  <si>
    <t>1090-2104</t>
  </si>
  <si>
    <t>BIOCHEM BIOPH RES CO</t>
  </si>
  <si>
    <t>Biochem. Biophys. Res. Commun.</t>
  </si>
  <si>
    <t>AUG 26</t>
  </si>
  <si>
    <t>10.1016/j.bbrc.2016.06.090</t>
  </si>
  <si>
    <t>DS4DQ</t>
  </si>
  <si>
    <t>WOS:000380732000014</t>
  </si>
  <si>
    <t>Mikus, H; Miller, A; Nastase, G; Serban, A; Shapira, M; Rubinsky, B</t>
  </si>
  <si>
    <t>Mikus, Hannah; Miller, Alexander; Nastase, Gabriel; Serban, Alexandru; Shapira, Michael; Rubinsky, Boris</t>
  </si>
  <si>
    <t>The nematode Caenorhabditis elegans survives subfreezing temperatures in an isochoric system</t>
  </si>
  <si>
    <t>Isochoric system; Living cells; Caenorhabditis elegans; Freezing; Survive</t>
  </si>
  <si>
    <t>PRESERVATION; PRINCIPLES; CRYOPRESERVATION; PROTEINS; CELLS</t>
  </si>
  <si>
    <t>This study is the first experimental evidence showing that a living multicellular organism, the nematode Caenorhabditis elegans, can survive subfreezing temperatures in an isochoric (constant volume) thermodynamic system, while immersed in a simple isotonic solution, without the addition of cryoprotectants. Some of the test conditions were more extreme than those found at the ice/water interface of the Antarctic subglacial Vostok lake. On earth, life takes place in an isobaric (constant pressure) environment. In isobaric systems, subfreezing temperature survival of organisms in nature and subfreezing temperature preservation of living material for biotechnology and medicine, is made possible by use of cryoprotective chemicals additives. Our theoretical thermodynamic studies suggested that in an isochoric system, living biological material could survive subfreezing temperatures, without any cryoprotective chemicals. By confirming the theoretical predictions, this paper suggests a new technology for subfreezing preservation of cells, organs and organisms of possible value for biotechnology and medicine as well as new possible mechanisms of living organism survival in nature. (C) 2016 Elsevier Inc. All rights reserved.</t>
  </si>
  <si>
    <t>[Mikus, Hannah; Miller, Alexander; Nastase, Gabriel; Rubinsky, Boris] Univ Calif Berkeley, Dept Mech Engn, Berkeley, CA 94720 USA; [Nastase, Gabriel; Serban, Alexandru] Transilvania Univ Brasov, Dept Bldg Serv, Brasov 500036, Romania; [Shapira, Michael] Univ Calif Berkeley, Dept Integrat Biol, Berkeley, CA 94720 USA</t>
  </si>
  <si>
    <t>University of California System; University of California Berkeley; Transylvania University of Brasov; University of California System; University of California Berkeley</t>
  </si>
  <si>
    <t>Nastase, G; Rubinsky, B (corresponding author), Univ Calif Berkeley, Dept Mech Engn, Berkeley, CA 94720 USA.</t>
  </si>
  <si>
    <t>traznasa@gmail.com; rubinsky@berkeley.edu</t>
  </si>
  <si>
    <t>Rubinsky, Boris/B-4439-2010; NASTASE, Gabriel/AAP-9108-2020</t>
  </si>
  <si>
    <t>NASTASE, Gabriel/0000-0003-4843-0619</t>
  </si>
  <si>
    <t>10.1016/j.bbrc.2016.06.089</t>
  </si>
  <si>
    <t>WOS:000380732000015</t>
  </si>
  <si>
    <t>Zidarova, R; Kopalová, K; Van de Vijver, B</t>
  </si>
  <si>
    <t>Zidarova, Ralitsa; Kopalova, Katerina; Van de Vijver, Bart</t>
  </si>
  <si>
    <t>Ten new Bacillariophyta species from James Ross Island and the South Shetland Islands (Maritime Antarctic Region)</t>
  </si>
  <si>
    <t>Antarctica; diatoms; morphology; taxonomy</t>
  </si>
  <si>
    <t>GENUS MUELLERIA BACILLARIOPHYTA; LUTICOLA TAXA BACILLARIOPHYTA; LIVINGSTON ISLAND; FRESH-WATER; DIATOMS BACILLARIOPHYTA; REVISION; COMMUNITIES; SELLAPHORA; DISTANTES; PENINSULA</t>
  </si>
  <si>
    <t>The present paper describes 10 new diatom (Bacillariophyta) species from the Maritime Antarctic Region. Five of the newly described taxa: Caloneis australis sp. nov., Mayamaea sweetloveana sp. nov., Navicula romanedwardii sp. nov., Sellaphora antarctica sp. nov. and Sellaphora gracillima sp. nov. have been previously reported from the Antarctic Region but were force-fitted into incorrect names. Five other taxa: Chamaepinnularia elliptica sp. nov., Cosmioneis regigeorgiensis sp. nov., Mayamaea tytgatiana sp. nov., Muelleria pimpireviana sp. nov. and Pinnularia pinseeliana sp. nov. are newly discovered taxa. The morphology of all new species is studied using both light and scanning electon microscope observations and compared with similar species from the Antarctic Region and worldwide. Data about the ecology and confirmed Antarctic distribution of the new species are added.</t>
  </si>
  <si>
    <t>[Zidarova, Ralitsa] St Kliment Ohridski Univ Sofia, Fac Biol, Dept Bot, 8 Dragan Tzankov Blvd, Sofia 1164, Bulgaria; [Kopalova, Katerina] Charles Univ Prague, Fac Sci, Dept Ecol, Vinicna 7, Prague 12844 2, Czech Republic; [Van de Vijver, Bart] Bot Garden Meise, Dept Bryophyta &amp; Thallophyta, Nieuwelaan 38, B-1860 Meise, Belgium; [Van de Vijver, Bart] Univ Antwerp, Dept Biol, ECOBE, Univ Pl 1, B-2610 Antwerp, Belgium</t>
  </si>
  <si>
    <t>University of Sofia; Charles University Prague; University of Antwerp</t>
  </si>
  <si>
    <t>Zidarova, R (corresponding author), St Kliment Ohridski Univ Sofia, Fac Biol, Dept Bot, 8 Dragan Tzankov Blvd, Sofia 1164, Bulgaria.</t>
  </si>
  <si>
    <t>zidarova.r@gmail.com</t>
  </si>
  <si>
    <t>Kopalova, Katerina/0000-0002-7905-4268; Zidarova, Ralitsa/0000-0002-6451-0099</t>
  </si>
  <si>
    <t>long-term research development project RVO [67985939]; IPY-Limnopolar Project (Ministerio de Ciencia y Tecnologia, Spain) [POL2006-06635]; BELSPO project CCAMBIO</t>
  </si>
  <si>
    <t>long-term research development project RVO; IPY-Limnopolar Project (Ministerio de Ciencia y Tecnologia, Spain); BELSPO project CCAMBIO</t>
  </si>
  <si>
    <t>This study was supported as a long-term research development project RVO no. 67985939. Samples on Byers Peninsula (Livingston Island) were taken in the framework of the IPY-Limnopolar Project POL2006-06635 (Ministerio de Ciencia y Tecnologia, Spain). Sampling and studies on Deception Island, King George Island and Nelson Island were done within My 03-63 (Science Fund, Bulgaria). Dr. Blagoy Uzunov (University of Sofia) is thanked for his help during the field work on Deception Island, Nelson Island and King George Island in 2013, and the staff of Decepcion Base on Deception Island and Bellingshausen Station on King George Island are thanked for their assistance. Bulgarian Antarctic Institute is acknowledgeed for logistical support. Part of this research was funded within the BELSPO project CCAMBIO. Dr. Alex Ball and the staff of the IAC laboratory at the Natural History Museum are thanked for their help with the scanning electron microscopy. The authors would like to thank the members of expedition to the Czech J.G. Mendel Antarctic Station for field support and assistance. The referees are thanked for their constructive remarks.</t>
  </si>
  <si>
    <t>250F Marua Road Mt Wellington, AUCKLAND, ST LUKES 1023, NEW ZEALAND</t>
  </si>
  <si>
    <t>10.11646/phytotaxa.272.1.2</t>
  </si>
  <si>
    <t>DU4IM</t>
  </si>
  <si>
    <t>WOS:000382176300002</t>
  </si>
  <si>
    <t>Goelzer, H; Huybrechts, P; Loutre, MF; Fichefet, T</t>
  </si>
  <si>
    <t>Goelzer, Heiko; Huybrechts, Philippe; Loutre, Marie-France; Fichefet, Thierry</t>
  </si>
  <si>
    <t>Impact of ice sheet meltwater fluxes on the climate evolution at the onset of the Last Interglacial</t>
  </si>
  <si>
    <t>SEA-LEVEL; SOUTHERN-OCEAN; PROBABILISTIC ASSESSMENT; BIPOLAR SEESAW; GREENLAND; MODEL; TEMPERATURE; EXTENT; ATLANTIC; HISTORY</t>
  </si>
  <si>
    <t>Large climate perturbations occurred during the transition between the penultimate glacial period and the Last Interglacial (Termination II), when the ice sheets retreated from their glacial configuration. Here we investigate the impact of ice sheet changes and associated freshwater fluxes on the climate evolution at the onset of the Last Interglacial. The period from 135 to 120 kyr BP is simulated with the Earth system model of intermediate complexity LOVECLIM v.1.3 with prescribed evolution of the Antarctic ice sheet, the Greenland ice sheet, and the other Northern Hemisphere ice sheets. Variations in meltwater fluxes from the Northern Hemisphere ice sheets lead to North Atlantic temperature changes and modifications of the strength of the Atlantic meridional overturning circulation. By means of the interhemispheric see-saw effect, variations in the Atlantic meridional overturning circulation also give rise to temperature changes in the Southern Hemisphere, which are additionally modulated by the direct impact of Antarctic meltwater fluxes into the Southern Ocean. Freshwater fluxes from the melting Antarctic ice sheet lead to a millennial timescale oceanic cold event in the Southern Ocean with expanded sea ice as evidenced in some ocean sediment cores, which may be used to constrain the timing of ice sheet retreat.</t>
  </si>
  <si>
    <t>[Goelzer, Heiko; Huybrechts, Philippe] Vrije Univ Brussel, Earth Syst Sci, Brussels, Belgium; [Goelzer, Heiko; Huybrechts, Philippe] Vrije Univ Brussel, Dept Geog, Brussels, Belgium; [Loutre, Marie-France] Catholic Univ Louvain, Earth &amp; Life Inst, Georges Lemaitre Ctr Earth &amp; Climate Res TECLIM, Louvain La Neuve, Belgium; [Goelzer, Heiko] Univ Utrecht, Inst Marine &amp; Atmospher Res Utrecht, NL-3508 TC Utrecht, Netherlands</t>
  </si>
  <si>
    <t>Vrije Universiteit Brussel; Vrije Universiteit Brussel; Universite Catholique Louvain; Utrecht University</t>
  </si>
  <si>
    <t>Goelzer, H (corresponding author), Vrije Univ Brussel, Earth Syst Sci, Brussels, Belgium.;Goelzer, H (corresponding author), Vrije Univ Brussel, Dept Geog, Brussels, Belgium.;Goelzer, H (corresponding author), Univ Utrecht, Inst Marine &amp; Atmospher Res Utrecht, NL-3508 TC Utrecht, Netherlands.</t>
  </si>
  <si>
    <t>h.goelzer@uu.nl</t>
  </si>
  <si>
    <t>Goelzer, Heiko/M-2367-2016; Loutre, Marie-France/L-3594-2018; Huybrechts, Philippe/J-5278-2013</t>
  </si>
  <si>
    <t>Goelzer, Heiko/0000-0002-5878-9599; Loutre, Marie-France/0000-0001-6944-4038; Huybrechts, Philippe/0000-0003-1406-0525</t>
  </si>
  <si>
    <t>Belgian Federal Science Policy Office within Research Programme on Science for a Sustainable Development [SD/CS/06A]; Fond de la Recherche Scientifique de Belgique (FRS-FNRS)</t>
  </si>
  <si>
    <t>Belgian Federal Science Policy Office within Research Programme on Science for a Sustainable Development(Belgian Federal Science Policy Office); Fond de la Recherche Scientifique de Belgique (FRS-FNRS)(Fonds de la Recherche Scientifique - FNRS)</t>
  </si>
  <si>
    <t>We acknowledge support through the Belgian Federal Science Policy Office within its Research Programme on Science for a Sustainable Development under contract SD/CS/06A (iCLIPS). Computational resources were provided by the supercomputing facilities of the Universite catholique de Louvain (CISM/UCL) and the Consortium des Equipements de Calcul Intensif en Federation Wallonie Bruxelles (CECI), funded by the Fond de la Recherche Scientifique de Belgique (FRS-FNRS). We thank the two anonymous reviewers and the editor for constructive comments and their follow-up of the manuscript.</t>
  </si>
  <si>
    <t>AUG 25</t>
  </si>
  <si>
    <t>10.5194/cp-12-1721-2016</t>
  </si>
  <si>
    <t>DW6ZC</t>
  </si>
  <si>
    <t>WOS:000383798900001</t>
  </si>
  <si>
    <t>Abram, NJ; McGregor, HV; Tierney, JE; Evans, MN; McKay, NP; Kaufman, DS; Kaustubh, T; Martrat, B; Goosse, H; Phipps, SJ; Steig, EJ; Kilbourne, KH; Saenger, CP; Zinke, J; Leduc, G; Addison, JA; Mortyn, PG; Seidenkrantz, MS; Sicre, MA; Selvaraj, K; Filipsson, HL; Neukom, R; Gergis, J; Curran, MAJ; von Gunten, L</t>
  </si>
  <si>
    <t>Abram, Nerilie J.; McGregor, Helen V.; Tierney, Jessica E.; Evans, Michael N.; McKay, Nicholas P.; Kaufman, Darrell S.; Kaustubh, Thirumalai; Martrat, Belen; Goosse, Hugues; Phipps, Steven J.; Steig, Eric J.; Kilbourne, K. Halimeda; Saenger, Casey P.; Zinke, Jens; Leduc, Guillaume; Addison, Jason A.; Mortyn, P. Graham; Seidenkrantz, Marit-Solveig; Sicre, Marie-Alexandrine; Selvaraj, Kandasamy; Filipsson, Helena L.; Neukom, Raphael; Gergis, Joelle; Curran, Mark A. J.; von Gunten, Lucien</t>
  </si>
  <si>
    <t>PAGES 2K Consortium</t>
  </si>
  <si>
    <t>Early onset of industrial-era warming across the oceans and continents</t>
  </si>
  <si>
    <t>SEA-SURFACE TEMPERATURE; PACIFIC CONVERGENCE ZONE; CLIMATE FORCING RECONSTRUCTIONS; CARBON ISOTOPIC RECORD; WESTERN INDIAN-OCEAN; TROPICAL PACIFIC; SOUTHERN-OSCILLATION; STABLE OXYGEN; RECENT INTENSIFICATION; PMIP SIMULATIONS</t>
  </si>
  <si>
    <t>The evolution of industrial-era warming across the continents and oceans provides a context for future climate change and is important for determining climate sensitivity and the processes that control regional warming. Here we use post-AD 1500 palaeoclimate records to show that sustained industrial-era warming of the tropical oceans first developed during the mid-nineteenth century and was nearly synchronous with Northern Hemisphere continental warming. The early onset of sustained, significant warming in palaeoclimate records and model simulations suggests that greenhouse forcing of industrial-era warming commenced as early as the mid-nineteenth century and included an enhanced equatorial ocean response mechanism. The development of Southern Hemisphere warming is delayed in reconstructions, but this apparent delay is not reproduced in climate simulations. Our findings imply that instrumental records are too short to comprehensively assess anthropogenic climate change and that, in some regions, about 180 years of industrial-era warming has already caused surface temperatures to emerge above pre-industrial values, even when taking natural variability into account.</t>
  </si>
  <si>
    <t>[Abram, Nerilie J.] Australian Natl Univ, Res Sch Earth Sci, Canberra, ACT 2601, Australia; [Abram, Nerilie J.] Australian Natl Univ, ARC Ctr Excellence Climate Syst Sci, Canberra, ACT 2601, Australia; [McGregor, Helen V.] Univ Wollongong, Sch Earth &amp; Environm Sci, Wollongong, NSW 2522, Australia; [Tierney, Jessica E.] Univ Arizona, Dept Geosci, Tucson, AZ 85721 USA; [Tierney, Jessica E.] Woods Hole Oceanog Inst, Woods Hole, MA 02543 USA; [Evans, Michael N.] Univ Maryland, Dept Geol, College Pk, MD 20742 USA; [Evans, Michael N.] Univ Maryland, Earth Syst Sci Interdisciplinary Ctr, College Pk, MD 20742 USA; [McKay, Nicholas P.; Kaufman, Darrell S.] No Arizona Univ, Sch Earth Sci &amp; Environm Sustainabil, Flagstaff, AZ 86011 USA; [Kaustubh, Thirumalai] Univ Texas Austin, Jackson Sch Geosci, Inst Geophys, Austin, TX 78758 USA; [Martrat, Belen] CSIC, Inst Environm Assessment &amp; Water Res IDAEA, Dept Environm Chem, ES-08034 Barcelona, Spain; [Martrat, Belen] Univ Cambridge, Dept Earth Sci, Downing St, Cambridge CB2 3EQ, England; [Goosse, Hugues] Univ Louvain, Earth &amp; Life Inst, Pl Pasteur 3, B-1348 Louvain, Belgium; [Phipps, Steven J.] Univ New S Wales, ARC Ctr Excellence Climate Syst Sci, Sydney, NSW 2052, Australia; [Phipps, Steven J.] Univ New S Wales, Climate Change Res Ctr, Sydney, NSW 2052, Australia; [Phipps, Steven J.] Univ Tasmania, Inst Marine &amp; Antarctic Studies, Hobart, Tas 7001, Australia; [Steig, Eric J.] Univ Edinburgh, Sch Geosci, Edinburgh EH9 3FE, Midlothian, Scotland; [Steig, Eric J.] Univ Washington, Dept Earth &amp; Space Sci, Seattle, WA 98195 USA; [Kilbourne, K. Halimeda] Univ Maryland, Chesapeake Biol Lab, Ctr Environm Sci, Solomons, MD 20688 USA; [Saenger, Casey P.] Univ Washington, Joint Inst Study Atmosphere &amp; Ocean, Seattle, WA USA; [Zinke, Jens] Curtin Univ Technol, Dept Environm &amp; Agr, Bentley, WA 6845, Australia; [Zinke, Jens] Australian Inst Marine Sci, 39 Fairway, Nedlands, WA 6009, Australia; [Zinke, Jens] Free Univ Berlin, Inst Geol Sci, Sect Palaeontol, Malteserstr 74-100, D-12249 Berlin, Germany; [Leduc, Guillaume] Aix Marseille Univ, CNRS, IRD, Coll France,CEREGE, F-13545 Aix En Provence, France; [Addison, Jason A.] US Geol Survey, 345 Middlefield Rd,MS 910, Menlo Pk, CA 94025 USA; [Mortyn, P. Graham] Univ Autonoma Barcelona, Inst Environm Sci &amp; Technol ICTA, Bellaterra 08193, Spain; [Mortyn, P. Graham] Univ Autonoma Barcelona, Dept Geog, Bellaterra 08193, Spain; [Seidenkrantz, Marit-Solveig] Aarhus Univ, Ctr Past Climate Studies, Hoegh-Guldbergs Gade 2, DK-8000 Aarhus C, Denmark; [Seidenkrantz, Marit-Solveig] Aarhus Univ, Arctic Res Ctr, Dept Geosci, Hoegh-Guldbergs Gade 2, DK-8000 Aarhus C, Denmark; [Sicre, Marie-Alexandrine] Sorbonne Univ, UPMC, Univ Paris 06, CNRS IRD MNHN,LOCEAN Lab, 4 Pl Jussieu, F-75005 Paris, France; [Selvaraj, Kandasamy] Xiamen Univ, State Key Lab Marine Environm Sci, Xiamen 361102, Peoples R China; [Selvaraj, Kandasamy] Xiamen Univ, Dept Geol Oceanog, Xiamen 361102, Peoples R China; [Filipsson, Helena L.] Lund Univ, Dept Geol, Solvegatan 12, SE-22362 Lund, Sweden; [Neukom, Raphael] Univ Bern, Oeschger Ctr Climate Change Res, CH-3012 Bern, Switzerland; [Neukom, Raphael] Univ Bern, Inst Geog, CH-3012 Bern, Switzerland; [Gergis, Joelle] Univ Melbourne, Sch Earth Sci, Melbourne, Vic 3010, Australia; [Gergis, Joelle] Univ Melbourne, ARC Ctr Excellence Climate Syst Sci, Melbourne, Vic 3010, Australia; [Curran, Mark A. J.] Australian Antarctic Div, Hobart, Tas 7000, Australia; [Curran, Mark A. J.] Antarctic Climate &amp; Ecosyst Cooperat Res Ctr, Hobart, Tas 7000, Australia; [von Gunten, Lucien] PAGES Int Project Off, Falkenpl 16, CH-3012 Bern, Switzerland</t>
  </si>
  <si>
    <t>Australian National University; ARC Centre of Excellence for Climate System Science; Australian National University; University of Wollongong; University of Arizona; Woods Hole Oceanographic Institution; University System of Maryland; University of Maryland College Park; University System of Maryland; University of Maryland College Park; Northern Arizona University; University of Texas System; University of Texas Austin; Consejo Superior de Investigaciones Cientificas (CSIC); CSIC - Centro de Investigacion y Desarrollo Pascual Vila (CID-CSIC); CSIC - Instituto de Diagnostico Ambiental y Estudios del Agua (IDAEA); University of Cambridge; ARC Centre of Excellence for Climate System Science; University of New South Wales Sydney; University of New South Wales Sydney; University of Tasmania; University of Edinburgh; University of Washington; University of Washington Seattle; University System of Maryland; University of Maryland Center for Environmental Science; University of Washington; University of Washington Seattle; Curtin University; Australian Institute of Marine Science; Free University of Berlin; Institut de Recherche pour le Developpement (IRD); Aix-Marseille Universite; Universite PSL; College de France; Centre National de la Recherche Scientifique (CNRS); United States Department of the Interior; United States Geological Survey; Autonomous University of Barcelona; Autonomous University of Barcelona; Aarhus University; Aarhus University; Sorbonne Universite; Museum National d'Histoire Naturelle (MNHN); Institut de Recherche pour le Developpement (IRD); Xiamen University; Xiamen University; Lund University; University of Bern; University of Bern; University of Melbourne; Melbourne Bioinformatics; ARC Centre of Excellence for Climate System Science; Melbourne Genomics Health Alliance; University of Melbourne; Australian Antarctic Division; Antarctic Climate &amp; Ecosystems Cooperative Research Centre (ACE CRC)</t>
  </si>
  <si>
    <t>Abram, NJ (corresponding author), Australian Natl Univ, Res Sch Earth Sci, Canberra, ACT 2601, Australia.;Abram, NJ (corresponding author), Australian Natl Univ, ARC Ctr Excellence Climate Syst Sci, Canberra, ACT 2601, Australia.</t>
  </si>
  <si>
    <t>nerilie.abram@anu.edu.au</t>
  </si>
  <si>
    <t>Neukom, Raphael/J-7842-2017; IPO, PAGES/JXY-7546-2024; McKay, Nicholas Paul/JYQ-5440-2024; Martrat, Belen/I-5952-2015; Marie-Alexandrine, Sicre/AAR-1516-2020; Kandasamy, Selvaraj/JJD-9543-2023; Abram, Nerilie/AAT-5171-2021; Kaufman, Darrell S/A-2471-2008; Zinke, Jens/G-5026-2011; Seidenkrantz, Marit-Solveig/T-7198-2019; Kilbourne, Hali/AAD-6043-2022; Seidenkrantz, Marit-Solveig/A-3451-2012; Steig, Eric J/G-9088-2015; Filipsson, Helena L/F-7419-2011; Phipps, Steven/B-3135-2008; Mortyn, P. Graham/I-3860-2015; Thirumalai, Kaustubh/N-2511-2014; Kandasamy, Selvaraj/H-5812-2013; McGregor, Helen/I-1479-2013</t>
  </si>
  <si>
    <t>Martrat, Belen/0000-0001-9904-9178; Marie-Alexandrine, Sicre/0000-0002-5015-1400; Kilbourne, Hali/0000-0001-7864-8438; Filipsson, Helena L/0000-0001-7200-8608; Phipps, Steven/0000-0001-5657-8782; Mortyn, P. Graham/0000-0002-9473-4309; von Gunten, Lucien/0000-0003-0425-2881; Thirumalai, Kaustubh/0000-0002-7875-4182; McKay, Nicholas/0000-0003-3598-5113; Seidenkrantz, Marit-Solveig/0000-0002-1973-5969; Kandasamy, Selvaraj/0000-0003-2916-5055; Evans, Michael Neil/0000-0003-3727-6898; McGregor, Helen/0000-0002-4031-2282; GERGIS, JOELLE/0000-0002-4168-7924; Neukom, Raphael/0000-0001-9392-0997; Abram, Nerilie/0000-0003-1246-2344; Hegerl, Gabriele/0000-0002-4159-1295; Tierney, Jessica/0000-0002-9080-9289; Addison, Jason/0000-0003-2416-9743</t>
  </si>
  <si>
    <t>PAGES - US National Science Foundation (NSF); PAGES - Swiss National Science Foundation (NSF); NOAA; Australian Research Council (ARC) QEII [DP110101161]; ARC Centre of Excellence for Climate System Science; ARC [FT140100286, DP1092945]; CSIC-Ramon y Cajal post-doctoral programme [RYC-2013-14073]; Clare Hall College Cambridge Shackleton Fellowship; ARC DECRA fellowship [DE130100668]; US NSF [OCE1536249]; ARC Special Research Initiative for the Antarctic Gateway Partnership [SR140300001]; Red CONSOLIDER GRACCIE [CTM2014-59111-REDC]; Swiss NSF [PZ00P2_154802]; Danish Council for Independent Research; Natural Science OCEANHEAT [12-126709/FNU]; National Natural Science Foundation of China [(41273083]; Shanghai Fund [2013SH012]; [DP140102059]; Directorate For Geosciences; Division Of Earth Sciences [1440015] Funding Source: National Science Foundation; ICER; Directorate For Geosciences [1450657] Funding Source: National Science Foundation; Australian Research Council [FT140100286] Funding Source: Australian Research Council</t>
  </si>
  <si>
    <t>PAGES - US National Science Foundation (NSF)(National Science Foundation (NSF)); PAGES - Swiss National Science Foundation (NSF); NOAA(National Oceanic Atmospheric Admin (NOAA) - USA); Australian Research Council (ARC) QEII(Australian Research Council); ARC Centre of Excellence for Climate System Science(Australian Research Council); ARC(Australian Research Council); CSIC-Ramon y Cajal post-doctoral programme; Clare Hall College Cambridge Shackleton Fellowship; ARC DECRA fellowship(Australian Research Council); US NSF(National Science Foundation (NSF)); ARC Special Research Initiative for the Antarctic Gateway Partnership(Australian Research Council); Red CONSOLIDER GRACCIE; Swiss NSF(Swiss National Science Foundation (SNSF)); Danish Council for Independent Research(Det Frie Forskningsrad (DFF)); Natural Science OCEANHEAT; National Natural Science Foundation of China(National Natural Science Foundation of China (NSFC)); Shanghai Fund; ; Directorate For Geosciences; Division Of Earth Sciences(National Science Foundation (NSF)NSF - Directorate for Geosciences (GEO)); ICER; Directorate For Geosciences(National Science Foundation (NSF)NSF - Directorate for Geosciences (GEO)); Australian Research Council(Australian Research Council)</t>
  </si>
  <si>
    <t>We thank the many scientists who made their published palaeoclimate datasets available via public data repositories. This work developed out of the PAGES (Past Global Changes) Ocean2k working group; we are grateful to K. Anchukaitis, H. Wu, C. Giry, D. Oppo and V. Ersek for their contributions to the Ocean2k syntheses, to the more than 75 volunteers who constructed the Ocean2k phase 1 metadatabase14,15, and to K. Anchukaitis and V. Trouet for discussions. We thank P. Petrelli, F. Klein and A. Schurer for assistance in obtaining model datasets, and K. McGregor for editorial assistance. We acknowledge support from PAGES funded by the US and Swiss National Science Foundations (NSF) and NOAA, and thank T. Kiefer, M.-F. Loutre and the PAGES 2k Network Coordinators for organizational support. We acknowledge the World Climate Research Programme's Working Group on Coupled Modelling, which is responsible for CMIP, and we thank the climate modelling groups for producing and making available their model output. The US Department of Energy's Program for Climate Model Diagnosis and Intercomparison provides coordinating support for CMIP and led development of software infrastructure in partnership with the Global Organization for Earth System Science Portals. N.J.A. is supported by an Australian Research Council (ARC) QEII fellowship awarded under DP110101161 and this work contributes to ARC Discovery Project DP140102059 (N.J.A., M.A.J.C.) and the ARC Centre of Excellence for Climate System Science (N.J.A., S.J.P.,J.G.). H.V.M. is supported by ARC Future Fellowship FT140100286 and acknowledges funding from ARC Discovery Project DP1092945 (H.M.V., S.J.P.). We acknowledge fellowship support from a CSIC-Ramon y Cajal post-doctoral programme RYC-2013-14073 (B.M.), a Clare Hall College Cambridge Shackleton Fellowship (B.M.), and an ARC DECRA fellowship DE130100668 (J.G.). We acknowledge research support from US NSF grant OCE1536249 (M.N.E.), the ARC Special Research Initiative for the Antarctic Gateway Partnership (Project ID SR140300001; S.J.P.), Red CONSOLIDER GRACCIE CTM2014-59111-REDC (B.M.), Swiss NSF grant PZ00P2_154802 (R.N.), the Danish Council for Independent Research, Natural Science OCEANHEAT project 12-126709/FNU (M.-S.S.), the National Natural Science Foundation of China (41273083; K.S.) and Shanghai Fund (2013SH012; K.S.). This is University of Maryland Center for Environmental Science contribution 5206.</t>
  </si>
  <si>
    <t>10.1038/nature19082</t>
  </si>
  <si>
    <t>DV0YL</t>
  </si>
  <si>
    <t>WOS:000382646600033</t>
  </si>
  <si>
    <t>Carella, M; Agell, G; Cárdenas, P; Uriz, MJ</t>
  </si>
  <si>
    <t>Carella, Mirco; Agell, Gemma; Cardenas, Paco; Uriz, Maria J.</t>
  </si>
  <si>
    <t>Phylogenetic Reassessment of Antarctic Tetillidae (Demospongiae, Tetractinellida) Reveals New Genera and Genetic Similarity among Morphologically Distinct Species</t>
  </si>
  <si>
    <t>FRESH-WATER SPONGES; HEXACTINELLIDA PORIFERA; MOLECULAR PHYLOGENY; MARINE SPONGES; WEB SERVER; SEA; GENUS; POECILOSCLERIDA; CLASSIFICATION; HADROMERIDA</t>
  </si>
  <si>
    <t>Species of Tetillidae are distributed worldwide. However, some genera are unresolved and only a few genera and species of this family have been described from the Antarctic. The incorporation of 25 new COI and 18S sequences of Antarctic Tetillidae to those used recently for assessing the genera phylogeny, has allowed us to improve the resolution of some poorly resolved nodes and to confirm the monophyly of previously identified clades. Classical genera such as Craniella recovered their traditional diagnosis by moving the Antarctic Tetilla from Craniella, where they were placed in the previous family phylogeny, to Antarctotetilla gen. nov. The morphological re-examination of specimens used in the previous phylogeny and their comparison to the type material revealed misidentifications. The proposed monotypic new genus Levantinella had uncertain phylogenetic relationships depending on the gene partition used. Two more clades would require the inclusion of additional species to be formally established as new genera. The parsimony tree based on morphological characters and the secondary structure of the 18S (V4 region) almost completely matched the COI M1-M6 and the COI+18S concatenated phylogenies. Morphological synapomorphies have been identified for the genera proposed. New 15 28S (D3-D5) and 11 COI I3-M11 partitions were exclusively sequenced for the Antarctic species subset. Remarkably, species within the Antarctic genera Cinachyra (C. barbata and C. antarctica) and Antarctotetilla (A. leptoderma, A. grandis, and A. sagitta), which are clearly distinguishable morphologically, were not genetically differentiated with any of the markers assayed. Thus, as it has been reported for other Antarctic sponges, both the mitochondrial and nuclear partitions used did not differentiate species that were well characterized morphologically. Antarctic Tetillidae offers a rare example of genetically cryptic (with the traditional markers used for sponges), morphologically distinct species.</t>
  </si>
  <si>
    <t>[Carella, Mirco; Agell, Gemma; Uriz, Maria J.] CSIC, CEAB, Acces Cala St Francesc 14, Blanes 17300, Girona, Spain; [Cardenas, Paco] Museum Natl Hist Nat, Dept Milieux &amp; Peuplements Aquat, UMR BOrEA 7208, Paris, France; [Cardenas, Paco] Uppsala Univ, Dept Med Chem, Div Pharmacognosy, Biomed Ctr, Husargatan 3, S-75123 Uppsala, Sweden</t>
  </si>
  <si>
    <t>Consejo Superior de Investigaciones Cientificas (CSIC); CSIC - Centre d'Estudis Avancats de Blanes (CEAB); Centre National de la Recherche Scientifique (CNRS); Institut de Recherche pour le Developpement (IRD); Museum National d'Histoire Naturelle (MNHN); Sorbonne Universite; CNRS - Institute of Ecology &amp; Environment (INEE); Uppsala University</t>
  </si>
  <si>
    <t>Uriz, MJ (corresponding author), CSIC, CEAB, Acces Cala St Francesc 14, Blanes 17300, Girona, Spain.</t>
  </si>
  <si>
    <t>Iosune@ceab.csic.es</t>
  </si>
  <si>
    <t>Uriz, Maria J./AGP-4595-2022</t>
  </si>
  <si>
    <t>Uriz, Maria J./0000-0002-8169-3173</t>
  </si>
  <si>
    <t>MarSymBiomics project, Spanish Ministry of Economy &amp; Competitiveness [CTM2013-43286-P]; Benthic Ecology Consolidate Award, Generalitat of Catalonian [214-SGR-120]; BluePharm Train FP7 People-INT [607786]; Bluegenics, EU's Seventh Framework Programme (FP7) GA [KBBE-2012-6, 311848]</t>
  </si>
  <si>
    <t>MarSymBiomics project, Spanish Ministry of Economy &amp; Competitiveness(Spanish Government); Benthic Ecology Consolidate Award, Generalitat of Catalonian; BluePharm Train FP7 People-INT; Bluegenics, EU's Seventh Framework Programme (FP7) GA</t>
  </si>
  <si>
    <t>This work was supported by MarSymBiomics project, Spanish Ministry of Economy &amp; Competitiveness, grant ref. CTM2013-43286-P, MJU; Benthic Ecology Consolidate Award, Generalitat of Catalonian ref. 214-SGR-120, MJU; BluePharm Train FP7 People-INT no: 607786 to MJU; and Bluegenics KBBE-2012-6, EU's Seventh Framework Programme (FP7) GA No. 311848, PC. The funders had no role in study design, data collection and analysis, decision to publish, or preparation of the manuscript.</t>
  </si>
  <si>
    <t>AUG 24</t>
  </si>
  <si>
    <t>e0160718</t>
  </si>
  <si>
    <t>10.1371/journal.pone.0160718</t>
  </si>
  <si>
    <t>DU5NI</t>
  </si>
  <si>
    <t>WOS:000382258100019</t>
  </si>
  <si>
    <t>Nuez-Ortín, WG; Carter, CG; Wilson, R; Cooke, I; Nichols, PD</t>
  </si>
  <si>
    <t>Nuez-Ortin, Waldo G.; Carter, Chris G.; Wilson, Richard; Cooke, Ira; Nichols, Peter D.</t>
  </si>
  <si>
    <t>Preliminary Validation of a High Docosahexaenoic Acid (DHA) and -Linolenic Acid (ALA) Dietary Oil Blend: Tissue Fatty Acid Composition and Liver Proteome Response in Atlantic Salmon (Salmo salar) Smolts</t>
  </si>
  <si>
    <t>LONG-CHAIN OMEGA-3-FATTY-ACIDS; BETA-OXIDATION CAPACITY; BREAM SPARUS-AURATA; FISH-OIL; LIPID-PEROXIDATION; ALDEHYDE DEHYDROGENASE; APPARENT DIGESTIBILITY; CARDIOVASCULAR-DISEASE; ALPHA-TOCOPHEROL; VEGETABLE-OIL</t>
  </si>
  <si>
    <t>Marine oils are important to human nutrition as the major source of docosahexaenoic acid (DHA), a key omega-3 long-chain (&gt;= C-20) polyunsaturated fatty acid (n-3 LC-PUFA) that is low or lacking in terrestrial plant or animal oils. The inclusion of fish oil as main source of n-3 LC-PUFA in aquafeeds is mostly limited by the increasing price and decreasing availability. Fish oil replacement with cheaper terrestrial plant and animal oils has considerably reduced the content of n-3 LC-PUFA in flesh of farmed Atlantic salmon. Novel DHA-enriched oils with high alpha-linolenic acid (ALA) content will be available from transgenic oilseeds plants in the near future as an alternative for dietary fish oil replacement in aquafeeds. As a preliminary validation, we formulated an oil blend (TOFX) with high DHA and ALA content using tuna oil (TO) high in DHA and the flaxseed oil (FX) high in ALA, and assessed its ability to achieve fish oil-like n-3 LC-PUFA tissue composition in Atlantic salmon smolts. We applied proteomics as an exploratory approach to understand the effects of nutritional changes on the fish liver. Comparisons were made between fish fed a fish oil-based diet (FO) and a commercial-like oil blend diet (fish oil + poultry oil, FOPO) over 89 days. Growth and feed efficiency ratio were lower on the TOFX diet. Fish muscle concentration of n-3 LC-PUFA was significantly higher for TOFX than for FOPO fish, but not higher than for FO fish, while retention efficiency of n-3 LC-PUFA was promoted by TOFX relative to FO. Proteomics analysis revealed an oxidative stress response indicative of the main adaptive physiological mechanism in TOFX fish. While specific dietary fatty acid concentrations and balances and antioxidant supplementation may need further attention, the use of an oil with a high content of DHA and ALA can enhance tissue deposition of n-3 LC-PUFA in relation to a commercially used oil blend.</t>
  </si>
  <si>
    <t>[Nuez-Ortin, Waldo G.; Carter, Chris G.; Nichols, Peter D.] Univ Tasmania, Inst Marine &amp; Antarctic Studies, Private Bag 49, Hobart, Tas 7001, Australia; [Nuez-Ortin, Waldo G.; Nichols, Peter D.] CSIRO Food Nutr &amp; Biobased Prod Oceans &amp; Atmosphe, GPO Box 1538, Hobart, Tas 7001, Australia; [Wilson, Richard] Univ Tasmania, Cent Sci Lab, Bag 74, Hobart, Tas 7001, Australia; [Cooke, Ira] James Cook Univ, Dept Mol &amp; Cell Biol, Townsville, Qld 4811, Australia</t>
  </si>
  <si>
    <t>University of Tasmania; Commonwealth Scientific &amp; Industrial Research Organisation (CSIRO); University of Tasmania; James Cook University</t>
  </si>
  <si>
    <t>Nuez-Ortín, WG (corresponding author), Univ Tasmania, Inst Marine &amp; Antarctic Studies, Private Bag 49, Hobart, Tas 7001, Australia.;Nuez-Ortín, WG (corresponding author), CSIRO Food Nutr &amp; Biobased Prod Oceans &amp; Atmosphe, GPO Box 1538, Hobart, Tas 7001, Australia.</t>
  </si>
  <si>
    <t>waldo.nuezortin@utas.edu.au</t>
  </si>
  <si>
    <t>Cooke, Ira R/B-4409-2008; NUEZ-ORTIN, WALDO G/M-5383-2016; Nichols, Peter D/C-5128-2011; Carter, Chris Guy/A-3438-2008; Wilson, Richard/H-8429-2012</t>
  </si>
  <si>
    <t>Carter, Chris Guy/0000-0001-5210-1282; Cooke, Ira/0000-0001-6520-1397; Wilson, Richard/0000-0003-0152-4394</t>
  </si>
  <si>
    <t>International Postgraduate Research Scholarship - Australian Government; Nuseed Pty Ltd; CSIRO Ocean and Atmosphere; University of Tasmania</t>
  </si>
  <si>
    <t>International Postgraduate Research Scholarship - Australian Government(Australian Government); Nuseed Pty Ltd; CSIRO Ocean and Atmosphere; University of Tasmania</t>
  </si>
  <si>
    <t>W. G. Nuez-Ortin was supported by an International Postgraduate Research Scholarship funded by the Australian Government. This research was funded by Nuseed Pty Ltd and CSIRO Ocean and Atmosphere, formerly as the Food Futures Flagship and the University of Tasmania. The funder Nuseed approved the publication of the manuscript but had no role in study design, data collection and analysis, or preparation of the manuscript.</t>
  </si>
  <si>
    <t>e0161513</t>
  </si>
  <si>
    <t>10.1371/journal.pone.0161513</t>
  </si>
  <si>
    <t>WOS:000382258100048</t>
  </si>
  <si>
    <t>Venter, O; Sanderson, EW; Magrach, A; Allan, JR; Beher, J; Jones, KR; Possingham, HP; Laurance, WF; Wood, P; Fekete, BM; Levy, MA; Watson, JEM</t>
  </si>
  <si>
    <t>Venter, Oscar; Sanderson, Eric W.; Magrach, Ainhoa; Allan, James R.; Beher, Jutta; Jones, Kendall R.; Possingham, Hugh P.; Laurance, William F.; Wood, Peter; Fekete, Balazs M.; Levy, Marc A.; Watson, James E. M.</t>
  </si>
  <si>
    <t>Global terrestrial Human Footprint maps for 1993 and 2009</t>
  </si>
  <si>
    <t>SCIENTIFIC DATA</t>
  </si>
  <si>
    <t>Article; Data Paper</t>
  </si>
  <si>
    <t>IMPACT; SIZE; EXTINCTION; LANDSCAPES; CHALLENGES; AGREEMENT; FRAMEWORK; DISCHARGE; ACCURACY; ROADS</t>
  </si>
  <si>
    <t>Remotely-sensed and bottom-up survey information were compiled on eight variables measuring the direct and indirect human pressures on the environment globally in 1993 and 2009. This represents not only the most current information of its type, but also the first temporally-consistent set of Human Footprint maps. Data on human pressures were acquired or developed for: 1) built environments, 2) population density, 3) electric infrastructure, 4) crop lands, 5) pasture lands, 6) roads, 7) railways, and 8) navigable waterways. Pressures were then overlaid to create the standardized Human Footprint maps for all non-Antarctic land areas. A validation analysis using scored pressures from 3114 x 1 km(2) random sample plots revealed strong agreement with the Human Footprint maps. We anticipate that the Human Footprint maps will find a range of uses as proxies for human disturbance of natural systems. The updated maps should provide an increased understanding of the human pressures that drive macro-ecological patterns, as well as for tracking environmental change and informing conservation science and application.</t>
  </si>
  <si>
    <t>[Venter, Oscar] Univ Northern British Columbia, Ecosyst Sci &amp; Management, Prince George, BC V2N 4Z9, Canada; [Venter, Oscar; Allan, James R.; Beher, Jutta; Jones, Kendall R.; Possingham, Hugh P.] Univ Queensland, Ctr Excellence Environm Decis, St Lucia, Qld 4072, Australia; [Venter, Oscar; Allan, James R.; Beher, Jutta; Jones, Kendall R.; Possingham, Hugh P.] Univ Queensland, Sch Biol Sci, St Lucia, Qld 4072, Australia; [Venter, Oscar; Laurance, William F.; Wood, Peter] James Cook Univ, Ctr Trop Environm &amp; Sustainabil Sci, Cairns, Qld 4878, Australia; [Venter, Oscar; Laurance, William F.; Wood, Peter] James Cook Univ, Coll Sci &amp; Engn, Cairns, Qld 4878, Australia; [Sanderson, Eric W.; Watson, James E. M.] Wildlife Conservat Soc, Global Conservat Program, Bronx, NY 10460 USA; [Magrach, Ainhoa] Swiss Fed Inst Technol, Ecosyst Management, CH-8092 Zurich, Switzerland; [Magrach, Ainhoa] Donana Biol Stn EBD CSIC, Avd Amer Vespucio S-N, Seville 41092, Spain; [Allan, James R.; Jones, Kendall R.] Univ Queensland, Sch Geog Planning &amp; Environm Management, St Lucia, Qld 4072, Australia; [Possingham, Hugh P.] Imperial Coll London, Dept Life Sci, Silwood Pk, Ascot SL5 7PY, Berks, England; [Fekete, Balazs M.] CUNY City Coll, Dept Civil Engn, New York, NY 10007 USA; [Levy, Marc A.] Columbia Univ, Ctr Int Earth Sci Informat Network, Palisades, NY 10964 USA</t>
  </si>
  <si>
    <t>University of Northern British Columbia; University of Queensland; University of Queensland; James Cook University; James Cook University; Wildlife Conservation Society; Swiss Federal Institutes of Technology Domain; ETH Zurich; Consejo Superior de Investigaciones Cientificas (CSIC); CSIC - Estacion Biologica de Donana (EBD); University of Queensland; Imperial College London; City University of New York (CUNY) System; City College of New York (CUNY); Columbia University</t>
  </si>
  <si>
    <t>Venter, O (corresponding author), Univ Northern British Columbia, Ecosyst Sci &amp; Management, Prince George, BC V2N 4Z9, Canada.;Venter, O (corresponding author), Univ Queensland, Ctr Excellence Environm Decis, St Lucia, Qld 4072, Australia.;Venter, O (corresponding author), Univ Queensland, Sch Biol Sci, St Lucia, Qld 4072, Australia.;Venter, O (corresponding author), James Cook Univ, Ctr Trop Environm &amp; Sustainabil Sci, Cairns, Qld 4878, Australia.;Venter, O (corresponding author), James Cook Univ, Coll Sci &amp; Engn, Cairns, Qld 4878, Australia.</t>
  </si>
  <si>
    <t>oscar.venter@unbc.ca</t>
  </si>
  <si>
    <t>Levy, Marc A/K-3557-2015; POSSINGHAM, HUGH/R-8310-2019; Sanderson, Eric W./O-1664-2019; Magrach, Ainhoa/B-1038-2012; beher, jutta/AAQ-5350-2020; Laurance, William F/B-2709-2012; Watson, James Edward Maxwell/D-8779-2013; Possingham, Hugh/B-1337-2008; Venter, Oscar/JRW-2764-2023; Venter, Oscar/ABE-1477-2021; Jones, Kendall/N-2464-2015; Allan, James/C-6680-2017</t>
  </si>
  <si>
    <t>Levy, Marc A/0000-0002-1111-2222; POSSINGHAM, HUGH/0000-0001-7755-996X; beher, jutta/0000-0003-2119-0440; Laurance, William F/0000-0003-4430-9408; Watson, James Edward Maxwell/0000-0003-4942-1984; Possingham, Hugh/0000-0001-7755-996X; SANDERSON, ERIC W./0000-0002-7477-0193; Jones, Kendall/0000-0003-2221-9938; Venter, Oscar/0000-0003-1719-8474; Allan, James/0000-0001-6322-0172</t>
  </si>
  <si>
    <t>Wildlife Conservation Society; James Cook University; Australian Research Council [DP110102872, DE140101624]; Australian Research Council [DE140101624] Funding Source: Australian Research Council</t>
  </si>
  <si>
    <t>Wildlife Conservation Society; James Cook University; Australian Research Council(Australian Research Council); Australian Research Council(Australian Research Council)</t>
  </si>
  <si>
    <t>This work was supported by grants from the Wildlife Conservation Society, James Cook University and the Australian Research Council DP110102872 and DE140101624. We thank Neil Burgess, Jonas Geldman, Michelle Venter, Todd Stevens, Dan Segan, Joe Walston, John Robinson, Kim Fisher for their thoughtful feedback on this work. We thank Christopher Small for help with the nightlights data, and Alex De Sherbinin for help with roads and population data.</t>
  </si>
  <si>
    <t>2052-4463</t>
  </si>
  <si>
    <t>SCI DATA</t>
  </si>
  <si>
    <t>Sci. Data</t>
  </si>
  <si>
    <t>AUG 23</t>
  </si>
  <si>
    <t>10.1038/sdata.2016.67</t>
  </si>
  <si>
    <t>EF3MZ</t>
  </si>
  <si>
    <t>WOS:000390229900001</t>
  </si>
  <si>
    <t>Stroeve, JC; Jenouvrier, S; Campbell, GG; Barbraud, C; Delord, K</t>
  </si>
  <si>
    <t>Stroeve, Julienne C.; Jenouvrier, Stephanie; Campbell, G. Garrett; Barbraud, Christophe; Delord, Karine</t>
  </si>
  <si>
    <t>Mapping and assessing variability in the Antarctic marginal ice zone, pack ice and coastal polynyas in two sea ice algorithms with implications on breeding success of snow petrels</t>
  </si>
  <si>
    <t>WEST ANTARCTICA; WEDDELL SEA; EXTENT; TRENDS; CLIMATE; RECORD; RETREAT; SUMMER; WINTER; COVER</t>
  </si>
  <si>
    <t>Sea ice variability within the marginal ice zone (MIZ) and polynyas plays an important role for phytoplankton productivity and krill abundance. Therefore, mapping their spatial extent as well as seasonal and interannual variability is essential for understanding how current and future changes in these biologically active regions may impact the Antarctic marine ecosystem. Knowledge of the distribution of MIZ, consolidated pack ice and coastal polynyas in the total Antarctic sea ice cover may also help to shed light on the factors contributing towards recent expansion of the Antarctic ice cover in some regions and contraction in others. The long-term passive microwave satellite data record provides the longest and most consistent record for assessing the proportion of the sea ice cover that is covered by each of these ice categories. However, estimates of the amount of MIZ, consolidated pack ice and polynyas depend strongly on which sea ice algorithm is used. This study uses two popular passive microwave sea ice algorithms, the NASA Team and Bootstrap, and applies the same thresholds to the sea ice concentrations to evaluate the distribution and variability in the MIZ, the consolidated pack ice and coastal polynyas. Results reveal that the seasonal cycle in the MIZ and pack ice is generally similar between both algorithms, yet the NASA Team algorithm has on average twice the MIZ and half the consolidated pack ice area as the Bootstrap algorithm. Trends also differ, with the Bootstrap algorithm suggesting statistically significant trends towards increased pack ice area and no statistically significant trends in the MIZ. The NASA Team algorithm on the other hand indicates statistically significant positive trends in the MIZ during spring. Potential coastal polynya area and amount of broken ice within the consolidated ice pack are also larger in the NASA Team algorithm. The timing of maximum polynya area may differ by as much as 5 months between algorithms. These differences lead to different relationships between sea ice characteristics and biological processes, as illustrated here with the breeding success of an Antarctic seabird.</t>
  </si>
  <si>
    <t>[Stroeve, Julienne C.; Campbell, G. Garrett] Univ Colorado, Cooperat Inst Res Environm Sci, Natl Snow &amp; Ice Data Ctr, Boulder, CO 80309 USA; [Stroeve, Julienne C.] UCL, Ctr Polar Observat &amp; Modelling, London, England; [Jenouvrier, Stephanie] Woods Hole Oceanog Inst, Biol Dept MS 34, Woods Hole, MA 02543 USA; [Jenouvrier, Stephanie; Barbraud, Christophe; Delord, Karine] CNRS, UMR 7372, Ctr Etud Biol Chize, F-79360 Villiers En Bois, France</t>
  </si>
  <si>
    <t>University of Colorado System; University of Colorado Boulder; University of London; University College London; Woods Hole Oceanographic Institution; Centre National de la Recherche Scientifique (CNRS); CNRS - Institute of Ecology &amp; Environment (INEE)</t>
  </si>
  <si>
    <t>Stroeve, JC (corresponding author), Univ Colorado, Cooperat Inst Res Environm Sci, Natl Snow &amp; Ice Data Ctr, Boulder, CO 80309 USA.;Stroeve, JC (corresponding author), UCL, Ctr Polar Observat &amp; Modelling, London, England.</t>
  </si>
  <si>
    <t>stroeve@nsidc.org</t>
  </si>
  <si>
    <t>Barbraud, Christophe/A-5870-2012; Stroeve, Julienne/ABE-7227-2020</t>
  </si>
  <si>
    <t>Barbraud, Christophe/0000-0003-0146-212X;</t>
  </si>
  <si>
    <t>NASA [NNX14AH74G]; NSF [PLR 1341548]; Institut Polaire Francais Paul-Emile Victor [109]; Terres Australes et Antarctiques Francaises; Zone Atelier Antarctique (CNRS-INEE); NASA [NNX14AH74G, 683299] Funding Source: Federal RePORTER; NERC [cpom30001] Funding Source: UKRI; Natural Environment Research Council [cpom30001] Funding Source: researchfish; Office of Polar Programs (OPP); Directorate For Geosciences [1341558, 1341547] Funding Source: National Science Foundation</t>
  </si>
  <si>
    <t>NASA(National Aeronautics &amp; Space Administration (NASA)); NSF(National Science Foundation (NSF)); Institut Polaire Francais Paul-Emile Victor; Terres Australes et Antarctiques Francaises; Zone Atelier Antarctique (CNRS-INEE); NASA(National Aeronautics &amp; Space Administration (NASA));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</si>
  <si>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This work is funded under NASA grant NNX14AH74G and NSF grant PLR 1341548. We are grateful to Sharon Stammerjohn for her helpful comments on the manuscript. Gridded fields of the different ice classifications from both algorithms are available via ftp by contacting Julienne C. Stroeve. We thank all the wintering fieldworkers involved in the collection of snow petrel data at Dumont d'Urville for more than 50 years, as well as the Institut Polaire Francais Paul-Emile Victor (program IPEV no. 109 to H. Weimerskirch), Terres Australes et Antarctiques Francaises and Zone Atelier Antarctique (CNRS-INEE) for support.</t>
  </si>
  <si>
    <t>AUG 22</t>
  </si>
  <si>
    <t>10.5194/tc-10-1823-2016</t>
  </si>
  <si>
    <t>DW6ZI</t>
  </si>
  <si>
    <t>WOS:000383799500002</t>
  </si>
  <si>
    <t>Zhou, KB; Maiti, K; Dai, MH; Kao, SJ; Buesseler, K</t>
  </si>
  <si>
    <t>Zhou, Kuanbo; Maiti, Kanchan; Dai, Minhan; Kao, Shuh-Ji; Buesseler, Ken</t>
  </si>
  <si>
    <t>Does adsorption of dissolved organic carbon and thorium onto membrane filters affect the carbon to thorium ratios, a primary parameter in estimating export carbon flux?</t>
  </si>
  <si>
    <t>MARINE CHEMISTRY</t>
  </si>
  <si>
    <t>POC/Th-234; Adsorption; Particle breakdown; Carbon export</t>
  </si>
  <si>
    <t>SMALL-VOLUME TECHNIQUE; PARTICLE EXPORT; DETERMINING TH-234; AQUATIC SYSTEMS; SEAWATER; OCEAN; DISEQUILIBRIA; PACIFIC; MATTER</t>
  </si>
  <si>
    <t>The particulate organic carbon (POC) to Th-234 ratio, or POC/Th-234, is crucial to constrain the Th-234-derived downward export flux. Marine particles for Th-234 based export studies are typically collected via two sampling modes: filtration of Niskin or GO-FLO bottle water samples and filtration of in situ pumped samples. Large discrepancies have been frequently observed between these bottle and pump filtration methods and attributed to the difference in adsorption of dissolved material. We noted however, that simultaneous measurements of carbon and Th-234 have not been made to evaluate such a putative effect on the POC/Th-234 ratio. In this study, we adopted a two filters in-line approach method with one stacked on another and we measured both carbon and Th-234 to compare their adsorption behavior in bottle and pump sampling modes. We proposed that the Th-234 and carbon on the second filter (filter-B) might be attributable to direct adsorption from the dissolved phase (including the partial capture from the submicron particles) and/or breakdown of particles initially collected on the first filter (filter-A). The relative importance of these two processes differed between the two filtration modes. For bottle sampling, we observed significantly positive correlation (R-2 = 0.54) between the Th-234 recorded on the second filter and dissolved Th-234 activities, suggesting that adsorption was the dominant contributor to the second filter. The overestimation due to adsorption (filter-B/filter-A) is estimated to be 22 +/- 7% for POC and 25 +/- 17% for particulate Th-234. The effect of adsorption on the POC/Th-234, on the other hand, would be negligible since the adsorption-corrected and -uncorrected POC/Th-234 on filter-A were similar. For the large volume pumping mode, the absorbed Th-234 on the filters appeared to reach the saturation state as evidenced by the fact that the amount of particulate Th-234 (dpm cm(-2)) on filter-B was independent of the filtered sample volume. We justified that the saturation amount should be &gt;0.21 dpm cm(-2) which was the highest unsaturated value from the bottle sample, but &lt;0.31 dpm cm(-2) which was the upper value on filter-B taken from pump samples. The calculated adsorption still dominated for Th-234 on filter-B and particle breakdown might be important in the euphotic zone. The collected POC on filter-B tended to increase with the filtration volume which implied that DOC adsorption remained under-saturated. Similar to bottle filtration, the corrected POC/Th-234 was comparable to the uncorrected POC/Th-234 on filter-A. We thus conclude that adsorption did not appear to influence the POC/Th-234 ratio in either sampling mode. We suggested that the positive offset in POC/Th-234 between bottle and pump sampling, if any, cannot be caused by adsorption. Other mechanisms such as zooplankton invasion and/or artificial particle formation need to be examined in order to resolve the discrepancy. (C) 2016 Elsevier B.V. All rights reserved.</t>
  </si>
  <si>
    <t>[Zhou, Kuanbo; Dai, Minhan; Kao, Shuh-Ji] Xiamen Univ, State Key Lab Marine Environm Sci, Xiamen, Peoples R China; [Zhou, Kuanbo] Singapore MIT Alliance Res &amp; Technol, Singapore 138062, Singapore; [Maiti, Kanchan] Louisiana State Univ, Dept Oceanog &amp; Coastal Sci, Baton Rouge, LA 70803 USA; [Buesseler, Ken] Woods Hole Oceanog Inst, Dept Marine Chem &amp; Geochem, Woods Hole, MA 02543 USA</t>
  </si>
  <si>
    <t>Xiamen University; Singapore-MIT Alliance for Research &amp; Technology Centre (SMART); Louisiana State University System; Louisiana State University; Woods Hole Oceanographic Institution</t>
  </si>
  <si>
    <t>Zhou, KB (corresponding author), Singapore MIT Alliance Res &amp; Technol, Singapore 138062, Singapore.</t>
  </si>
  <si>
    <t>kuanbo@smart.mit.edu</t>
  </si>
  <si>
    <t>Kao, Shuh-Ji/F-8418-2015; Maiti, Kanchan/E-1936-2013; DAI, M/GPS-8291-2022; Dai, Minhan/G-3343-2010</t>
  </si>
  <si>
    <t>Dai, Minhan/0000-0003-0550-0701</t>
  </si>
  <si>
    <t>National Key Scientific Research Program of MOST, China [2015CB954001]; Foundation of Science, Research and Technology (New Zealand) via the Coasts and Oceans Outcome-Based Investment [C01X0501]; NIWA Capability Fund Visiting Scientist grant; Singapore National Research Foundation (NRF) through the Singapore-MIT Alliance for Research and Technology (SMART) Center for Environmental Sensing and Modeling (CENSAM)</t>
  </si>
  <si>
    <t>National Key Scientific Research Program of MOST, China; Foundation of Science, Research and Technology (New Zealand) via the Coasts and Oceans Outcome-Based Investment; NIWA Capability Fund Visiting Scientist grant; Singapore National Research Foundation (NRF) through the Singapore-MIT Alliance for Research and Technology (SMART) Center for Environmental Sensing and Modeling (CENSAM)(National Research Foundation, Singapore)</t>
  </si>
  <si>
    <t>We thank the Captain and Crew of R/V Tangaroa and Knorr for their assistance in sample collection. We acknowledge Phoebe Lam and Jim Bishop for providing the MULVFS samples for this study. Special thanks to Cafe Thorium members for their help with pump sampling and deployment. Thanks were also given to Scott Nodder and Julie Hall for providing the cruise opportunity to the sub-Antarctic water. This study was funded by National Key Scientific Research Program of MOST, China, 2015CB954001 and the Foundation of Science, Research and Technology (New Zealand) via the Coasts and Oceans Outcome-Based Investment (C01X0501). KZ was supported by a NIWA Capability Fund Visiting Scientist grant for him to participate in the voyage. The preparation of this manuscript is also supported by the Singapore National Research Foundation (NRF) through the Singapore-MIT Alliance for Research and Technology (SMART) Center for Environmental Sensing and Modeling (CENSAM). Professor John Hodgkiss of The University of Hong Kong is thanked for his assistance with English. Two anonymous reviewers are thanked for their constructive comments.</t>
  </si>
  <si>
    <t>0304-4203</t>
  </si>
  <si>
    <t>1872-7581</t>
  </si>
  <si>
    <t>MAR CHEM</t>
  </si>
  <si>
    <t>Mar. Chem.</t>
  </si>
  <si>
    <t>AUG 20</t>
  </si>
  <si>
    <t>10.1016/j.marchem.2016.06.004</t>
  </si>
  <si>
    <t>Chemistry, Multidisciplinary; Oceanography</t>
  </si>
  <si>
    <t>Chemistry; Oceanography</t>
  </si>
  <si>
    <t>DR7LC</t>
  </si>
  <si>
    <t>WOS:000380080100001</t>
  </si>
  <si>
    <t>Fragoso, C; Rojas, P</t>
  </si>
  <si>
    <t>Fragoso, Carlos; Rojas, Patricia</t>
  </si>
  <si>
    <t>Lavellodrilus notosetosus sp nov (Annelida, Crassiclitellata, Acanthodrilidae): a new Mexican earthworm with uncommon characters, revealed by a preliminary revision of subfamily Acanthodrilinae</t>
  </si>
  <si>
    <t>Acanthodrilidae; Clitellata; Oligochaeta; Chiapas; Lacandon forest; genital setae</t>
  </si>
  <si>
    <t>OLIGOCHAETA; GENUS; MEGASCOLECIDAE; DIPLOCARDIA; GENERA</t>
  </si>
  <si>
    <t>A new acanthodriline earthworm species, Lavellodrilus notosetosus sp. nov., is described from tropical rain forests of southern Mexico. The new species is placed within the genus Lavellodrilus by the presence of mesial spermathecal pores. It is separated from other species of the genus by the dorsal location of setae cd in most of the body, last hearts in segment 13, first intestinal segment in 20 and genital setae in segment 12. A preliminary morphological revision of all genera and species of Acanthodrilinae was undertaken in order to: i) evaluate if the mesial spermathecal pores justify the status of Lavellodrilus, ii) determine how common (expressed as percentages of species having the character) the diagnostic characters of the new species are in the subfamily, iii) clarify if these characters exhibit a geographical pattern, and iv) contribute towards a comprehensive analysis of the Acanthodrilinae. In this revision, species were separated in nine geographical regions: USA, northern Mexico, southern Mexico, Caribbean Islands (northern hemisphere), and South America, South Africa, Madagascar, Australia, New Zealand, New Caledonia and Antarctic Islands (southern hemisphere). As a result of the revision it was found that among the 511 recognized species of Acanthodrilinae only 11 species have a mesial location of the spermathecal pores, in two cases probably representing monophyletic groups (Lavellodrilus and a group of South African Parachilota species). It was also found that the distinguishing characters in L. notosetosus sp. nov., notably the location of last hearts, genital setae and the first intestinal segment, are uncommon characters in the acanthodriline earthworm fauna of southern Mexico and Central America, but more frequent in North America, the Caribbean, and the southern hemisphere. We conclude that the acanthodrilines from the northern hemisphere are morphologically more similar to those from Australia, New Zealand, and New Caledonia than to those of South Africa and South America.</t>
  </si>
  <si>
    <t>[Fragoso, Carlos; Rojas, Patricia] Inst Ecol AC, Lab Invertebrados Suelo Red Biodiversidad &amp; Siste, Carretera Antigua Coatepec 351, Xalapa 91070, Veracruz, Mexico</t>
  </si>
  <si>
    <t>Instituto de Ecologia - Mexico</t>
  </si>
  <si>
    <t>Fragoso, C (corresponding author), Inst Ecol AC, Lab Invertebrados Suelo Red Biodiversidad &amp; Siste, Carretera Antigua Coatepec 351, Xalapa 91070, Veracruz, Mexico.</t>
  </si>
  <si>
    <t>carlos.fragoso@inecol.mx</t>
  </si>
  <si>
    <t>Fragoso, Carlos/Q-6805-2018; Rojas, Patricia/Q-9046-2018</t>
  </si>
  <si>
    <t>Fragoso, Carlos/0000-0001-7076-6712; Rojas Fernandez, Patricia/0000-0002-3747-6550</t>
  </si>
  <si>
    <t>AUG 19</t>
  </si>
  <si>
    <t>10.11646/zootaxa.4154.2.1</t>
  </si>
  <si>
    <t>DT5UE</t>
  </si>
  <si>
    <t>WOS:000381547400001</t>
  </si>
  <si>
    <t>Janssens, J; Meiners, KM; Tison, JL; Dieckmann, G; Delille, B; Lannuzel, D</t>
  </si>
  <si>
    <t>Janssens, Julie; Meiners, Klaus M.; Tison, Jean-Louis; Dieckmann, Gerhard; Delille, Bruno; Lannuzel, Delphine</t>
  </si>
  <si>
    <t>Incorporation of iron and organic matter into young Antarctic sea ice during its initial growth stages</t>
  </si>
  <si>
    <t>TRANSPARENT EXOPOLYMER PARTICLES; DISSOLVED IRON; WEDDELL SEA; PRIMARY PRODUCTIVITY; INORGANIC NUTRIENTS; SOUTHERN-OCEAN; FRAZIL ICE; ROSS SEA; CARBON; WINTER</t>
  </si>
  <si>
    <t>This study reports concentrations of iron (Fe) and organic matter in young Antarctic pack ice and during its initial growth stages in situ. Although the importance of sea ice as an Fe reservoir for oceanic waters of the Southern Ocean has been clearly established, the processes leading to the enrichment of Fe in sea ice have yet to be investigated and quantified. We conducted two in situ sea-ice growth experiments during a winter cruise in the Weddell Sea. Our aim was to improve the understanding of the processes responsible for the accumulation of dissolved Fe (DFe) and particulate Fe (PFe) in sea ice, and of particulate organic carbon and nitrogen, dissolved organic carbon, extracellular polymeric substances, inorganic macro-nutrients (silicic acid, nitrate and nitrite, phosphate and ammonium), chlorophyll a and bacteria. Enrichment indices, calculated for natural young ice and ice newly formed in situ, indicate that during Antarctic winter all of the measured forms of particulate matter were enriched in sea ice compared to underlying seawater, and that enrichment started from the initial stages of sea-ice formation. Some dissolved material (DFe and ammonium) was also enriched in the ice but at lower enrichment indices than the particulate phase, suggesting that size is a key factor for the incorporation of impurities in sea ice. Low chlorophyll a concentrations and the fit of the macro-nutrients (with the exception of ammonium) with their theoretical dilution lines indicated low biological activity in the ice. From these and additional results we conclude that physical processes are the dominant mechanisms leading to the enrichment of DFe, PFe, organic matter and bacteria in young sea ice, and that PFe and DFe are decoupled during sea-ice formation. Our study thus provides unique quantitative insight into the initial incorporation of impurities, in particular DFe and PFe, into Antarctic sea ice.</t>
  </si>
  <si>
    <t>[Janssens, Julie; Lannuzel, Delphine] Univ Tasmania, Inst Marine &amp; Antarctic Studies, Hobart, Tas, Australia; [Janssens, Julie; Meiners, Klaus M.; Lannuzel, Delphine] Univ Tasmania, Antarctic Climate &amp; Ecosyst Cooperat Res Ctr, Hobart, Tas, Australia; [Janssens, Julie; Meiners, Klaus M.] Australian Antarctic Div, Dept Environm, Kingston, Tas, Australia; [Tison, Jean-Louis] Univ Libre Bruxelles, Dept Earth &amp; Environm Sci, Glaciol Unit, Brussels, Belgium; [Dieckmann, Gerhard] Alfred Wegener Inst, Helmholtz Zentrum Polar &amp; Meeresforsch, Bremerhaven, Germany; [Delille, Bruno] Univ Liege, MARE, Unite Oceanog Chim, Liege, Belgium</t>
  </si>
  <si>
    <t>University of Tasmania; Antarctic Climate &amp; Ecosystems Cooperative Research Centre (ACE CRC); University of Tasmania; Australian Antarctic Division; Universite Libre de Bruxelles; Helmholtz Association; Alfred Wegener Institute, Helmholtz Centre for Polar &amp; Marine Research; University of Liege</t>
  </si>
  <si>
    <t>Janssens, J (corresponding author), Univ Tasmania, Inst Marine &amp; Antarctic Studies, Hobart, Tas, Australia.;Janssens, J (corresponding author), Univ Tasmania, Antarctic Climate &amp; Ecosyst Cooperat Res Ctr, Hobart, Tas, Australia.;Janssens, J (corresponding author), Australian Antarctic Div, Dept Environm, Kingston, Tas, Australia.</t>
  </si>
  <si>
    <t>Julie.Janssens@utas.edu.au</t>
  </si>
  <si>
    <t>Lannuzel, Delphine/J-7937-2014; Delille, Bruno/C-3486-2008</t>
  </si>
  <si>
    <t>Janssens, Julie/0000-0003-1789-9940; Delille, Bruno/0000-0003-0502-8101</t>
  </si>
  <si>
    <t>AUG 18</t>
  </si>
  <si>
    <t>10.12952/journal.elementa.000123</t>
  </si>
  <si>
    <t>EE9BU</t>
  </si>
  <si>
    <t>WOS:000389921500001</t>
  </si>
  <si>
    <t>Descamps, S; Tarroux, A; Cherel, Y; Delord, K; Godo, OR; Kato, A; Krafft, BA; Lorentsen, SH; Ropert-Coudert, Y; Skaret, G; Varpe, O</t>
  </si>
  <si>
    <t>Descamps, Sebastien; Tarroux, Arnaud; Cherel, Yves; Delord, Karine; Godo, Olaf Rune; Kato, Akiko; Krafft, Bjorn A.; Lorentsen, Svein-Hakon; Ropert-Coudert, Yan; Skaret, Georg; Varpe, Oystein</t>
  </si>
  <si>
    <t>At-Sea Distribution and Prey Selection of Antarctic Petrels and Commercial Krill Fisheries</t>
  </si>
  <si>
    <t>SOUTH-SHETLAND-ISLANDS; DRONNING-MAUD LAND; EUPHAUSIA-SUPERBA; THALASSOICA-ANTARCTICA; FUR SEALS; SEABIRD COMMUNITIES; CHINSTRAP PENGUINS; FOOD SECURITY; MINKE WHALES; INDIAN-OCEAN</t>
  </si>
  <si>
    <t>Commercial fisheries may impact marine ecosystems and affect populations of predators like seabirds. In the Southern Ocean, there is an extensive fishery for Antarctic krill Euphausia superba that is projected to increase further. Comparing distribution and prey selection of fishing operations versus predators is needed to predict fishery-related impacts on krill-dependent predators. In this context, it is important to consider not only predators breeding near the fishing grounds but also the ones breeding far away and that disperse during the non-breeding season where they may interact with fisheries. In this study, we first quantified the overlap between the distribution of the Antarctic krill fisheries and the distribution of a krill dependent seabird, the Antarctic petrel Thalassoica antarctica, during both the breeding and non-breeding season. We tracked birds from the world biggest Antarctic petrel colony (Svarthamaren, Dronning Maud Land), located &gt;1000 km from the main fishing areas, during three consecutive seasons. The overall spatial overlap between krill fisheries and Antarctic petrels was limited but varied greatly among and within years, and was high in some periods during the non-breeding season. In a second step, we described the length frequency distribution of Antarctic krill consumed by Antarctic petrels, and compared this with results from fisheries, as well as from diet studies in other krill predators. Krill taken by Antarctic petrels did not differ in size from that taken by trawls or from krill taken by most Antarctic krill predators. Selectivity for specific Antarctic krill stages seems generally low in Antarctic predators. Overall, our results show that competition between Antarctic petrels and krill fisheries is currently likely negligible. However, if krill fisheries are to increase in the future, competition with the Antarctic petrel may occur, even with birds breeding thousands of kilometers away.</t>
  </si>
  <si>
    <t>[Descamps, Sebastien; Tarroux, Arnaud] Norwegian Polar Res Inst, Fram Ctr, N-9296 Tromso, Norway; [Cherel, Yves; Delord, Karine; Kato, Akiko; Ropert-Coudert, Yan] Univ La Rochelle, CNRS, UMR 7372, Ctr Etud Biol Chize, F-79360 Villiers En Bois, France; [Godo, Olaf Rune; Krafft, Bjorn A.; Skaret, Georg] Inst Marine Res, POB 1870 Nordnes, N-5817 Bergen, Norway; [Lorentsen, Svein-Hakon] Norwegian Inst Nat Res, N-7485 Trondheim, Norway; [Kato, Akiko; Ropert-Coudert, Yan] CNRS, UMR7178, F-67037 Strasbourg, France; [Kato, Akiko; Ropert-Coudert, Yan] Univ Strasbourg, IPHC, 23 Rue Becquerel, F-67087 Strasbourg, France; [Varpe, Oystein] Univ Ctr Svalbard, N-9171 Longyearbyen, Norway; [Varpe, Oystein] Akvaplan Niva, Fram Ctr, N-9296 Tromso, Norway</t>
  </si>
  <si>
    <t>Norwegian Polar Institute; La Rochelle Universite; Centre National de la Recherche Scientifique (CNRS); CNRS - Institute of Ecology &amp; Environment (INEE); Institute of Marine Research - Norway; Norwegian Institute Nature Research; Universites de Strasbourg Etablissements Associes; Universite de Strasbourg; Centre National de la Recherche Scientifique (CNRS); CNRS - National Institute of Nuclear and Particle Physics (IN2P3); Universites de Strasbourg Etablissements Associes; Universite de Strasbourg; University Centre Svalbard (UNIS); Akvaplan-niva</t>
  </si>
  <si>
    <t>Descamps, S (corresponding author), Norwegian Polar Res Inst, Fram Ctr, N-9296 Tromso, Norway.</t>
  </si>
  <si>
    <t>Sebastien.descamps@npolar.no</t>
  </si>
  <si>
    <t>Varpe, Øystein/B-9693-2008; Tarroux, Arnaud/AAE-5173-2021; Kato, Akiko/W-2447-2019</t>
  </si>
  <si>
    <t>Varpe, Øystein/0000-0002-5895-6983; Tarroux, Arnaud/0000-0001-8306-6694; Kato, Akiko/0000-0002-8947-3634; Godo, Olav Rune/0000-0001-8826-8068</t>
  </si>
  <si>
    <t>Norwegian Research Council (program NARE-Norwegian Antarctic Research Expedition); Norwegian Research Council (Norwegian Antarctic Research Expedition program)</t>
  </si>
  <si>
    <t>The study was funded by a grant from the Norwegian Research Council (program NARE-Norwegian Antarctic Research Expedition).; This study was funded by the Norwegian Research Council (Norwegian Antarctic Research Expedition program). We are very grateful to H. Weimerskirch, T. Nordstad, S. Haaland, E. Soininen, G. Mabille and J. Sward for their help in the field, to all the personnel from the logistics department at the Norwegian Polar Institute and the Troll summer and overwintering teams. We also extend our gratitude to CCAMLR Secretariat and Members for providing the krill fishery data, to C. Trouve for her help in the analysis of food samples from Antarctic petrels, and to F. Crenner and N. Chatelain who customized the GPS units at the IPHC-CNRS UMR7178.</t>
  </si>
  <si>
    <t>AUG 17</t>
  </si>
  <si>
    <t>e0156968</t>
  </si>
  <si>
    <t>10.1371/journal.pone.0156968</t>
  </si>
  <si>
    <t>DT4YN</t>
  </si>
  <si>
    <t>WOS:000381487600002</t>
  </si>
  <si>
    <t>England, MR; Polvani, LM; Smith, KL; Landrum, L; Holland, MM</t>
  </si>
  <si>
    <t>England, Mark R.; Polvani, Lorenzo M.; Smith, Karen L.; Landrum, Laura; Holland, Marika M.</t>
  </si>
  <si>
    <t>Robust response of the Amundsen Sea Low to stratospheric ozone depletion</t>
  </si>
  <si>
    <t>stratospheric ozone depletion; West Antarctica; Amundsen Sea Low; ozone hole</t>
  </si>
  <si>
    <t>SOUTHERN ANNULAR MODE; SURFACE TEMPERATURES; ANTARCTIC PENINSULA; WEST ANTARCTICA; VARIABILITY; CLIMATE; TRENDS; CIRCULATION; ICE; SENSITIVITY</t>
  </si>
  <si>
    <t>The effect of stratospheric ozone depletion on the Amundsen Sea Low (ASL), a climatological low-pressure center important for the climate of West Antarctica, remains uncertain. Using state-of-the-art climate models, we here show that stratospheric ozone depletion can cause a statistically significant deepening of the ASL in summer with an amplitude of approximately 1hPa per decade. We are able to attribute the modeled changes in the ASL to stratospheric ozone depletion by contrasting ensembles of historical integrations with and without a realistic ozone hole. In the presence of very large natural variability, the robustness of the ozone impact on the ASL is established by (1) examining ensembles of model runs to isolate the forced response, (2) repeating the analysis with two different climate models, and (3) considering the entire period of stratospheric ozone depletion, the beginning of which predates the satellite era by a couple of decades.</t>
  </si>
  <si>
    <t>[England, Mark R.; Polvani, Lorenzo M.; Smith, Karen L.] Columbia Univ, Dept Appl Phys &amp; Appl Math, New York, NY 10027 USA; [Polvani, Lorenzo M.; Smith, Karen L.] Columbia Univ, Dept Earth &amp; Environm Sci, Lamont Doherty Earth Observ, New York, NY USA; [Landrum, Laura; Holland, Marika M.] Natl Ctr Atmospher Res, POB 3000, Boulder, CO 80307 USA</t>
  </si>
  <si>
    <t>Columbia University; Columbia University; National Center Atmospheric Research (NCAR) - USA</t>
  </si>
  <si>
    <t>England, MR (corresponding author), Columbia Univ, Dept Appl Phys &amp; Appl Math, New York, NY 10027 USA.</t>
  </si>
  <si>
    <t>mre2126@columbia.edu</t>
  </si>
  <si>
    <t>Polvani, Lorenzo M/E-5949-2011; England, Mark/AAI-5481-2020</t>
  </si>
  <si>
    <t>England, Mark/0000-0003-3882-872X; Holland, Marika/0000-0001-5621-8939; Smith, Karen/0000-0002-4652-6310; Landrum, Laura/0000-0002-6003-1146</t>
  </si>
  <si>
    <t>Frontiers of Earth System Dynamics (FESD) from the U.S. National Science Foundation; National Science Foundation</t>
  </si>
  <si>
    <t>Frontiers of Earth System Dynamics (FESD) from the U.S. National Science Foundation; National Science Foundation(National Science Foundation (NSF))</t>
  </si>
  <si>
    <t>This work is funded by a Frontiers of Earth System Dynamics (FESD) grant from the U.S. National Science Foundation. The computations were carried out with high-performance computing support provided by NCAR's Computational and Information Systems Laboratory, which is sponsored by the National Science Foundation. The data produced for and analyzed in this paper are archived on the High Performance Storage System (HPSS) at the National Center for Atmospheric Research and can be provided upon request.</t>
  </si>
  <si>
    <t>AUG 16</t>
  </si>
  <si>
    <t>10.1002/2016GL070055</t>
  </si>
  <si>
    <t>DV9VM</t>
  </si>
  <si>
    <t>WOS:000383290300049</t>
  </si>
  <si>
    <t>Braby, L; Backeberg, BC; Ansorge, I; Roberts, MJ; Krug, M; Reason, CJC</t>
  </si>
  <si>
    <t>Braby, Laura; Backeberg, Bjorn C.; Ansorge, Isabelle; Roberts, Michael J.; Krug, Marjolaine; Reason, Chris J. C.</t>
  </si>
  <si>
    <t>Observed eddy dissipation in the Agulhas Current</t>
  </si>
  <si>
    <t>source region eddies; Agulhas Current</t>
  </si>
  <si>
    <t>GENERATION; TRANSPORT; LEAKAGE; EDDIES; ENERGY</t>
  </si>
  <si>
    <t>Analyzing eddy characteristics from a global data set of automatically tracked eddies for the Agulhas Current in combination with surface drifters as well as geostrophic currents from satellite altimeters, it is shown that eddies from the Mozambique Channel and south of Madagascar dissipate as they approach the Agulhas Current. By tracking the offshore position of the current core and its velocity at 30 degrees S in relation to eddies, it is demonstrated that eddy dissipation occurs through a transfer of momentum, where anticyclones consistently induce positive velocity anomalies, and cyclones reduce the velocities and cause offshore meanders. Composite analyses of the anticyclonic (cyclonic) eddy-current interaction events demonstrate that the positive (negative) velocity anomalies propagate downstream in the Agulhas Current at 44km/d (23km/d). Many models are unable to represent these eddy dissipation processes, affecting our understanding of the Agulhas Current.</t>
  </si>
  <si>
    <t>[Braby, Laura; Krug, Marjolaine; Reason, Chris J. C.] Univ Cape Town, Dept Oceanog, Cape Town, South Africa; [Backeberg, Bjorn C.] CSIR, Coastal Syst Res Grp, Nat Resources &amp; Environm, Stellenbosch, South Africa; [Backeberg, Bjorn C.; Krug, Marjolaine] Univ Cape Town, Dept Oceanog, Nansen Tutu Ctr Marine Environm Res, Cape Town, South Africa; [Backeberg, Bjorn C.] Nansen Environm &amp; Remote Sensing Ctr, Bergen, Norway; [Ansorge, Isabelle] Univ Cape Town, Marine Res Inst, Dept Oceanog, Cape Town, South Africa; [Roberts, Michael J.] Nelson Mandela Metropolitan Univ, Ocean Sci &amp; Marine Food Secur, Port Elizabeth, South Africa; [Roberts, Michael J.] Natl Oceanog Ctr, European Way, Southampton, Hants, England; [Krug, Marjolaine] CSIR, Earth Observat Res Grp, Nat Resources &amp; Environm, Cape Town, South Africa</t>
  </si>
  <si>
    <t>University of Cape Town; Council for Scientific &amp; Industrial Research (CSIR) - South Africa; University of Cape Town; Nansen Environmental &amp; Remote Sensing Center (NERSC); University of Cape Town; Nelson Mandela University; University of Southampton; NERC National Oceanography Centre; Council for Scientific &amp; Industrial Research (CSIR) - South Africa</t>
  </si>
  <si>
    <t>Braby, L (corresponding author), Univ Cape Town, Dept Oceanog, Cape Town, South Africa.</t>
  </si>
  <si>
    <t>laurabraby@gmail.com</t>
  </si>
  <si>
    <t>ANSORGE, ISABELLE/AAY-7396-2020</t>
  </si>
  <si>
    <t>Ansorge, Isabelle/0000-0001-7071-8147; Backeberg, Bjorn/0000-0001-7940-6975; Reason, Christopher/0000-0002-3224-5243; Krug, Marjolaine/0000-0002-5719-3240</t>
  </si>
  <si>
    <t>Bayworld Centre for Research and Education; African Coelacanth Ecosystem Program III Suitcase Project; South Atlantic Meridional Overturning Circulation; Centre for Renewable and Sustainable Energy Studies; South African National Antarctic Programme; Nansen-Tutu Centre for Marine Environmental Research; Nansen Environmental and Remote Sensing Center, Bergen, Norway; South African National Research Foundation [87698]</t>
  </si>
  <si>
    <t>Bayworld Centre for Research and Education; African Coelacanth Ecosystem Program III Suitcase Project; South Atlantic Meridional Overturning Circulation; Centre for Renewable and Sustainable Energy Studies; South African National Antarctic Programme; Nansen-Tutu Centre for Marine Environmental Research; Nansen Environmental and Remote Sensing Center, Bergen, Norway; South African National Research Foundation(National Research Foundation - South Africa)</t>
  </si>
  <si>
    <t>We thank the reviewers, including Leandro Ponsoni, for their critical review of our work contributing to the improvement of the manuscript. The eddy-tracking data set used in this study was developed by Dudley Chelton and Michael Schlax that is available from http://cioss.coas.oregonstate.edu/eddies/. The mean absolute dynamic topography and sea level anomaly data used in this study were obtained from AVISO (http://www.aviso.oceanobs.com/duacs/), and the SVP drifter data used were from the Global Drifter Program (http://www.aoml.noaa.gov/phod/trinanes/xbt.html). We are thankful to the Bayworld Centre for Research and Education, the African Coelacanth Ecosystem Program III Suitcase Project, the South Atlantic Meridional Overturning Circulation, the Centre for Renewable and Sustainable Energy Studies, and the South African National Antarctic Programme for their financial support. Backeberg acknowledges support from the Nansen-Tutu Centre for Marine Environmental Research; the Nansen Environmental and Remote Sensing Center, Bergen, Norway; and the South African National Research Foundation through the grant 87698.</t>
  </si>
  <si>
    <t>10.1002/2016GL069480</t>
  </si>
  <si>
    <t>WOS:000383290300042</t>
  </si>
  <si>
    <t>Boylan, P; Wang, JH; Cohn, SA; Hultberg, T; August, T</t>
  </si>
  <si>
    <t>Boylan, Patrick; Wang, Junhong; Cohn, Stephen A.; Hultberg, Tim; August, Thomas</t>
  </si>
  <si>
    <t>Identification and intercomparison of surface-based inversions over Antarctica from IASI, ERA-Interim, and Concordiasi dropsonde data</t>
  </si>
  <si>
    <t>surface-based inversion; inversion; Antarctica; IASI; ERA-Interim; dropsonde</t>
  </si>
  <si>
    <t>TEMPERATURE INVERSION; CLEAR-SKY; VALIDATION</t>
  </si>
  <si>
    <t>Surface-based temperature inversions (SBIs) occur frequently over Antarctica and play an important role in climate and weather. Antarctic SBIs are examined during the austral spring of 2010 using measurements from dropsondes, ERA-Interim Atmospheric Reanalysis Model, and the recently released version 6 of the Infrared Atmospheric Sounding Interferometer (IASI) level 2 product. A SBI detection algorithm is applied to temperature profiles from these data sets. The results will be used to determine if satellite and reanalysis products can accurately characterize SBIs, and if so, then they may be used to study SBIs outside of the spring 2010 study period. From the dropsonde data, SBIs occur in 20% of profiles over sea ice and 54% of profiles over land. IASI and ERA-Interim surface air temperatures are found to be significantly warmer than dropsonde observations at high plateau regions, while IASI surface air temperatures are colder over sea ice. IASI and ERA-Interim have a cold bias at nearly all levels above the surface when compared to the dropsonde. SBIs are characterized by their frequency, depth, and intensity. It is found that SBIs are more prevalent, deeper, and more intense over the continent than over sea ice, especially at higher surface elevations. Using IASI and ERA-Interim data the detection algorithm has a high probability of detection of SBIs but is found to severely overestimate the depth and underestimate the intensity for both data sets. These overestimation and underestimation are primarily due to the existence of extremely shallow inversion layers that neither satellite nor reanalysis products can resolve.</t>
  </si>
  <si>
    <t>[Boylan, Patrick; Cohn, Stephen A.] Natl Ctr Atmospher Res, Earth Observing Lab, POB 3000, Boulder, CO 80307 USA; [Wang, Junhong] SUNY Albany, Dept Atmospher &amp; Environm Sci, Albany, NY 12222 USA; [Hultberg, Tim; August, Thomas] EUMETSAT, Darmstadt, Germany</t>
  </si>
  <si>
    <t>National Center Atmospheric Research (NCAR) - USA; State University of New York (SUNY) System; State University of New York (SUNY) Albany; European Organisation for the Exploitation of Meteorological Satellites</t>
  </si>
  <si>
    <t>Boylan, P (corresponding author), Natl Ctr Atmospher Res, Earth Observing Lab, POB 3000, Boulder, CO 80307 USA.</t>
  </si>
  <si>
    <t>boylanp@gmail.com</t>
  </si>
  <si>
    <t>Wang, JunHong/HKE-0286-2023; Boylan, Patrick J/A-5289-2010; Cohn, Stephen/GQH-2637-2022</t>
  </si>
  <si>
    <t>NSF [ANT-0733007]; National Science Foundation</t>
  </si>
  <si>
    <t>NSF(National Science Foundation (NSF)); National Science Foundation(National Science Foundation (NSF))</t>
  </si>
  <si>
    <t>This project is supported by NSF project ANT-0733007. The National Center for Atmospheric Research is sponsored by the National Science Foundation. We thank Kate Young and Scott Ellis for their insightful comments. The AIRS data products are available at http://disc.sci.gsfc.nasa.gov/AIRS/data-holdings/by-data-product-V6.</t>
  </si>
  <si>
    <t>10.1002/2015JD024724</t>
  </si>
  <si>
    <t>DW0ZN</t>
  </si>
  <si>
    <t>WOS:000383372400020</t>
  </si>
  <si>
    <t>Wlostowski, AN; Gooseff, MN; McKnight, DM; Jaros, C; Lyons, WB</t>
  </si>
  <si>
    <t>Wlostowski, Adam N.; Gooseff, Michael N.; McKnight, Diane M.; Jaros, Christopher; Lyons, W. Berry</t>
  </si>
  <si>
    <t>Patterns of hydrologic connectivity in the McMurdo Dry Valleys, Antarctica: a synthesis of 20years of hydrologic data</t>
  </si>
  <si>
    <t>HYDROLOGICAL PROCESSES</t>
  </si>
  <si>
    <t>hydrologic connectivity; Antarctica; hyporheic zone</t>
  </si>
  <si>
    <t>GLACIAL MELTWATER STREAMS; TAYLOR VALLEY; HYPORHEIC EXCHANGE; BLOOD FALLS; WATER; LAKES; FLOW; GEOCHEMISTRY; TEMPERATURES; ECOSYSTEM</t>
  </si>
  <si>
    <t>Streams in the McMurdo Dry Valleys (MDVs) of Antarctica moderate an important hydrologic and biogeochemical connection between upland alpine glaciers, valley-bottom soils, and lowland closed-basin lakes. Moreover, MDV streams are simple but dynamic systems ideal for studying interacting hydrologic and ecological dynamics. This work synthesizes 20years of hydrologic data, collected as part of the MDVs Long-Term Ecological Research project, to assess spatial and temporal dynamics of hydrologic connectivity between glaciers, streams, and lakes. Long-term records of stream discharge (Q), specific electrical conductance (EC), and water temperature (T) from 18 streams were analysed in order to quantify the magnitude, duration, and frequency of hydrologic connections over daily, annual, and inter-annual timescales. At a daily timescale, we observe predictable diurnal variations in Q, EC, and T. At an annual timescale, we observe longer streams to be more intermittent, warmer, and have higher median EC values, compared to shorter streams. Longer streams also behave chemostatically with respect to EC, whereas shorter streams are more strongly characterized by dilution. Inter-annually, we observe significant variability in annual runoff volumes, likely because of climatic variability over the 20 record years considered. Hydrologic connections at all timescales are vital to stream ecosystem structure and function. This synthesis of hydrologic connectivity in the MDVs provides a useful end-member template for assessing hydrologic connectivity in more structurally complex temperate watersheds. Copyright (c) 2016 John Wiley &amp; Sons, Ltd.</t>
  </si>
  <si>
    <t>[Wlostowski, Adam N.; Gooseff, Michael N.; McKnight, Diane M.] Univ Colorado, Dept Civil &amp; Architectural Engn, Boulder, CO 80309 USA; [Wlostowski, Adam N.; Gooseff, Michael N.; McKnight, Diane M.; Jaros, Christopher] Univ Colorado, Inst Arctic &amp; Alpine Res, Boulder, CO 80309 USA; [Lyons, W. Berry] Ohio State Univ, Byrd Polar Res Ctr, Columbus, OH 43210 USA</t>
  </si>
  <si>
    <t>University of Colorado System; University of Colorado Boulder; University of Colorado System; University of Colorado Boulder; University System of Ohio; Ohio State University</t>
  </si>
  <si>
    <t>Wlostowski, AN (corresponding author), Univ Colorado, Dept Civil &amp; Architectural Engn, Boulder, CO 80309 USA.</t>
  </si>
  <si>
    <t>adam.wlostowski@colorado.edu</t>
  </si>
  <si>
    <t>Gooseff, Michael N/0000-0003-4322-8315</t>
  </si>
  <si>
    <t>National Science Foundation of the McMurdo LTER program [9614938, 9810219, 0423595, 0096250, 0832755, 1041742, 1115245]; Directorate For Geosciences [9614938] Funding Source: National Science Foundation; Office of Polar Programs (OPP) [9614938] Funding Source: National Science Foundation; Office of Polar Programs (OPP); Directorate For Geosciences [0423595, 9810219, 1115245] Funding Source: National Science Foundation; Office of Polar Programs (OPP); Directorate For Geosciences [0096250, 1041742, 0832755] Funding Source: National Science Foundation</t>
  </si>
  <si>
    <t>National Science Foundation of the McMurdo LTER program;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</si>
  <si>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The authors wish to acknowledge the civilian contractors (Antarctic Support Associates, Raytheon Polar Services, and Antarctic Support Contract through Lockheed-Martin) and Petroleum Helicopters, Inc. who have supported the US Antarctic Program over the period of the MCM LTER program. This research has been funded by the National Science Foundation in support of the McMurdo LTER program (grants 9614938, 9810219, 0423595, 0096250, 0832755, 1041742, and 1115245). Any opinions, finding, conclusions, or recommendations expressed in the material are those of the authors and do not necessarily reflect the views of the National Science Foundation. Long-term data sets were are available on the McMurdo LTER online database, mcmlter.org.</t>
  </si>
  <si>
    <t>0885-6087</t>
  </si>
  <si>
    <t>1099-1085</t>
  </si>
  <si>
    <t>HYDROL PROCESS</t>
  </si>
  <si>
    <t>Hydrol. Process.</t>
  </si>
  <si>
    <t>AUG 15</t>
  </si>
  <si>
    <t>10.1002/hyp.10818</t>
  </si>
  <si>
    <t>DV5HK</t>
  </si>
  <si>
    <t>WOS:000382957700005</t>
  </si>
  <si>
    <t>Deep, old water explains why Antarctic Ocean hasn't warmed</t>
  </si>
  <si>
    <t>DT7EP</t>
  </si>
  <si>
    <t>WOS:000381650200011</t>
  </si>
  <si>
    <t>McCoy-West, AJ; Bennett, VC; Amelin, Y</t>
  </si>
  <si>
    <t>McCoy-West, Alex J.; Bennett, Vickie C.; Amelin, Yuri</t>
  </si>
  <si>
    <t>Rapid Cenozoic ingrowth of isotopic signatures simulating HIMU in ancient lithospheric mantle: Distinguishing source from process</t>
  </si>
  <si>
    <t>Sr-Nd-Pb isotopes; HIMU; Carbonatite; New Zealand; Mantle xenoliths</t>
  </si>
  <si>
    <t>MARIE-BYRD-LAND; SPINEL PERIDOTITE XENOLITHS; AUCKLAND VOLCANIC FIELD; U-PB GEOCHRONOLOGY; WEST ANTARCTIC MARGIN; BROOK STREET TERRANE; SR-ND ISOTOPE; NEW-ZEALAND; INTRAPLATE VOLCANISM; TRACE-ELEMENT</t>
  </si>
  <si>
    <t>Chemical and isotopic heterogeneities in the lithospheric mantle are increasingly being recognised on all scales of examination, although the mechanisms responsible for generating this variability are still poorly understood. To investigate the relative behaviour of different isotopic systems in off-cratonic mantle, and specifically the origin of the regional southwest Pacific HIMU (high time integrated U-238/Pb-204) Pb isotopic signature, we present the first U-Th-Pb, Rb-Sr, Sm-Nd and Re-Os isotopic dataset for spinel peridotite xenoliths sampling the subcontinental lithospheric mantle (SCLM) beneath Zealandia. Strongly metasomatised xenoliths converge to a restricted range of Sr and Nd isotopic compositions (Sr-87/Sr-86 = 0.7028-0.7033; epsilon(Nd) approximate to +3-+6) reflecting pervasive overprinting of their original melt depletion signatures by carbonatite-rich melts. In contrast, rare, weakly metasomatised samples possess radiogenic Nd isotopic compositions (epsilon(Nd) &gt; + 15) and unradiogenic Sr isotopic compositions (Sr-87/Sr-86 &lt; 0.7022). This is consistent with melt extraction at ca. 2.0 Ga and in accord with widespread Paleoproterozoic Re-Os model ages from both weakly metasomatised and the more numerous, strongly metasomatised xenoliths. The coupling of chalcophile (Os), and lithophile (Sr and Nd) melt depletion ages from peridotite xenoliths on a regional scale under Zealandia argues for preservation of a significant mantle keel (&gt;= 2 million km(3)) associated with a large-scale Paleoproterozoic melting event. Lead isotopic compositions are highly variable with Pb-206/Pb-204 = 17.3-21.3 (n = 34) and two further samples with more extreme compositions of 22.4 and 25.4, but are not correlated with other isotopic data or U/Pb and Th/Pb ratios in either strongly or weakly metasomatised xenoliths; this signature is thus a recent addition to the lithospheric mantle. Lead model ages suggest that this metasomatism occurred in the last 200 m.y., with errorchrons from individual localities providing ages younger than 116 Ma. When considered in the regional tectonic context the Pb isotopic signatures are best explained through interaction of the lithospheric mantle with a weak upwelling mantle plume that contained carbonatitic domains at ca. 110-115 Ma. Projection of the measured high U/Pb and Th/Pb signatures into the future predicts extreme Pb isotopic values distinct from any recognised terrestrial reservoir. We suggest that this type of young, carbonatite-related radiogenic Pb signature with extreme U-238/Pb-204 and Th-232/Pb-204, which is widely observed in the southwest Pacific, may reflect a secular change in mantle chemistry consistent with the increased prevalence of carbonatite sources during the Phanerozoic. This signature is referred to as CarboHIMU, to differentiate it from the originally defined HIMU representing an ancient lower mantle component present in some ocean island basalts. (C) 2016 Elsevier Ltd. All rights reserved.</t>
  </si>
  <si>
    <t>[McCoy-West, Alex J.; Bennett, Vickie C.; Amelin, Yuri] Australian Natl Univ, Res Sch Earth Sci, Canberra, ACT 2601, Australia</t>
  </si>
  <si>
    <t>McCoy-West, AJ (corresponding author), Univ Durham, Dept Earth Sci, Durham DH1 3LE, England.</t>
  </si>
  <si>
    <t>alex.mccoywest@gmail.com</t>
  </si>
  <si>
    <t>McCoy-West, Alex/AAY-2013-2020</t>
  </si>
  <si>
    <t>McCoy-West, Alex/0000-0003-4171-9276; Bennett, Vickie/0000-0003-0937-3471</t>
  </si>
  <si>
    <t>Australian Postgraduate Award at the ANU; J.C. Jaeger Fellowship at the ANU</t>
  </si>
  <si>
    <t>AMW was supported by an Australian Postgraduate Award and J.C. Jaeger Fellowship at the ANU. We thank S. Zink for lab support and T. Ireland and V. Salters for comments on an earlier draft. This manuscript was improved by constructive reviews by S. Tappe and two anonymous reviewers. We thank Dmitri Ionov for his editorial handling and constructive comments.</t>
  </si>
  <si>
    <t>10.1016/j.gca.2016.05.013</t>
  </si>
  <si>
    <t>DR2ME</t>
  </si>
  <si>
    <t>WOS:000379737800004</t>
  </si>
  <si>
    <t>Lee, MR; Lindgren, P; King, AJ; Greenwood, RC; Franchi, IA; Sparkes, R</t>
  </si>
  <si>
    <t>Lee, Martin R.; Lindgren, Paula; King, Ashley J.; Greenwood, Richard C.; Franchi, Ian A.; Sparkes, Robert</t>
  </si>
  <si>
    <t>Elephant Moraine 96029, a very mildly aqueously altered and heated CM carbonaceous chondrite: Implications for the drivers of parent body processing</t>
  </si>
  <si>
    <t>CM carbonaceous chondrites; Aqueous alteration; Thermal processing</t>
  </si>
  <si>
    <t>INSOLUBLE ORGANIC-MATTER; ISOLATED OLIVINE GRAINS; X-RAY-DIFFRACTION; THERMAL METAMORPHISM; MODAL MINERALOGY; RICH INCLUSIONS; REFRACTORY INCLUSIONS; MURCHISON METEORITE; OXYGEN-ISOTOPE; MATRIX</t>
  </si>
  <si>
    <t>Elephant Moraine (EET) 96029 is a CM carbonaceous chondrite regolith breccia with evidence for unusually mild aqueous alteration, a later phase of heating and terrestrial weathering. The presence of phyllosilicates and carbonates within chondrules and the fine-grained matrix indicates that this meteorite was aqueously altered in its parent body. Features showing that water-mediated processing was arrested at a very early stage include a matrix with a low magnesium/iron ratio, chondrules whose mesostasis contains glass and/or quench crystallites, and a gehlenite-bearing calcium-and aluminium-rich inclusion. EET 96029 is also rich in Fe, Ni metal relative to other CM chondrites, and more was present prior to its partial replacement by goethite during Antarctic weathering. In combination, these properties indicate that EET 96029 is one of the least aqueously altered CMs yet described (CM2.7) and so provides new insights into the original composition of its parent body. Following aqueous alteration, and whilst still in the parent body regolith, the meteorite was heated to similar to 400-600 degrees C by impacts or solar radiation. Heating led to the amorphisation and dehydroxylation of serpentine, replacement of tochilinite by magnetite, loss of sulphur from the matrix, and modification to the structure of organic matter that includes organic nanoglobules. Significant differences between samples in oxygen isotope compositions, and water/hydroxyl contents, suggests that the meteorite contains lithologies that have undergone different intensities of heating. EET 96029 may be more representative of the true nature of parent body regoliths than many other CM meteorites, and as such can help interpret results from the forthcoming missions to study and return samples from C-complex asteroids. (C) 2016 The Author(s). Published by Elsevier Ltd. This is an open access article under the CC BY license.</t>
  </si>
  <si>
    <t>[Lee, Martin R.; Lindgren, Paula] Univ Glasgow, Sch Geog &amp; Earth Sci, Gregory Bldg, Glasgow G12 8QQ, Lanark, Scotland; [King, Ashley J.] Nat Hist Museum, Dept Earth Sci, Cromwell Rd, London SW7 5BD, England; [Greenwood, Richard C.; Franchi, Ian A.] Open Univ, Planetary &amp; Space Sci, Walton Hall, Milton Keynes MK7 6AA, Bucks, England; [Sparkes, Robert] Univ Manchester, Williamson Res Ctr Mol Environm Sci, Sch Earth Atmospher &amp; Environm Sci, Oxford Rd, Manchester M13 9PL, Lancs, England</t>
  </si>
  <si>
    <t>University of Glasgow; Natural History Museum London; Open University - UK; University of Manchester</t>
  </si>
  <si>
    <t>Lindgren, P (corresponding author), Univ Glasgow, Sch Geog &amp; Earth Sci, Gregory Bldg, Glasgow G12 8QQ, Lanark, Scotland.</t>
  </si>
  <si>
    <t>Lee, Martin/Q-1040-2019; Sparkes, Robert/AAA-8209-2022</t>
  </si>
  <si>
    <t>Lee, Martin/0000-0002-6004-3622; Sparkes, Robert/0000-0003-0756-0150; Greenwood, Richard/0000-0002-5544-8027; King, Ashley/0000-0001-6113-5417</t>
  </si>
  <si>
    <t>UK Science and Technology Facilities Council [ST/H002960/1, ST/K000942/1, ST/L002167/1, ST/J001473/1]; STFC [ST/L000776/1, ST/K000942/1, ST/J001473/1, ST/N000846/1] Funding Source: UKRI; Science and Technology Facilities Council [ST/L000776/1, ST/N000846/1, ST/K000942/1] Funding Source: researchfish</t>
  </si>
  <si>
    <t>UK Science and Technology Facilities Council(UK Research &amp; Innovation (UKRI)Science &amp; Technology Facilities Council (STFC)); STFC(UK Research &amp; Innovation (UKRI)Science &amp; Technology Facilities Council (STFC)); Science and Technology Facilities Council(UK Research &amp; Innovation (UKRI)Science &amp; Technology Facilities Council (STFC))</t>
  </si>
  <si>
    <t>We thank the NHM London and NASA ANSMET for loan of the meteorite samples. We are also grateful for technical assistance from Peter Chung, William Smith, Colin How and Sam McFadzean. Eric Quirico is thanked for discussions about Raman data processing, and we acknowledge helpful comments from Gregory Herzog, Eric K. Tonui and two anonymous reviewers. This work was funded by the UK Science and Technology Facilities Council through Grants ST/H002960/1, ST/K000942/1, ST/L002167/1 and ST/J001473/1.</t>
  </si>
  <si>
    <t>10.1016/j.gca.2016.05.008</t>
  </si>
  <si>
    <t>WOS:000379737800012</t>
  </si>
  <si>
    <t>Benz, V; Esper, O; Gersonde, R; Lamy, F; Tiedemann, R</t>
  </si>
  <si>
    <t>Benz, Verena; Esper, Oliver; Gersonde, Rainer; Lamy, Frank; Tiedemann, Ralf</t>
  </si>
  <si>
    <t>Last Glacial Maximum sea surface temperature and sea-ice extent in the Pacific sector of the Southern Ocean</t>
  </si>
  <si>
    <t>Last Glacial Maximum; Temperature and sea-ice reconstruction; Pacific Southern Ocean</t>
  </si>
  <si>
    <t>MAJOR DIATOM TAXA; ANTARCTIC CIRCUMPOLAR CURRENT; LATE PLEISTOCENE; ATLANTIC SECTOR; POLAR FRONT; NEW-ZEALAND; EL-NINO; PLANKTONIC-FORAMINIFERA; CHRONOLOGY AICC2012; CLIMATE VARIABILITY</t>
  </si>
  <si>
    <t>Sea surface temperatures and sea-ice extent are most critical variables to evaluate the Southern Ocean paleoceanographic evolution in relation to the development of the global carbon cycle, atmospheric CO2 and ocean-atmosphere circulation. Here we present diatom transfer function-based summer sea surface temperature (SSST) and winter sea-ice (WSI) estimates from the Pacific sector of the Southern Ocean to bridge a gap in information that has to date hampered a well-established reconstruction of the last glacial Southern Ocean at circum-Antarctic scale. We studied the Last Glacial Maximum (LGM) at the EPILOG time slice (19,000-23,000 calendar years before present) in 17 cores and consolidated our LGM picture of the Pacific sector taking into account published data from its warmer regions. Our data display a distinct east-west differentiation with a rather stable WSI edge north of the Pacific-Antarctic Ridge in the Ross Sea sector and a more variable WSI extent over the Amundsen Abyssal Plain. The zone of maximum cooling (&gt;4 K) during the LGM is in the present Subantarctic Zone and bounded to its south by the 4 C isotherm. The isotherm is in the SSST range prevailing at the modern Antarctic Polar Front, representing a circum-Antarctic feature, and marks the northern edge of the glacial Antarctic Circumpolar Current (ACC). The northward deflection of colder than modern surface waters along the South American continent led to a significant cooling of the glacial Humboldt Current surface waters (4-8 K), which affected the temperature regimes as far north as tropical latitudes. The glacial reduction of ACC temperatures may also have resulted in significant cooling in the Atlantic and Indian Southern Ocean, thus enhancing thermal differentiation of the Southern Ocean and Antarctic continental cooling. The comparison with numerical temperature and sea-ice simulations yields discrepancies, especially concerning the estimates of the sea-ice fields, but some simulations reproduce well our proxy-based temperature data. (C) 2016 Elsevier Ltd. All rights reserved.</t>
  </si>
  <si>
    <t>[Benz, Verena; Esper, Oliver; Gersonde, Rainer; Lamy, Frank; Tiedemann, Ralf] Helmholtz Zentrum Polar &amp; Meeresforsch, Alfred Wegener Inst, Alten Hafen 26, D-27568 Bremerhaven, Germany; [Benz, Verena; Esper, Oliver; Gersonde, Rainer; Lamy, Frank] Univ Bremen, MARUM Zentrum Marine Umweltwissensch, Bremen, Germany</t>
  </si>
  <si>
    <t>Helmholtz Association; Alfred Wegener Institute, Helmholtz Centre for Polar &amp; Marine Research; University of Bremen</t>
  </si>
  <si>
    <t>Benz, V (corresponding author), Helmholtz Zentrum Polar &amp; Meeresforsch, Alfred Wegener Inst, Alten Hafen 26, D-27568 Bremerhaven, Germany.</t>
  </si>
  <si>
    <t>Verena.Benz@awi.de</t>
  </si>
  <si>
    <t>; Lamy, Frank/H-3611-2014</t>
  </si>
  <si>
    <t>Tiedemann, Ralf/0000-0001-7211-8049; Esper, Oliver/0000-0002-4342-3471; Lamy, Frank/0000-0001-5952-1765</t>
  </si>
  <si>
    <t>Deutsche Forschungsgemeinschaft (DFG), MARUM DFG-Research Center/Cluster of Excellence The Ocean in the Earth System [EXC 309]; EU-FP7 project Past4Future Climate change - Learning from the past climate; AWI program PACES I and II (Polar Regions and Coasts in the Changing Earth System)</t>
  </si>
  <si>
    <t>Deutsche Forschungsgemeinschaft (DFG), MARUM DFG-Research Center/Cluster of Excellence The Ocean in the Earth System(German Research Foundation (DFG)); EU-FP7 project Past4Future Climate change - Learning from the past climate; AWI program PACES I and II (Polar Regions and Coasts in the Changing Earth System)</t>
  </si>
  <si>
    <t>We thank captain, crew and scientific participants of R/V Polarstern cruises ANT-XVIII/5a and ANT-XXVI/2 for recovering the studied material. Ute Bock, Lisa Schonborn and Marianne Warnkro beta are acknowledged for technical assistance. We also thank Gerald Haug for the possibility to measure 14C samples at the MICADAS system at the ETH and Peter Kohler (AWI) for providing EDC dust fluxes and temperature on the new AICC12 timescale. Finally, we thank two anonymous reviewers for the constructive comments to improve the manuscript. This work was funded by the Deutsche Forschungsgemeinschaft (DFG) as part of the MARUM DFG-Research Center/Cluster of Excellence (EXC 309) The Ocean in the Earth System, the EU-FP7 project Past4Future Climate change - Learning from the past climate, and the AWI program PACES I and II (Polar Regions and Coasts in the Changing Earth System).</t>
  </si>
  <si>
    <t>10.1016/j.quascirev.2016.06.006</t>
  </si>
  <si>
    <t>DT1ID</t>
  </si>
  <si>
    <t>WOS:000381234000012</t>
  </si>
  <si>
    <t>Thomazini, A; Francelino, MR; Pereira, AB; Schünemann, AL; Mendonça, ES; Almeida, PHA; Schaefer, CEGR</t>
  </si>
  <si>
    <t>Thomazini, A.; Francelino, M. R.; Pereira, A. B.; Schunemann, A. L.; Mendonca, E. S.; Almeida, P. H. A.; Schaefer, C. E. G. R.</t>
  </si>
  <si>
    <t>Geospatial variability of soil CO2-C exchange in the main terrestrial ecosystems of Keller Peninsula, Maritime Antarctica</t>
  </si>
  <si>
    <t>Organic carbon; Climate change; Carbon exchange; Polar environment; Mapping; Soil attributes</t>
  </si>
  <si>
    <t>GLACIER RETREAT ZONE; KING GEORGE ISLAND; PLANT-COMMUNITIES; FLUXES; CARBON; VEGETATION; EMISSIONS; TUNDRA; N2O</t>
  </si>
  <si>
    <t>Soils and vegetation play an important role in the carbon exchange in Maritime Antarctica but little is known on the spatial variability of carbon processes in Antarctic terrestrial environments. The objective of the current study was to investigate (i) the soil development and (ii) spatial variability of ecosystem respiration (ER), net ecosystem CO2 exchange (NEE), gross primary production (GPP), soil temperature (ST) and soil moisture (SM) under four distinct vegetation types and a bare soil in Keller Peninsula, King George Island, Maritime Antarctica, as follows: site 1: moss-turf community; site 2: moss-carpet community; site 3: phanerogamic antarctic community; site 4: moss-carpet community (predominantly colonized by Sanionia uncinata); site 5: bare soil. Soils were sampled at different layers. A regular 40-point (5 x 8 m) grid, with a minimum separation distance of 1 m, was installed at each site to quantify the spatial variability of carbon exchange, soil moisture and temperature. Vegetation characteristics showed closer relation with soil development across the studied sites. ER reached 2.26 mu mol CO2 m(-2) s(-1) in site 3, where ST was higher (7.53 degrees C). A greater sink effect was revealed in site 4 (net uptake of 1.54 mu mol CO(2)m(-2) s(-1)) associated with higher SM (0.32 m(3) m(-3)). Spherical models were fitted to describe all experimental semivariograms. Results indicate that ST and SM are directly related to the spatial variability of CO2 exchange. Heterogeneous vegetation patches showed smaller range values. Overall, poorly drained terrestrial ecosystems act as CO2 sink. Conversely, where ER is more pronounced, they are associated with intense soil carbon mineralization. The formations of new ice-free areas, depending on the local soil drainage condition, have an important effect on CO2 exchange. With increasing ice/snow melting, and resulting widespread waterlogging, increasing CO2 sink in terrestrial ecosystems is expected for Maritime Antarctica. (C) 2016 Elsevier B. V. All rights reserved.</t>
  </si>
  <si>
    <t>[Thomazini, A.; Francelino, M. R.; Schunemann, A. L.; Almeida, P. H. A.] Univ Fed Vicosa, Dept Solos, BR-36570000 Vicosa, MG, Brazil; [Pereira, A. B.; Schaefer, C. E. G. R.] Univ Fed Pampa, BR-97300000 Sao Gabriel, RS, Brazil; [Mendonca, E. S.] Univ Fed Espirito Santo, Dept Prod Vegetal, BR-29000000 Alegre, ES, Brazil</t>
  </si>
  <si>
    <t>Universidade Federal de Vicosa; Universidade Federal do Pampa; Universidade Federal do Espirito Santo</t>
  </si>
  <si>
    <t>Thomazini, A (corresponding author), Univ Fed Vicosa, Dept Solos, BR-36570000 Vicosa, MG, Brazil.</t>
  </si>
  <si>
    <t>andre.thz@gmail.com; marcio.francelino@ufv.br; antoniopereira@unipampa.edu.br; adrianoschunemann@gmail.com; eduardo.mendonca@ufes.br; phalmeida06@gmail.com; carlos.schaefer@ufv.br</t>
  </si>
  <si>
    <t>Francelino, Marcio Rocha/AAS-4224-2020; Pereira, Antonio B/I-8201-2014; Pereira, Antonio/AAD-5703-2019; Schünemann, Adriano Luis/AAN-1224-2020; Schaefer, Carlos Ernesto/AAY-4977-2020</t>
  </si>
  <si>
    <t>Francelino, Marcio Rocha/0000-0001-8837-1372; Pereira, Antonio B/0000-0003-0368-4594; Schünemann, Adriano Luis/0000-0001-7227-7074; Thomazini, Andre/0000-0001-5613-0494; Ernesto Goncalves Reynaud Schaefer, Carlos/0000-0001-7060-1598; Ernesto Goncalves Reynaud Schaefer, Carlos/0000-0001-5735-3227</t>
  </si>
  <si>
    <t>Conselho Nacional de Desenvolvimento Cientifico e Tecnologico (CNPq) [556794/2009-5]; Ministerio da Ciencia, Tecnologia e Inovacao (MCTI)</t>
  </si>
  <si>
    <t>Conselho Nacional de Desenvolvimento Cientifico e Tecnologico (CNPq)(Conselho Nacional de Desenvolvimento Cientifico e Tecnologico (CNPQ)); Ministerio da Ciencia, Tecnologia e Inovacao (MCTI)</t>
  </si>
  <si>
    <t>We acknowledge Conselho Nacional de Desenvolvimento Cientifico e Tecnologico (CNPq) (556794/2009-5) and Ministerio da Ciencia, Tecnologia e Inovacao (MCTI) for granting financial support. This work is a contribution of INCT-Criosfera TERRANTAR group.</t>
  </si>
  <si>
    <t>10.1016/j.scitotenv.2016.04.043</t>
  </si>
  <si>
    <t>DN9AW</t>
  </si>
  <si>
    <t>WOS:000377372400078</t>
  </si>
  <si>
    <t>Cuzzone, JK; Clark, PU; Carlson, AE; Ullman, DJ; Rinterknecht, VR; Milne, GA; Lunkka, JP; Wohlfarth, B; Marcott, SA; Caffee, M</t>
  </si>
  <si>
    <t>Cuzzone, Joshua K.; Clark, Peter U.; Carlson, Anders E.; Ullman, David J.; Rinterknecht, Vincent R.; Milne, Glenn A.; Lunkka, Juha-Pekka; Wohlfarth, Barbara; Marcott, Shaun A.; Caffee, Marc</t>
  </si>
  <si>
    <t>Final deglaciation of the Scandinavian Ice Sheet and implications for the Holocene global sea-level budget</t>
  </si>
  <si>
    <t>sea level; ice sheets; Holocene</t>
  </si>
  <si>
    <t>NUCLIDE PRODUCTION-RATES; LAST DEGLACIATION; MANTLE VISCOSITY; BALTIC SEA; BE-10; MODEL; SURFACE; AGES; GREENLAND; VOLUMES</t>
  </si>
  <si>
    <t>The last deglaciation of the Scandinavian Ice Sheet (SIS) from similar to 21,000 to 13,000 yr ago is well constrained by several hundred Be-10 and C-14 ages. The subsequent retreat history, however, is established primarily from minimum-limiting C-14 ages and incomplete Baltic-Sea varve records, leaving a substantial fraction of final SIS retreat history poorly constrained. Here we develop a high-resolution chronology for the final deglaciation of the SIS based on 79 Be-10 cosmogenic exposure dates sampled along three transects spanning southern to northern Sweden and Finland. Combining this new chronology with existing Be-10 ages on deglaciation since the Last Glacial Maximum shows that rates of SIS margin retreat were strongly influenced by deglacial millennial-scale climate variability and its effect on surface mass balance, with regional modulation of retreat associated with dynamical controls. Ice-volume estimates constrained by our new chronology suggest that the SIS contributed 8 m sea-level equivalent to global sea-level rise between similar to 14.5 ka and 10 ka. Final deglaciation was largely complete by similar to 10.5 ka, with highest rates of sea-level rise occurring during the Bolling-Allerod, a 50% decrease during the Younger Dryas, and a rapid increase during the early Holocene. Combining our SIS volume estimates with estimated contributions from other remaining Northern Hemisphere ice sheets suggests that the Antarctic Ice Sheet (AIS) contributed 14.4 +/- 5.9 m to global sea-level rise since 13 ka. This new constraint supports those studies that indicate that an ice volume of 15 m or more of equivalent sea-level rise was lost from the AIS during the last deglaciation. (C) 2016 Elsevier B.V. All rights reserved.</t>
  </si>
  <si>
    <t>[Cuzzone, Joshua K.] CALTECH, Jet Prop Lab, NASA, 4800 Oak Grove Dr, Pasadena, CA 91109 USA; [Clark, Peter U.; Carlson, Anders E.; Ullman, David J.] Oregon State Univ, Coll Earth Ocean &amp; Atmospher Sci, Corvallis, OR 97331 USA; [Rinterknecht, Vincent R.] Univ Paris 01, CNRS, Lab Geog Phys, UMR 8591, F-92195 Meudon, France; [Milne, Glenn A.] Univ Ottawa, Dept Earth &amp; Environm Sci, Ottawa, ON, Canada; [Lunkka, Juha-Pekka] Univ Oulu, OMS Glacial Sedimentol &amp; Stratig Grp, POB 3000, FI-90014 Oulu, Finland; [Wohlfarth, Barbara] Univ Stockholm, Dept Geol Sci, Stockholm, Sweden; [Marcott, Shaun A.] Univ Wisconsin, Dept Geosci, Madison, WI 53706 USA; [Caffee, Marc] Purdue Univ, Dept Phys &amp; Astron, W Lafayette, IN 47907 USA; [Caffee, Marc] Purdue Univ, Dept Earth Atmospher &amp; Planetary Sci, W Lafayette, IN 47907 USA; [Rinterknecht, Vincent R.] Univ St Andrews, Dept Earth &amp; Environm Sci, St Andrews KY16 9AL, Fife, Scotland</t>
  </si>
  <si>
    <t>California Institute of Technology; National Aeronautics &amp; Space Administration (NASA); NASA Jet Propulsion Laboratory (JPL); Oregon State University; Centre National de la Recherche Scientifique (CNRS); CNRS - Institute of Ecology &amp; Environment (INEE); Universite Paris-Est-Creteil-Val-de-Marne (UPEC); University of Ottawa; University of Oulu; Stockholm University; University of Wisconsin System; University of Wisconsin Madison; Purdue University System; Purdue University; Purdue University System; Purdue University; University of St Andrews</t>
  </si>
  <si>
    <t>Cuzzone, JK (corresponding author), CALTECH, Jet Prop Lab, NASA, 4800 Oak Grove Dr, Pasadena, CA 91109 USA.</t>
  </si>
  <si>
    <t>Joshua.K.Cuzzone@jpl.nasa.gov</t>
  </si>
  <si>
    <t>rinterknecht, vincent/A-9229-2010; Marcott, Shaun A/L-7098-2015</t>
  </si>
  <si>
    <t>Marcott, Shaun A/0000-0003-3264-0523; Rinterknecht, Vincent/0000-0002-5410-2075</t>
  </si>
  <si>
    <t>GSA graduate student research grant; NSF [EAR-0958417, EAR-0958872, EAR-1343573, EAR-0844151]; Division Of Earth Sciences; Directorate For Geosciences [1153689] Funding Source: National Science Foundation; Division Of Earth Sciences; Directorate For Geosciences [1560658] Funding Source: National Science Foundation</t>
  </si>
  <si>
    <t>GSA graduate student research grant; NSF(National Science Foundation (NSF)); Division Of Earth Sciences; Directorate For Geosciences(National Science Foundation (NSF)NSF - Directorate for Geosciences (GEO)); Division Of Earth Sciences; Directorate For Geosciences(National Science Foundation (NSF)NSF - Directorate for Geosciences (GEO))</t>
  </si>
  <si>
    <t>We thank Jay Alder, Aaron Barth, Andrea Balbas, Nilo Bill, Svante Bjorck, Akkaneewut Chabangborn, Brent Goehring, Nat Lifton, and Jukka-Pekka Palmu for help and discussions related to this project, Jonathan Bamber for the base map used in Fig. 3d, and the two journal reviewers for their helpful comments. Research was supported by a GSA graduate student research grant to JKC, NSF grant EAR-0958417 to PUC, and NSF grants EAR-0958872 and EAR-1343573 to AEC. PRIME Lab is supported by NSF grant EAR-0844151.</t>
  </si>
  <si>
    <t>10.1016/j.epsl.2016.05.019</t>
  </si>
  <si>
    <t>DP4HS</t>
  </si>
  <si>
    <t>WOS:000378457600004</t>
  </si>
  <si>
    <t>Iovino, D; Masina, S; Storto, A; Cipollone, A; Stepanov, VN</t>
  </si>
  <si>
    <t>Iovino, Doroteaciro; Masina, Simona; Storto, Andrea; Cipollone, Andrea; Stepanov, Vladimir N.</t>
  </si>
  <si>
    <t>A 1/16° eddying simulation of the global NEMO sea-ice-ocean system</t>
  </si>
  <si>
    <t>MERIDIONAL OVERTURNING CIRCULATION; ANTARCTIC CIRCUMPOLAR CURRENT; FRESH-WATER DISCHARGE; CORE-II SIMULATIONS; SOUTHERN-OCEAN; ATLANTIC-OCEAN; SALINITY PROFILES; ROSSBY RADIUS; MODEL; VARIABILITY</t>
  </si>
  <si>
    <t>Analysis of a global eddy-resolving simulation using the NEMO general circulation model is presented. The model has 1/16 degrees horizontal spacing at the Equator, employs two displaced poles in the Northern Hemisphere, and uses 98 vertical levels. The simulation was spun up from rest and integrated for 11 model years, using ERA-Interim reanalysis as surface forcing. Primary intent of this hindcast is to test how the model represents upper ocean characteristics and sea ice properties. Analysis of the zonal averaged temperature and salinity, and the mixed layer depth indicate that the model average state is in good agreement with observed fields and that the model successfully represents the variability in the upper ocean and at intermediate depths. Comparisons against observational estimates of mass transports through key straits indicate that most aspects of the model circulation are realistic. As expected, the simulation exhibits turbulent behaviour and the spatial distribution of the sea surface height (SSH) variability from the model is close to the observed pattern. The distribution and volume of the sea ice are, to a large extent, comparable to observed values. Compared with a corresponding eddy-permitting configuration, the performance of the model is significantly improved: reduced temperature and salinity biases, in particular at intermediate depths, improved mass and heat transports, better representation of fluxes through narrow and shallow straits, and increased global-mean eddy kinetic energy (by similar to 40 %). However, relatively minor weaknesses still exist such as a lower than observed magnitude of the SSH variability. We conclude that the model output is suitable for broader analysis to better understand upper ocean dynamics and ocean variability at global scales. This simulation represents a major step forward in the global ocean modelling at the Euro-Mediterranean Centre on Climate Change and constitutes the groundwork for future applications to short-range ocean forecasting.</t>
  </si>
  <si>
    <t>[Iovino, Doroteaciro; Masina, Simona; Storto, Andrea; Cipollone, Andrea; Stepanov, Vladimir N.] Fdn Ctr Euromediterraneo Cambiamenti Climat CMCC, Bologna, Italy; [Masina, Simona] INGV, Bologna, Italy</t>
  </si>
  <si>
    <t>Centro Euro-Mediterraneo sui Cambiamenti Climatici (CMCC); Istituto Nazionale Geofisica e Vulcanologia (INGV)</t>
  </si>
  <si>
    <t>Iovino, D (corresponding author), Fdn Ctr Euromediterraneo Cambiamenti Climat CMCC, Bologna, Italy.</t>
  </si>
  <si>
    <t>dorotea.iovino@cmcc.it</t>
  </si>
  <si>
    <t>Iovino, Doroteaciro/E-9759-2015; Stepanov, Vladimir/P-8371-2019; Storto, Andrea/AAH-3823-2019; Masina, Simona/B-4974-2012</t>
  </si>
  <si>
    <t>Iovino, Doroteaciro/0000-0001-5132-7255; Stepanov, Vladimir/0000-0002-0560-9312; Storto, Andrea/0000-0003-3856-8905; Cipollone, Andrea/0000-0001-9590-0922; MASINA, Simona/0000-0001-6273-7065</t>
  </si>
  <si>
    <t>Italian Ministry of Education, University and Research; Ministry for Environment, Land and Sea through the project GEMINA; CNES; PRACE</t>
  </si>
  <si>
    <t>Italian Ministry of Education, University and Research(Ministry of Education, Universities and Research (MIUR)); Ministry for Environment, Land and Sea through the project GEMINA; CNES(Centre National D'etudes Spatiales); PRACE</t>
  </si>
  <si>
    <t>We thank the two anonymous reviewers for their thorough reading and constructive comments, which helped improving the manuscript. The financial support of the Italian Ministry of Education, University and Research, and Ministry for Environment, Land and Sea through the project GEMINA is gratefully acknowledged. We also acknowledge PRACE for awarding us the project ENSemble-based approach for global OCEAN forecasting (ENS4OCEAN) and providing access to resource on MareNostrum based at the Barcelona Supercomputing Center (Spain). The RAPID data have been loaded from the following web pages: http://www.rapid.ac.uk/rapidmoc and http://www.rsmas.miami.edu/users/mocha. The EN3 subsurface ocean temperature and salinity data were collected, quality controlled, and distributed by the UK Met Office Hadley Centre. The AVISO altimeter products were produced by Ssalto/Duacs and distributed by AVISO, with support from CNES.</t>
  </si>
  <si>
    <t>AUG 12</t>
  </si>
  <si>
    <t>10.5194/gmd-9-2665-2016</t>
  </si>
  <si>
    <t>DV8QW</t>
  </si>
  <si>
    <t>WOS:000383202600001</t>
  </si>
  <si>
    <t>Lehnebach, CA; Zeller, AJ; Frericks, J; Ritchie, P</t>
  </si>
  <si>
    <t>Lehnebach, Carlos A.; Zeller, Andreas J.; Frericks, Jonathan; Ritchie, Peter</t>
  </si>
  <si>
    <t>Five new species of Corybas (Diurideae, Orchidaceae) endemic to New Zealand and phylogeny of the Nematoceras clade</t>
  </si>
  <si>
    <t>Brood-site deception; dispersal; islands; Mycetophila; speciation; sub-Antarctic; threatened flora</t>
  </si>
  <si>
    <t>MOLECULAR PHYLOGENETICS; DNA; EVOLUTION; NUCLEAR; UTILITY; DIVERSIFICATION; POPULATIONS; RADIATION; SEQUENCES; TORTOISE</t>
  </si>
  <si>
    <t>Five new species of Corybas endemic to New Zealand, C. confusus, C. obscurus, C. sanctigeorgianus, C. vitreus, and C. wallii are described. These species are segregated from the Corybas trilobus aggregate based on morphometric and DNA fingerprinting (AFLP) analyses. A key to the new species is also provided, and their distribution and conservation status are included. Phylogenetic results showed that, despite the great morphological and ecological diversity of these orchids, genetic divergence between species is low, suggesting recent diversification. We also found evidence for multiple dispersal events from New Zealand to several offshore and sub-Antarctic islands.</t>
  </si>
  <si>
    <t>[Lehnebach, Carlos A.; Zeller, Andreas J.] Museum New Zealand Te Papa Tongarewa, POB 467, Wellington, New Zealand; [Frericks, Jonathan; Ritchie, Peter] Victoria Univ Wellington, POB 600, Wellington, New Zealand</t>
  </si>
  <si>
    <t>Victoria University Wellington</t>
  </si>
  <si>
    <t>Lehnebach, CA (corresponding author), Museum New Zealand Te Papa Tongarewa, POB 467, Wellington, New Zealand.</t>
  </si>
  <si>
    <t>CarlosL@tepapa.govt.nz</t>
  </si>
  <si>
    <t>Ritchie, Peter/0000-0002-8351-7931; Frericks, Jonathan/0000-0001-7340-248X</t>
  </si>
  <si>
    <t>Marsden Fund under Fast-Start Grant [MNZ-1001]; Australian Orchid Foundation [298/2014]</t>
  </si>
  <si>
    <t>Marsden Fund under Fast-Start Grant; Australian Orchid Foundation</t>
  </si>
  <si>
    <t>This work was supported by the Marsden Fund under Fast-Start Grant MNZ-1001 and the Australian Orchid Foundation under grant 298/2014 to CAL. We also thank the Department of Conservation, Greater Wellington Regional Council, Auckland Council and Forest &amp; Bird Rangitikei for granting research/collection permits, P. Aspin, P. Dobbins, P. de Lange, A. Gaskett, P. Enright, M. Lusk, K. Luff, V. McGlynn, M. Moorhouse, C. Ogle, J. Rolfe, E. Scanlen, D, Steven, N. Swarts, G. Upson, for their assistance in the field or providing specimens to supplement our sampling, L. Perrie for advice on AFLP data analyses; P. Garnock-Jones, L. Shepherd and anonymous reviwers for comments on earlier versions of this manuscript.</t>
  </si>
  <si>
    <t>10.11646/phytotaxa.270.1.1</t>
  </si>
  <si>
    <t>DU2II</t>
  </si>
  <si>
    <t>WOS:000382034100001</t>
  </si>
  <si>
    <t>Strugnell, J</t>
  </si>
  <si>
    <t>Strugnell, Jan</t>
  </si>
  <si>
    <t>Kudos for female Antarctic researchers</t>
  </si>
  <si>
    <t>[Strugnell, Jan] La Trobe Univ, Melbourne, Vic, Australia</t>
  </si>
  <si>
    <t>La Trobe University</t>
  </si>
  <si>
    <t>Strugnell, J (corresponding author), La Trobe Univ, Melbourne, Vic, Australia.</t>
  </si>
  <si>
    <t>j.strugnell@latrobe.edu.au</t>
  </si>
  <si>
    <t>Strugnell, Jan M/P-9921-2016; Shafee, Thomas/L-6897-2016</t>
  </si>
  <si>
    <t>Shafee, Thomas/0000-0002-2298-7593; Strugnell, Jan/0000-0003-2994-637X</t>
  </si>
  <si>
    <t>AUG 11</t>
  </si>
  <si>
    <t>10.1038/536148b</t>
  </si>
  <si>
    <t>DT4SV</t>
  </si>
  <si>
    <t>WOS:000381472100016</t>
  </si>
  <si>
    <t>Jenk, TM; Rubino, M; Etheridge, D; Ciobanu, VG; Blunier, T</t>
  </si>
  <si>
    <t>Jenk, Theo Manuel; Rubino, Mauro; Etheridge, David; Ciobanu, Viorela Gabriela; Blunier, Thomas</t>
  </si>
  <si>
    <t>A new set-up for simultaneous high-precision measurements of CO2, δ13C-CO2 and δ18O-CO2 on small ice core samples</t>
  </si>
  <si>
    <t>ATMOSPHERIC MEASUREMENT TECHNIQUES</t>
  </si>
  <si>
    <t>ATMOSPHERIC CARBON-DIOXIDE; MIXING RATIOS; ANTARCTIC ICE; ISOTOPE CONSTRAINTS; AIR; RECORD; CYCLE; DOME; FRACTIONATION; GASES</t>
  </si>
  <si>
    <t>Palaeoatmospheric records of carbon dioxide and its stable carbon isotope composition (delta C-13) obtained from polar ice cores provide important constraints on the natural variability of the carbon cycle. However, the measurements are both analytically challenging and time-consuming; thus only data exist from a limited number of sampling sites and time periods. Additional analytical resources with high analytical precision and throughput are thus desirable to extend the existing datasets. Moreover, consistent measurements derived by independent laboratories and a variety of analytical systems help to further increase confidence in the global CO2 palaeo-reconstructions. Here, we describe our new set-up for simultaneous measurements of atmospheric CO2 mixing ratios and atmospheric delta C-13 and delta O-18-CO2 in air extracted from ice core samples. The centrepiece of the system is a newly designed needle cracker for the mechanical release of air entrapped in ice core samples of 8-13aEuro-g operated at -45aEuro-A degrees C. The small sample size allows for high resolution and replicate sampling schemes. In our method, CO2 is cryogenically and chromatographically separated from the bulk air and its isotopic composition subsequently determined by continuous flow isotope ratio mass spectrometry (IRMS). In combination with thermal conductivity measurement of the bulk air, the CO2 mixing ratio is calculated. The analytical precision determined from standard air sample measurements over ice is +/- 1.9aEuro-ppm for CO2 and +/- 0.09aEuro-aEuro degrees for delta C-13. In a laboratory intercomparison study with CSIRO (Aspendale, Australia), good agreement between CO2 and delta C-13 results is found for Law Dome ice core samples. Replicate analysis of these samples resulted in a pooled standard deviation of 2.0aEuro-ppm for CO2 and 0.11aEuro-aEuro degrees for delta C-13. These numbers are good, though they are rather conservative estimates of the overall analytical precision achieved for single ice sample measurements. Facilitated by the small sample requirement, replicate measurements are feasible, allowing the method precision to be improved potentially. Further, new analytical approaches are introduced for the accurate correction of the procedural blank and for a consistent detection of measurement outliers, which is based on delta O-18-CO2 and the exchange of oxygen between CO2 and the surrounding ice (H2O).</t>
  </si>
  <si>
    <t>[Jenk, Theo Manuel; Ciobanu, Viorela Gabriela; Blunier, Thomas] Univ Copenhagen, Niels Bohr Inst, Ctr Ice &amp; Climate, Copenhagen, Denmark; [Rubino, Mauro; Etheridge, David] CSIRO Oceans &amp; Atmosphere, Aspendale, Vic, Australia; [Jenk, Theo Manuel] Paul Scherrer Inst, Environm Chem Lab, Villigen, Switzerland; [Rubino, Mauro] Univ Naples 2, Caserta, Italy</t>
  </si>
  <si>
    <t>University of Copenhagen; Niels Bohr Institute; Commonwealth Scientific &amp; Industrial Research Organisation (CSIRO); Swiss Federal Institutes of Technology Domain; Paul Scherrer Institute; Universita della Campania Vanvitelli</t>
  </si>
  <si>
    <t>Jenk, TM (corresponding author), Univ Copenhagen, Niels Bohr Inst, Ctr Ice &amp; Climate, Copenhagen, Denmark.;Jenk, TM (corresponding author), Paul Scherrer Inst, Environm Chem Lab, Villigen, Switzerland.</t>
  </si>
  <si>
    <t>theo.jenk@psi.ch</t>
  </si>
  <si>
    <t>Rubino, Mauro/Q-5578-2016; Etheridge, David M/B-7334-2013; Ciobanu, Viorela Gabriela/AAQ-5556-2021; Blunier, Thomas/M-4609-2014; Jenk, Theo/D-5777-2017</t>
  </si>
  <si>
    <t>Ciobanu, Viorela Gabriela/0000-0001-8508-9486; Blunier, Thomas/0000-0002-6065-7747; Jenk, Theo/0000-0001-6820-8615</t>
  </si>
  <si>
    <t>Centre for Ice and Climate through the Danish National Research Foundation (DNRF); European Union's Seventh Framework programme (FP7) [243908]; Australian Climate Change Science Program, an Australian government initiative</t>
  </si>
  <si>
    <t>Centre for Ice and Climate through the Danish National Research Foundation (DNRF); European Union's Seventh Framework programme (FP7); Australian Climate Change Science Program, an Australian government initiative(Australian Government)</t>
  </si>
  <si>
    <t>This work was partly funded by the Centre for Ice and Climate through the Danish National Research Foundation (DNRF) and the European Union's Seventh Framework programme (FP7/2007-2013) under grant agreement no. 243908, Past4Future. Climate change - Learning from the past climate. CSIRO's contribution was supported in part by the Australian Climate Change Science Program, an Australian government initiative. Thanks are due to the teams involved in recovering and analysis of GRIP, NGRIP and Law Dome sample. We highly appreciate the excellent work done at the Niels Bohr Institute workshop at Copenhagen University. Special thanks is expressed to E. Kaimer for help with all the technical aspects of the NC design and to C. Mortensen, A. Boisen, J. Jorgensen, M. Christensen, D. Westphal Wistisen and S. Sheldon for final manufacturing of the unit, the production of various system components and technical support. Credit goes to T. Popp and B. M. Vinther from the CIC stable isotope laboratory for delta18O-H2O data and measurements and to C. Allison, S. Coram and R. Langenfelds for their contribution related to CSIRO gas measurements. Thanks are also due to P. Sperlich, C. Buizert, C. Stowasser, M. Guillevic and C. Reutenauer for discussions, input and all the hours spent in the laboratory. Finally, many thanks are expressed to the entire CIC team for scientific exchange and the excellent working environment, particularly to Dorthe Dahl-Jensen who made this all happen.</t>
  </si>
  <si>
    <t>1867-1381</t>
  </si>
  <si>
    <t>1867-8548</t>
  </si>
  <si>
    <t>ATMOS MEAS TECH</t>
  </si>
  <si>
    <t>Atmos. Meas. Tech.</t>
  </si>
  <si>
    <t>AUG 10</t>
  </si>
  <si>
    <t>10.5194/amt-9-3687-2016</t>
  </si>
  <si>
    <t>DV7ZH</t>
  </si>
  <si>
    <t>WOS:000383156800001</t>
  </si>
  <si>
    <t>Hyeong, K; Kuroda, J; Seo, I; Wilson, PA</t>
  </si>
  <si>
    <t>Hyeong, Kiseong; Kuroda, Junichiro; Seo, Inah; Wilson, Paul A.</t>
  </si>
  <si>
    <t>Response of the Pacific inter-tropical convergence zone to global cooling and initiation of Antarctic glaciation across the Eocene Oligocene Transition</t>
  </si>
  <si>
    <t>DEEP-SEA; HEAT-TRANSPORT; ITCZ LOCATION; CENTRAL-ASIA; CLIMATE; ARIDIFICATION; PLATEAU; LOESS; HISTORY; ONSET</t>
  </si>
  <si>
    <t>Approximately 34 million years ago across the Eocene-Oligocene transition (EOT), Earth's climate tipped from a largely unglaciated state into one that sustained large ice sheets on Antarctica. Antarctic glaciation is attributed to a threshold response to slow decline in atmospheric CO2 but our understanding of the feedback processes triggered and of climate change on the other contents is limited. Here we present new geochemical records of terrigenous dust accumulating on the sea floor across the EOT from a site in the central equatorial Pacific. We report a change in dust chemistry from an Asian affinity to a Central-South American provenance that occurs geologically synchronously with the initiation of stepwise global cooling, glaciation of Antarctica and aridification on the northern continents. We infer that the inter-tropical convergence zone of intense precipitation extended to our site during late Eocene, at least four degrees latitude further south than today, but that it migrated northwards in step with global cooling and initiation of Antarctic glaciation. Our findings point to an atmospheric teleconnection between extratropical cooling and rainfall climate in the tropics and the mid-latitude belt of the westerlies operating across the most pivotal transition in climate state of the Cenozoic Era.</t>
  </si>
  <si>
    <t>[Hyeong, Kiseong; Seo, Inah] Korea Inst Ocean Sci &amp; Technol, Ansan, South Korea; [Kuroda, Junichiro] Japan Agcy Marine Earth Sci &amp; Technol, Yokosuka, Kanagawa, Japan; [Seo, Inah] Seoul Natl Univ, Sch Earth &amp; Environm Sci, Seoul, South Korea; [Wilson, Paul A.] Univ Southampton, Natl Oceanog Ctr Southampton, Waterfront Campus, Southampton SO14 3ZH, Hants, England; [Kuroda, Junichiro] Univ Tokyo, Atmosphere &amp; Ocean Res Inst, Tokyo, Japan</t>
  </si>
  <si>
    <t>Korea Institute of Ocean Science &amp; Technology (KIOST); Japan Agency for Marine-Earth Science &amp; Technology (JAMSTEC); Seoul National University (SNU); University of Southampton; NERC National Oceanography Centre; University of Tokyo</t>
  </si>
  <si>
    <t>Hyeong, K (corresponding author), Korea Inst Ocean Sci &amp; Technol, Ansan, South Korea.;Wilson, PA (corresponding author), Univ Southampton, Natl Oceanog Ctr Southampton, Waterfront Campus, Southampton SO14 3ZH, Hants, England.</t>
  </si>
  <si>
    <t>kshyeong@kiost.ac.kr; paul.wilson@noc.soton.ac.uk</t>
  </si>
  <si>
    <t>Kuroda, Junichiro/A-3007-2016</t>
  </si>
  <si>
    <t>Kuroda, Junichiro/0000-0002-2218-4854; Wilson, Paul/0000-0001-6425-8906; Seo, Inah/0000-0002-3768-5125</t>
  </si>
  <si>
    <t>US National Science Foundation; Joint Oceanographic Institutions, Inc.; MOF, Korea [PM58523/KIODP]; Japan Society for the Promotion of Science KAKENHI Scientific Research grant [25400505]; NERC grant [NE/I006168/1]; Royal Society Wolfson Research Merit award; Grants-in-Aid for Scientific Research [16H04067, 25400505, 15H02142] Funding Source: KAKEN; Natural Environment Research Council [NE/K008390/1, NE/K014137/1, NE/I006168/1] Funding Source: researchfish; NERC [NE/K008390/1, NE/I006168/1, NE/K014137/1] Funding Source: UKRI</t>
  </si>
  <si>
    <t>US National Science Foundation(National Science Foundation (NSF)); Joint Oceanographic Institutions, Inc.; MOF, Korea(Ministry of Oceans &amp; Fisheries (MOF), Republic of Korea); Japan Society for the Promotion of Science KAKENHI Scientific Research grant; NERC grant(UK Research &amp; Innovation (UKRI)Natural Environment Research Council (NERC)); Royal Society Wolfson Research Merit award(Royal Society);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</si>
  <si>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This research used samples and data provided by the Integrated Ocean Drilling Program (IODP), sponsored by the US National Science Foundation and participating countries under management of the Joint Oceanographic Institutions, Inc. We thank the master, crew and scientific parties of IODP Expedition 320/321. KH acknowledges support from MOF, Korea (PM58523/KIODP); JK acknowledges Japan Society for the Promotion of Science KAKENHI Scientific Research grant (C) 25400505; PAW acknowledges support from NERC grant NE/I006168/1 and a Royal Society Wolfson Research Merit award. We thank Steve Bohaty, Matt Huber, JB Ladant, Heiko Palike, Eelco Rohling and Thomas Westerhold for discussions of published and unpublished data/model results.</t>
  </si>
  <si>
    <t>10.1038/srep30647</t>
  </si>
  <si>
    <t>DS9RS</t>
  </si>
  <si>
    <t>WOS:000381121600001</t>
  </si>
  <si>
    <t>Spang, R; Hoffmann, L; Höpfner, M; Griessbach, S; Müller, R; Pitts, MC; Orr, AMW; Riese, M</t>
  </si>
  <si>
    <t>Spang, Reinhold; Hoffmann, Lars; Hoepfner, Michael; Griessbach, Sabine; Mueller, Rolf; Pitts, Michael C.; Orr, Andrew M. W.; Riese, Martin</t>
  </si>
  <si>
    <t>A multi-wavelength classification method for polar stratospheric cloud types using infrared limb spectra</t>
  </si>
  <si>
    <t>NITRIC-ACID; OZONE DEPLETION; HETEROGENEOUS FORMATION; ARCTIC STRATOSPHERE; OPTICAL-CONSTANTS; EMISSION-SPECTRA; GREENHOUSE GASES; MIPAS; WINTER; ICE</t>
  </si>
  <si>
    <t>The Michelson Interferometer for Passive Atmospheric Sounding (MIPAS) instrument on board the ESA Envisat satellite operated from July 2002 until April 2012. The infrared limb emission measurements represent a unique dataset of daytime and night-time observations of polar stratospheric clouds (PSCs) up to both poles. Cloud detection sensitivity is comparable to space-borne lidars, and it is possible to classify different cloud types from the spectral measurements in different atmospheric windows regions. Here we present a new infrared PSC classification scheme based on the combination of a well-established two-colour ratio method and multiple 2-D brightness temperature difference probability density functions. The method is a simple probabilistic classifier based on Bayes' theorem with a strong independence assumption. The method has been tested in conjunction with a database of radiative transfer model calculations of realistic PSC particle size distributions, geometries, and composition. The Bayesian classifier distinguishes between solid particles of ice and nitric acid trihydrate (NAT), as well as liquid droplets of super-cooled ternary solution (STS). The classification results are compared to coincident measurements from the space-borne lidar Cloud-Aerosol Lidar with Orthogonal Polarization (CALIOP) instrument over the temporal overlap of both satellite missions (June 2006-March 2012). Both datasets show a good agreement for the specific PSC classes, although the viewing geometries and the vertical and horizontal resolution are quite different. Discrepancies are observed between the CALIOP and the MIPAS ice class. The Bayesian classifier for MIPAS identifies substantially more ice clouds in the Southern Hemisphere polar vortex than CALIOP. This disagreement is attributed in part to the difference in the sensitivity on mixed-type clouds. Ice seems to dominate the spectral behaviour in the limb infrared spectra and may cause an overestimation in ice occurrence compared to the real fraction of ice within the PSC area in the polar vortex. The entire MIPAS measurement period was processed with the new classification approach. Examples like the detection of the Antarctic NAT belt during early winter, and its possible link to mountain wave events over the Antarctic Peninsula, which are observed by the Atmospheric Infrared Sounder (AIRS) instrument, highlight the importance of a climatology of 9 Southern Hemisphere and 10 Northern Hemisphere winters in total. The new dataset is valuable both for detailed process studies, and for comparisons with and improvements of the PSC parameterizations used in chemistry transport and climate models.</t>
  </si>
  <si>
    <t>[Spang, Reinhold; Mueller, Rolf; Riese, Martin] Forschungszentrum Julich, Inst Energie &amp; Klimaforsch, IEK 7, Julich, Germany; [Hoffmann, Lars; Griessbach, Sabine] Forschungszentrum Julich, JSC, Julich, Germany; [Hoepfner, Michael] Karlsruhe Inst Technol, Inst Meteorol &amp; Klimaforsch, Karlsruhe, Germany; [Pitts, Michael C.] NASA, Langley Res Ctr, Hampton, VA 23665 USA; [Orr, Andrew M. W.] British Antarctic Survey, Cambridge, England</t>
  </si>
  <si>
    <t>Helmholtz Association; Research Center Julich; Helmholtz Association; Research Center Julich; Helmholtz Association; Karlsruhe Institute of Technology; National Aeronautics &amp; Space Administration (NASA); NASA Langley Research Center; UK Research &amp; Innovation (UKRI); Natural Environment Research Council (NERC); NERC British Antarctic Survey</t>
  </si>
  <si>
    <t>Spang, R (corresponding author), Forschungszentrum Julich, Inst Energie &amp; Klimaforsch, IEK 7, Julich, Germany.</t>
  </si>
  <si>
    <t>r.spang@fz-juelich.de</t>
  </si>
  <si>
    <t>Riese, Martin/A-3927-2013; Hoffmann, Lars/ABI-3746-2020; Müller, Rolf/ABA-8213-2021; Hoffmann, Lars/A-5173-2013; Hopfner, Michael/A-7255-2013; Spang, Reinhold/A-2738-2013</t>
  </si>
  <si>
    <t>Riese, Martin/0000-0001-6398-6493; Hoffmann, Lars/0000-0003-3773-4377; Müller, Rolf/0000-0002-5024-9977; Hoffmann, Lars/0000-0003-3773-4377; Griessbach, Sabine/0000-0003-3792-3573; Hopfner, Michael/0000-0002-4174-9531; Spang, Reinhold/0000-0002-2483-5761</t>
  </si>
  <si>
    <t>ESA; International Space Science Institute (ISSI) in Bern, Switzerland; NERC [NE/H022988/1, bas0100032] Funding Source: UKRI; Natural Environment Research Council [NE/H022988/1, bas0100032] Funding Source: researchfish</t>
  </si>
  <si>
    <t>ESA(European Space Agency); International Space Science Institute (ISSI) in Bern, Switzerland; NERC(UK Research &amp; Innovation (UKRI)Natural Environment Research Council (NERC)); Natural Environment Research Council(UK Research &amp; Innovation (UKRI)Natural Environment Research Council (NERC))</t>
  </si>
  <si>
    <t>The authors would like to thank ESA for providing MIPAS level 1b data and funding of the MIPclouds study as well as NASA for providing CALIOP data. Reinhold Spang thanks Ines Tritscher (FZJ) for support with the visualization of the CALIOP data. Part of this work is inspired by discussions during the 1st PSC Initiative (PSCi) workshop funded by the International Space Science Institute (ISSI) in Bern, Switzerland.</t>
  </si>
  <si>
    <t>AUG 9</t>
  </si>
  <si>
    <t>10.5194/amt-9-3619-2016</t>
  </si>
  <si>
    <t>DV7VL</t>
  </si>
  <si>
    <t>gold, Green Published, Green Accepted, Green Submitted</t>
  </si>
  <si>
    <t>WOS:000383146000001</t>
  </si>
  <si>
    <t>Lecours, V; Dolan, MFJ; Micallef, A; Lucieer, VL</t>
  </si>
  <si>
    <t>Lecours, Vincent; Dolan, Margaret F. J.; Micallef, Aaron; Lucieer, Vanessa L.</t>
  </si>
  <si>
    <t>A review of marine geomorphometry, the quantitative study of the seafloor</t>
  </si>
  <si>
    <t>HYDROLOGY AND EARTH SYSTEM SCIENCES</t>
  </si>
  <si>
    <t>REMOTE-SENSING DATA; SHALLOW-WATER BATHYMETRY; PREDICTING SUITABLE HABITAT; SIDESCAN SONAR IMAGERY; DIGITAL TERRAIN MODELS; MORPHOMETRIC-ANALYSIS; SATELLITE ALTIMETRY; BENTHIC HABITATS; SINGLE-BEAM; OCEAN-FLOOR</t>
  </si>
  <si>
    <t>Geomorphometry, the science of quantitative terrain characterization, has traditionally focused on the investigation of terrestrial landscapes. However, the dramatic increase in the availability of digital bathymetric data and the increasing ease by which geomorphometry can be investigated using geographic information systems (GISs) and spatial analysis software has prompted interest in employing geomorphometric techniques to investigate the marine environment. Over the last decade or so, a multitude of geomorphometric techniques (e.g. terrain attributes, feature extraction, automated classification) have been applied to characterize seabed terrain from the coastal zone to the deep sea. Geomorphometric techniques are, however, not as varied, nor as extensively applied, in marine as they are in terrestrial environments. This is at least partly due to difficulties associated with capturing, classifying, and validating terrain characteristics underwater. There is, nevertheless, much common ground between terrestrial and marine geomorphometry applications and it is important that, in developing marine geomorphometry, we learn from experiences in terrestrial studies. However, not all terrestrial solutions can be adopted by marine geomorphometric studies since the dynamic, four-dimensional (4-D) nature of the marine environment causes its own issues throughout the geomorphometry workflow. For instance, issues with underwater positioning, variations in sound velocity in the water column affecting acoustic-based mapping, and our inability to directly observe and measure depth and morphological features on the seafloor are all issues specific to the application of geomorphometry in the marine environment. Such issues fuel the need for a dedicated scientific effort in marine geomorphometry. This review aims to highlight the relatively recent growth of marine geomorphometry as a distinct discipline, and offers the first comprehensive overview of marine geomorphometry to date. We address all the five main steps of geomorphometry, from data collection to the application of terrain attributes and features. We focus on how these steps are relevant to marine geomorphometry and also highlight differences and similarities from terrestrial geomorphometry. We conclude with recommendations and reflections on the future of marine geomorphometry. To ensure that geomorphometry is used and developed to its full potential, there is a need to increase awareness of (1) marine geomorphometry amongst scientists already engaged in terrestrial geomorphometry, and of (2) geomorphometry as a science amongst marine scientists with a wide range of backgrounds and experiences.</t>
  </si>
  <si>
    <t>[Lecours, Vincent] Mem Univ Newfoundland, Dept Geog, Marine Geomat Res Lab, St John, NF A1B 3X9, Canada; [Dolan, Margaret F. J.] Geol Survey Norway, POB 6315 Sluppen, N-7491 Trondheim, Norway; [Micallef, Aaron] Univ Malta, Dept Geosci, Marine Geol &amp; Seafloor Surveying, MSD-2080 Msida, Malta; [Lucieer, Vanessa L.] Univ Tasmania, Inst Marine &amp; Antarctic Studies, Hobart, Tas 7004, Australia</t>
  </si>
  <si>
    <t>Memorial University Newfoundland; Geological Survey of Norway; University of Malta; University of Tasmania</t>
  </si>
  <si>
    <t>Lecours, V (corresponding author), Mem Univ Newfoundland, Dept Geog, Marine Geomat Res Lab, St John, NF A1B 3X9, Canada.</t>
  </si>
  <si>
    <t>vlecours@mun.ca</t>
  </si>
  <si>
    <t>Micallef, Aaron/C-8274-2012; Lecours, Vincent/J-5514-2019; Dolan, Margaret/AAC-3875-2019; Lucieer, Vanessa/D-1697-2009</t>
  </si>
  <si>
    <t>Lecours, Vincent/0000-0002-4777-3348; Micallef, Aaron/0000-0002-9330-0648; Dolan, Margaret/0000-0003-4405-9277; Lucieer, Vanessa/0000-0001-7531-5750</t>
  </si>
  <si>
    <t>Natural Sciences and Engineering Research Council (NSERC) of Canada; Marie Curie Career Integration Grant [PCIG13-GA-2013-618149]; Memorial University Libraries</t>
  </si>
  <si>
    <t>Natural Sciences and Engineering Research Council (NSERC) of Canada(Natural Sciences and Engineering Research Council of Canada (NSERC)); Marie Curie Career Integration Grant(Marie Curie Actions); Memorial University Libraries</t>
  </si>
  <si>
    <t>V. Lecours thanks Emma LeClerc for her valuable comments on sections of this manuscript, Rodolphe Devillers for the insightful discussions about marine geomorphometry, and the Natural Sciences and Engineering Research Council (NSERC) of Canada for providing funding. A. Micallef is funded by a Marie Curie Career Integration Grant PCIG13-GA-2013-618149. We also acknowledge Memorial University Libraries for financial support, and the three referees and the editor for their comments.</t>
  </si>
  <si>
    <t>1027-5606</t>
  </si>
  <si>
    <t>1607-7938</t>
  </si>
  <si>
    <t>HYDROL EARTH SYST SC</t>
  </si>
  <si>
    <t>Hydrol. Earth Syst. Sci.</t>
  </si>
  <si>
    <t>10.5194/hess-20-3207-2016</t>
  </si>
  <si>
    <t>Geosciences, Multidisciplinary; Water Resources</t>
  </si>
  <si>
    <t>Geology; Water Resources</t>
  </si>
  <si>
    <t>DV7XO</t>
  </si>
  <si>
    <t>WOS:000383151900002</t>
  </si>
  <si>
    <t>Gorham, PW; Nam, J; Romero-Wolf, A; Hoover, S; Allison, P; Banerjee, O; Beatty, JJ; Belov, K; Besson, DZ; Binns, WR; Bugaev, V; Cao, P; Chen, C; Chen, P; Clem, JM; Connolly, A; Dailey, B; Deaconu, C; Cremonesi, L; Dowkontt, PF; DuVernois, MA; Field, RC; Fox, BD; Goldstein, D; Gordon, J; Hast, C; Hebert, CL; Hill, B; Hughes, K; Hupe, R; Israel, MH; Javaid, A; Kowalski, J; Lam, J; Learned, JG; Liewer, KM; Liu, TC; Link, JT; Lusczek, E; Matsuno, S; Mercurio, BC; Miki, C; Miocinovic, P; Mottram, M; Mulrey, K; Naudet, CJ; Ng, J; Nichol, RJ; Palladino, K; Rauch, BF; Reil, K; Roberts, J; Rosen, M; Rotter, B; Russell, J; Ruckman, L; Saltzberg, D; Seckel, D; Schoorlemmer, H; Stafford, S; Stockham, J; Stockham, M; Strutt, B; Tatem, K; Varner, GS; Vieregg, AG; Walz, D; Wissel, SA; Wu, F</t>
  </si>
  <si>
    <t>Gorham, P. W.; Nam, J.; Romero-Wolf, A.; Hoover, S.; Allison, P.; Banerjee, O.; Beatty, J. J.; Belov, K.; Besson, D. Z.; Binns, W. R.; Bugaev, V.; Cao, P.; Chen, C.; Chen, P.; Clem, J. M.; Connolly, A.; Dailey, B.; Deaconu, C.; Cremonesi, L.; Dowkontt, P. F.; DuVernois, M. A.; Field, R. C.; Fox, B. D.; Goldstein, D.; Gordon, J.; Hast, C.; Hebert, C. L.; Hill, B.; Hughes, K.; Hupe, R.; Israel, M. H.; Javaid, A.; Kowalski, J.; Lam, J.; Learned, J. G.; Liewer, K. M.; Liu, T. C.; Link, J. T.; Lusczek, E.; Matsuno, S.; Mercurio, B. C.; Miki, C.; Miocinovic, P.; Mottram, M.; Mulrey, K.; Naudet, C. J.; Ng, J.; Nichol, R. J.; Palladino, K.; Rauch, B. F.; Reil, K.; Roberts, J.; Rosen, M.; Rotter, B.; Russell, J.; Ruckman, L.; Saltzberg, D.; Seckel, D.; Schoorlemmer, H.; Stafford, S.; Stockham, J.; Stockham, M.; Strutt, B.; Tatem, K.; Varner, G. S.; Vieregg, A. G.; Walz, D.; Wissel, S. A.; Wu, F.</t>
  </si>
  <si>
    <t>ANITA Collaboration</t>
  </si>
  <si>
    <t>Characteristics of Four Upward-Pointing Cosmic-Ray-like Events Observed with ANITA</t>
  </si>
  <si>
    <t>PHYSICAL REVIEW LETTERS</t>
  </si>
  <si>
    <t>RADIO-EMISSION; AIR-SHOWERS; ENERGY</t>
  </si>
  <si>
    <t>We report on four radio-detected cosmic-ray (CR) or CR-like events observed with the Antarctic Impulsive Transient Antenna (ANITA), a NASA-sponsored long-duration balloon payload. Two of the four were previously identified as stratospheric CR air showers during the ANITA-I flight. A third stratospheric CR was detected during the ANITA-II flight. Here, we report on characteristics of these three unusual CR events, which develop nearly horizontally, 20-30 km above the surface of Earth. In addition, we report on a fourth steeply upward-pointing ANITA-I CR-like radio event which has characteristics consistent with a primary that emerged from the surface of the ice. This suggests a possible tau-lepton decay as the origin of this event, but such an interpretation would require significant suppression of the standard model tau-neutrino cross section.</t>
  </si>
  <si>
    <t>[Gorham, P. W.; DuVernois, M. A.; Fox, B. D.; Hebert, C. L.; Hill, B.; Kowalski, J.; Learned, J. G.; Link, J. T.; Matsuno, S.; Miki, C.; Miocinovic, P.; Roberts, J.; Rosen, M.; Rotter, B.; Russell, J.; Ruckman, L.; Schoorlemmer, H.; Tatem, K.; Varner, G. S.] Univ Hawaii Manoa, Dept Phys &amp; Astron, Honolulu, HI 96822 USA; [Nam, J.; Chen, C.; Chen, P.; Liu, T. C.] Natl Taiwan Univ, Grad Inst Astrophys, Dept Phys, Taipei 10617, Taiwan; [Nam, J.; Chen, C.; Chen, P.; Liu, T. C.] Natl Taiwan Univ, Leung Ctr Cosmol &amp; Particle Astrophys, Taipei 10617, Taiwan; [Romero-Wolf, A.; Belov, K.; Liewer, K. M.; Naudet, C. J.] Jet Prop Lab, Pasadena, CA 91109 USA; [Hoover, S.; Dowkontt, P. F.; Lam, J.; Saltzberg, D.; Wu, F.] Univ Calif Los Angeles, Dept Phys &amp; Astron, Los Angeles, CA 90095 USA; [Allison, P.; Banerjee, O.; Beatty, J. J.; Connolly, A.; Dailey, B.; Gordon, J.; Hughes, K.; Hupe, R.; Mercurio, B. C.; Palladino, K.; Stafford, S.] Ohio State Univ, Dept Phys, Columbus, OH 43210 USA; [Allison, P.; Beatty, J. J.; Connolly, A.] Ohio State Univ, Ctr Cosmol &amp; Particle Astrophys, Columbus, OH 43210 USA; [Besson, D. Z.; Stockham, J.; Stockham, M.] Univ Kansas, Dept Phys &amp; Astron, Lawrence, KS 66045 USA; [Binns, W. R.; Bugaev, V.; Israel, M. H.; Rauch, B. F.] Washington Univ, Dept Phys, St Louis, MO 63130 USA; [Cao, P.; Clem, J. M.; Javaid, A.; Mulrey, K.; Seckel, D.] Univ Delaware, Dept Phys, Newark, DE 19716 USA; [Deaconu, C.; Vieregg, A. G.] Univ Chicago, Enrico Fermi Inst, Kavli Inst Cosmol Phys, Dept Phys, Chicago, IL 60637 USA; [Cremonesi, L.; Mottram, M.; Nichol, R. J.; Strutt, B.] UCL, Dept Phys &amp; Astron, London WC1E 6BT, England; [Field, R. C.; Hast, C.; Ng, J.; Reil, K.; Walz, D.] SLAC Natl Accelerator Lab, Menlo Pk, CA 94025 USA; [Goldstein, D.] Univ Calif Irvine, Dept Phys, Irvine, CA 92697 USA; [Lusczek, E.] Univ Minnesota, Sch Phys &amp; Astron, Minneapolis, MN 55455 USA; [Wissel, S. A.] Calif Polytech State Univ San Luis Obispo, Dept Phys, San Luis Obispo, CA 93407 USA</t>
  </si>
  <si>
    <t>University of Hawaii System; University of Hawaii Manoa; National Taiwan University; National Taiwan University; National Aeronautics &amp; Space Administration (NASA); NASA Jet Propulsion Laboratory (JPL); University of California System; University of California Los Angeles; University System of Ohio; Ohio State University; University System of Ohio; Ohio State University; University of Kansas; Washington University (WUSTL); University of Delaware; University of Chicago; University of London; University College London; Stanford University; United States Department of Energy (DOE); SLAC National Accelerator Laboratory; University of California System; University of California Irvine; University of Minnesota System; University of Minnesota Twin Cities; California State University System; California Polytechnic State University San Luis Obispo</t>
  </si>
  <si>
    <t>Gorham, PW (corresponding author), Univ Hawaii Manoa, Dept Phys &amp; Astron, Honolulu, HI 96822 USA.</t>
  </si>
  <si>
    <t>Nichol, Ryan/C-1645-2008; Chen, Pisin/IAO-8769-2023; Schoorlemmer, Harm/AAA-5604-2020; Beatty, James/D-9310-2011; Belov, Konstantin V/D-2520-2013</t>
  </si>
  <si>
    <t>Nichol, Ryan/0000-0003-0557-0443; Chen, Pisin/0000-0001-5251-7210; Schoorlemmer, Harm/0000-0002-8999-9249; Beatty, James/0000-0003-0481-4952; Belov, Konstantin V/0000-0002-8861-110X; Lusczek, Elizabeth/0000-0003-4680-965X; Mulrey, Katharine/0000-0001-8026-8020; Deaconu, Cosmin/0000-0002-4953-6397; Gorham, Peter/0000-0002-0923-9363; Palladino, Kimberly/0000-0002-5175-5628; Goldstein, David/0000-0003-3654-8142; Allison, Patrick/0000-0001-8141-2653; Cremonesi, Linda/0000-0003-0711-1056; Hughes, Kaeli/0000-0002-4551-9581; Wissel, Stephanie/0000-0003-0569-6978; Tatem, Kathleen V./0000-0002-3097-6018</t>
  </si>
  <si>
    <t>NASA; U.S. Department of Energy, High Energy Physics Division; STFC [PP/E006876/1, ST/N000285/1] Funding Source: UKRI; Science and Technology Facilities Council [PP/E006876/1, ST/N000285/1] Funding Source: researchfish</t>
  </si>
  <si>
    <t>NASA(National Aeronautics &amp; Space Administration (NASA)); U.S. Department of Energy, High Energy Physics Division; STFC(UK Research &amp; Innovation (UKRI)Science &amp; Technology Facilities Council (STFC)); Science and Technology Facilities Council(UK Research &amp; Innovation (UKRI)Science &amp; Technology Facilities Council (STFC))</t>
  </si>
  <si>
    <t>We thank NASA for their generous support of ANITA, the Columbia Scientific Balloon Facility for their excellent field support, and the National Science Foundation for their Antarctic operations support. This work was also supported by the U.S. Department of Energy, High Energy Physics Division.</t>
  </si>
  <si>
    <t>AMER PHYSICAL SOC</t>
  </si>
  <si>
    <t>COLLEGE PK</t>
  </si>
  <si>
    <t>ONE PHYSICS ELLIPSE, COLLEGE PK, MD 20740-3844 USA</t>
  </si>
  <si>
    <t>0031-9007</t>
  </si>
  <si>
    <t>1079-7114</t>
  </si>
  <si>
    <t>PHYS REV LETT</t>
  </si>
  <si>
    <t>Phys. Rev. Lett.</t>
  </si>
  <si>
    <t>AUG 8</t>
  </si>
  <si>
    <t>10.1103/PhysRevLett.117.071101</t>
  </si>
  <si>
    <t>Physics, Multidisciplinary</t>
  </si>
  <si>
    <t>Physics</t>
  </si>
  <si>
    <t>DT4US</t>
  </si>
  <si>
    <t>WOS:000381477200002</t>
  </si>
  <si>
    <t>Garba, L; Ali, MSM; Oslan, SN; Rahman, RNZRA</t>
  </si>
  <si>
    <t>Garba, Lawal; Ali, Mohd Shukuri Mohamad; Oslan, Siti Nurbaya; Rahman, Raja Noor Zaliha Raja Abd</t>
  </si>
  <si>
    <t>Molecular Cloning and Functional Expression of a Δ9-Fatty Acid Desaturase from an Antarctic Pseudomonas sp A3</t>
  </si>
  <si>
    <t>STEAROYL-COA DESATURASE; ACYL-LIPID DESATURASE; FATTY-ACIDS; SUBSTRATE-SPECIFICITY; MEMBRANE TOPOLOGY; SIGNAL PEPTIDES; IDENTIFICATION; PREDICTION; ENZYME</t>
  </si>
  <si>
    <t>Fatty acid desaturase enzymes play an essential role in the synthesis of unsaturated fatty acids. Pseudomonas sp. A3 was found to produce a large amount of palmitoleic and oleic acids after incubation at low temperatures. Using polymerase Chain Reaction (PCR), a novel Delta 9-fatty acid desaturase gene was isolated, cloned, and successfully expressed in Escherichia coli. The gene was designated as PA3FAD9 and has an open reading frame of 1,185 bp which codes for 394 amino acids with a predicted molecular weight of 45 kDa. The activity of the gene product was confirmed via GCMS, which showed a functional putative Delta 9-fatty acid desaturase capable of increasing the total amount of cellular unsaturated fatty acids of the E. coli cells expressing the gene. The results demonstrate that the cellular palmitoleic acids have increased two-fold upon expression at 15 degrees C using only 0.1 mM IPTG. Therefore, PA3FAD9 from Pseudomonas sp. A3 codes for a Delta 9-fatty acid desaturase-like protein which was actively expressed in E. coli.</t>
  </si>
  <si>
    <t>[Garba, Lawal; Ali, Mohd Shukuri Mohamad; Oslan, Siti Nurbaya; Rahman, Raja Noor Zaliha Raja Abd] Univ Putra Malaysia, Fac Biotechnol &amp; Biomol Sci, Enzyme &amp; Microbial Technol Res Ctr, Serdang 43400, Selangor Darul, Malaysia; [Garba, Lawal] Gombe State Univ, Fac Sci, Dept Microbiol, PMB 127, Tudun Wada Gombe, Gombe State, Nigeria</t>
  </si>
  <si>
    <t>Universiti Putra Malaysia</t>
  </si>
  <si>
    <t>Rahman, RNZRA (corresponding author), Univ Putra Malaysia, Fac Biotechnol &amp; Biomol Sci, Enzyme &amp; Microbial Technol Res Ctr, Serdang 43400, Selangor Darul, Malaysia.</t>
  </si>
  <si>
    <t>Rahman, Raja Noor Zaliha Raja Abd/I-5556-2019; Ali, Mohd Shukuri Mohamad/AAG-5453-2021; Oslan, Baya/KAM-6571-2024; Oslan, Siti Nurbaya/H-7262-2016; ALI, MOHD/IUM-6916-2023</t>
  </si>
  <si>
    <t>Rahman, Raja Noor Zaliha Raja Abd/0000-0002-6316-6177; Ali, Mohd Shukuri Mohamad/0000-0003-2751-9649; Oslan, Siti Nurbaya/0000-0003-0143-425X;</t>
  </si>
  <si>
    <t>Putra grant, University Putra Malaysia [GP-IPS/2016/9471000]</t>
  </si>
  <si>
    <t>Putra grant, University Putra Malaysia</t>
  </si>
  <si>
    <t>This work was supported by Putra grant, University Putra Malaysia (GP-IPS/2016/9471000).</t>
  </si>
  <si>
    <t>AUG 5</t>
  </si>
  <si>
    <t>e0160681</t>
  </si>
  <si>
    <t>10.1371/journal.pone.0160681</t>
  </si>
  <si>
    <t>DT3GR</t>
  </si>
  <si>
    <t>WOS:000381369500075</t>
  </si>
  <si>
    <t>Van De Vijver, B; Kopalová, K; Zidarova, R; Kociolek, JP</t>
  </si>
  <si>
    <t>Van De Vijver, Bart; Kopalova, Katerina; Zidarova, Ralitsa; Kociolek, J. Patrick</t>
  </si>
  <si>
    <t>Two new Gomphonema species (Bacillariophyta) from the Maritime Antarctic Region</t>
  </si>
  <si>
    <t>Maritime Antarctica; Gomphonema; new species; morphology</t>
  </si>
  <si>
    <t>SOUTH SHETLAND ISLANDS; GENUS MUELLERIA BACILLARIOPHYTA; LUTICOLA TAXA BACILLARIOPHYTA; LIVINGSTON ISLAND; INCIPIENT SPECIATION; FRESH-WATER; DIATOMS; ULTRASTRUCTURE; ENDEMISM; REVISION</t>
  </si>
  <si>
    <t>Two new diatom taxa belonging to the genus Gomphonema were recorded during a survey of the Maritime Antarctic freshwater and limno-terrestrial diatom flora: Gomphonema jamesrossense sp. nov. and G. maritimo-antarcticum sp. nov. Detailed light (LM) and scanning electron microscope (SEM) observations are used to characterize the morphology and ultrastructure of the two new Gomphonema taxa. Comparisons with similar taxa and the ecological preferences of each species are added. The revision of these species confirmed the endemic nature of the Antarctic diatom flora.</t>
  </si>
  <si>
    <t>[Van De Vijver, Bart] Bot Garden Meise, Dept Bryophyta &amp; Thallophyta, Nieuwelaan 38, B-1860 Meise, Belgium; [Van De Vijver, Bart] Univ Antwerp, Dept Biol, ECOBE, Univ Pl 1, B-2610 Antwerp, Belgium; [Kopalova, Katerina] Charles Univ Prague, Fac Sci, Dept Ecol, Vinicna 7, CR-12844 Prague 2, Czech Republic; [Zidarova, Ralitsa] Sofia Univ St Kliment Ohridski, Fac Biol, Dept Bot, 8 Dragan Tzankov Blvd, Sofia 1164, Bulgaria; [Kociolek, J. Patrick] Univ Colorado, Museum Nat Hist, Boulder, CO 80309 USA; [Kociolek, J. Patrick] Univ Colorado, Dept Ecol &amp; Evolutionary Biol, Boulder, CO 80309 USA</t>
  </si>
  <si>
    <t>University of Antwerp; Charles University Prague; University of Sofia; University of Colorado System; University of Colorado Boulder; University of Colorado System; University of Colorado Boulder</t>
  </si>
  <si>
    <t>Zidarova, Ralitsa/0000-0002-6451-0099; Kopalova, Katerina/0000-0002-7905-4268</t>
  </si>
  <si>
    <t>project KONTAKT ME [945]; project Czech Polar [LM2010009]; project GAUK [394211]; IPY-Limnopolar Project (Ministerio de Ciencia y Tecnologia, Spain) [POL2006-06635]; BELSPO CCAMBIO project; Fulbright Scholarship; [MY 03-63]</t>
  </si>
  <si>
    <t>project KONTAKT ME; project Czech Polar; project GAUK; IPY-Limnopolar Project (Ministerio de Ciencia y Tecnologia, Spain); BELSPO CCAMBIO project; Fulbright Scholarship;</t>
  </si>
  <si>
    <t>This work was supported by the projects KONTAKT ME 945, Czech Polar LM2010009 and GAUK 394211. The authors would also like to thank the members of expeditions (Dr. Linda Nedbalova) at the Czech Antarctic Station J.G. Mendel for providing the James Ross Island samples. Samples on Livingston Island were taken in the framework of the IPY-Limnopolar Project POL2006-06635 (Ministerio de Ciencia y Tecnologia, Spain). This study was further supported by the BELSPO CCAMBIO project to visit the National History Museum in London, UK. Alex Ball and the staff of the IAC laboratory at the Natural History Museum are thanked for their help with the scanning electron microscopy. Mrs. Sandra Wilfert is thanked for her help with the light micrographs. RZ observations were made thanks to Grant MY 03-63. JPK was supported in part by a Fulbright Scholarship.</t>
  </si>
  <si>
    <t>10.11646/phytotaxa.269.3.4</t>
  </si>
  <si>
    <t>DU1DD</t>
  </si>
  <si>
    <t>WOS:000381947500004</t>
  </si>
  <si>
    <t>Freidman, BL; Gras, SL; Snape, I; Stevens, GW; Mumford, KA</t>
  </si>
  <si>
    <t>Freidman, Benjamin L.; Gras, Sally L.; Snape, Ian; Stevens, Geoff W.; Mumford, Kathryn A.</t>
  </si>
  <si>
    <t>The performance of ammonium exchanged zeolite for the biodegradation of petroleum hydrocarbons migrating in soil water</t>
  </si>
  <si>
    <t>JOURNAL OF HAZARDOUS MATERIALS</t>
  </si>
  <si>
    <t>Ammonium; Biofilm; Diesel; Degradation; Antarctica</t>
  </si>
  <si>
    <t>PERMEABLE REACTIVE BARRIER; CASEY STATION; ION-EXCHANGE; NATURAL ZEOLITE; ANTARCTIC SOIL; FUEL SPILLS; BIOREMEDIATION; TEMPERATURE; GROUNDWATER; NITROGEN</t>
  </si>
  <si>
    <t>Nitrogen deficiency has been identified as the main inhibiting factor for biodegradation of petroleum hydrocarbons in low nutrient environments. This study examines the performance of ammonium exchanged zeolite to enhance biodegradation of petroleum hydrocarbons migrating in soil water within laboratory scale flow cells. Biofilm formation and biodegradation were accelerated by the exchange of cations in soil water with ammonium in the pores of the exchanged zeolite when compared with natural zeolite flow cells. These results have implications for sequenced permeable reactive barrier design and the longevity of media performance within such barriers at petroleum hydrocarbon contaminated sites deficient in essential soil nutrients. (C) 2016 Elsevier B.V. All rights reserved.</t>
  </si>
  <si>
    <t>[Freidman, Benjamin L.; Gras, Sally L.; Stevens, Geoff W.; Mumford, Kathryn A.] Univ Melbourne, Dept Chem &amp; Biomol Engn, Particulate Fluids Proc Ctr, Parkville, Vic 3010, Australia; [Freidman, Benjamin L.; Gras, Sally L.] Univ Melbourne, Mol Sci &amp; Biotechnol Inst Bio21, Parkville, Vic 3010, Australia; [Snape, Ian] Australian Antarctic Div, Channel Highway, Kingston, Tas 7050, Australia; [Gras, Sally L.] Univ Melbourne, ARC Dairy Innovat Hub, Parkville, Vic 3010, Australia</t>
  </si>
  <si>
    <t>University of Melbourne; University of Melbourne; Australian Antarctic Division; University of Melbourne</t>
  </si>
  <si>
    <t>Mumford, KA (corresponding author), Univ Melbourne, Bldg 165, Parkville, Vic 3010, Australia.</t>
  </si>
  <si>
    <t>mumfordk@unimelb.edu.au</t>
  </si>
  <si>
    <t>Mumford, Kathryn A/M-6566-2015; Gras, Sally L/G-2025-2014</t>
  </si>
  <si>
    <t>Gras, Sally L/0000-0002-4660-1245; Stevens, Geoffrey/0000-0002-5788-4682</t>
  </si>
  <si>
    <t>Australian Antarctic Science Project [4029]; Particulate Fluids Processing Centre (PFPC) at The University of Melbourne</t>
  </si>
  <si>
    <t>Australian Antarctic Science Project; Particulate Fluids Processing Centre (PFPC) at The University of Melbourne</t>
  </si>
  <si>
    <t>The authors acknowledge the financial support of Australian Antarctic Science Project 4029 and the Particulate Fluids Processing Centre (PFPC) at The University of Melbourne. We extend our thanks to Lauren Wise at the Australian Antarctic Division for TPH analysis and Rachel Knight at Bioscreen Medical for assistance with MALDI-TOF mass spectrometry. We would also like to thank the anonymous reviewers for their input and advice.</t>
  </si>
  <si>
    <t>0304-3894</t>
  </si>
  <si>
    <t>1873-3336</t>
  </si>
  <si>
    <t>J HAZARD MATER</t>
  </si>
  <si>
    <t>J. Hazard. Mater.</t>
  </si>
  <si>
    <t>10.1016/j.jhazmat.2016.03.095</t>
  </si>
  <si>
    <t>DN1FF</t>
  </si>
  <si>
    <t>WOS:000376811000030</t>
  </si>
  <si>
    <t>Moreau, S; Vancoppenolle, M; Bopp, L; Aumont, O; Madec, G; Delille, B; Tison, JL; Barriat, PY; Goosse, H</t>
  </si>
  <si>
    <t>Moreau, Sebastien; Vancoppenolle, Martin; Bopp, Laurent; Aumont, Oliver; Madec, Gurvan; Delille, Bruno; Tison, Jean-Louis; Barriat, Pierre-Yves; Goosse, Hugues</t>
  </si>
  <si>
    <t>Assessment of the sea-ice carbon pump: Insights from a three-dimensional ocean-sea-ice biogeochemical model (NEMO-LIM-PISCES)</t>
  </si>
  <si>
    <t>CO2; DYNAMICS; SURFACE; ATMOSPHERE; EXCHANGE; STATE; SINK; FLUX; BAY</t>
  </si>
  <si>
    <t>The role of sea ice in the carbon cycle is minimally represented in current Earth System Models (ESMs). Among potentially important flaws, mentioned by several authors and generally overlooked during ESM design, is the link between sea-ice growth and melt and oceanic dissolved inorganic carbon (DIC) and total alkalinity (TA). Here we investigate whether this link is indeed an important feature of the marine carbon cycle misrepresented in ESMs. We use an ocean general circulation model (NEMO-LIM-PISCES) with sea-ice and marine carbon cycle components, forced by atmospheric reanalyses, adding a first-order representation of DIC and TA storage and release in/from sea ice. Our results suggest that DIC rejection during sea-ice growth releases several hundred Tg C yr(-1) to the surface ocean, of which &lt; 2% is exported to depth, leading to a notable but weak redistribution of DIC towards deep polar basins. Active carbon processes (mainly CaCO3 precipitation but also ice-atmosphere CO2 fluxes and net community production) increasing the TA/DIC ratio in sea-ice modified ocean-atmosphere CO2 fluxes by a few Tg C yr(-1) in the sea-ice zone, with specific hemispheric effects: DIC content of the Arctic basin decreased but DIC content of the Southern Ocean increased. For the global ocean, DIC content increased by 4 Tg C yr(-1) or 2 Pg C after 500 years of model run. The simulated numbers are generally small compared to the present-day global ocean annual CO2 sink (2.6 +/- 0.5 Pg C yr(-1)). However, sea-ice carbon processes seem important at regional scales as they act significantly on DIC redistribution within and outside polar basins. The efficiency of carbon export to depth depends on the representation of surface-subsurface exchanges and their relationship with sea ice, and could differ substantially if a higher resolution or different ocean model were used.</t>
  </si>
  <si>
    <t>[Moreau, Sebastien; Barriat, Pierre-Yves; Goosse, Hugues] Catholic Univ Louvain, Earth &amp; Life Inst, Georges Lemaitre Ctr Earth &amp; Climate Res, Louvain La Neuve, Belgium; [Moreau, Sebastien] Univ Tasmania, Inst Marine &amp; Antarctic Studies, Hobart, Tas, Australia; [Vancoppenolle, Martin; Madec, Gurvan] UPMC Paris 6, Sorbonne Univ, LOCEAN IPSL, CNRS, Paris, France; [Bopp, Laurent] CNRS, Inst Pierre Simon Laplace, Lab Sci Climat &amp; Environm, Gif Sur Yvette, France; [Aumont, Oliver] Inst Rech Dev, Lab Phys Oceans, Brest, France; [Madec, Gurvan] Natl Oceanog Ctr, Southampton, Hants, England; [Delille, Bruno] Univ Liege, MARE, Unite Oceanog Chim, Liege, Belgium; [Tison, Jean-Louis] Univ Libre Bruxelles, Fac Sci, Lab Glaciol, Brussels, Belgium</t>
  </si>
  <si>
    <t>Universite Catholique Louvain; University of Tasmania; Sorbonne Universite; Centre National de la Recherche Scientifique (CNRS); Museum National d'Histoire Naturelle (MNHN); CEA; Centre National de la Recherche Scientifique (CNRS); Universite Paris Saclay; Universite Paris Cite; Centre National de la Recherche Scientifique (CNRS); Ifremer; Institut de Recherche pour le Developpement (IRD); NERC National Oceanography Centre; University of Liege; Universite Libre de Bruxelles</t>
  </si>
  <si>
    <t>Moreau, S (corresponding author), Catholic Univ Louvain, Earth &amp; Life Inst, Georges Lemaitre Ctr Earth &amp; Climate Res, Louvain La Neuve, Belgium.;Moreau, S (corresponding author), Univ Tasmania, Inst Marine &amp; Antarctic Studies, Hobart, Tas, Australia.</t>
  </si>
  <si>
    <t>s.moreau@uclouvain.be</t>
  </si>
  <si>
    <t>Aumont, Olivier/G-5207-2016; madec, gurvan/E-7825-2010; bopp, laurent/ABF-5302-2020; Vancoppenolle, Martin/B-3750-2011; Vancoppenolle, Martin/AAA-7711-2022; Delille, Bruno/C-3486-2008</t>
  </si>
  <si>
    <t>Aumont, Olivier/0000-0003-3954-506X; madec, gurvan/0000-0002-6447-4198; bopp, laurent/0000-0003-4732-4953; Vancoppenolle, Martin/0000-0002-7573-8582; Vancoppenolle, Martin/0000-0002-7573-8582; Delille, Bruno/0000-0003-0502-8101; Moreau, Sebastien/0000-0001-9446-812X</t>
  </si>
  <si>
    <t>AUG 3</t>
  </si>
  <si>
    <t>10.12952/journal.elementa.000122</t>
  </si>
  <si>
    <t>EE9BT</t>
  </si>
  <si>
    <t>WOS:000389921400001</t>
  </si>
  <si>
    <t>Bigot, M; Muir, DCG; Hawker, DW; Cropp, R; Dachs, J; Teixeira, CF; Nash, SB</t>
  </si>
  <si>
    <t>Bigot, Marie; Muir, Derek C. G.; Hawker, Darryl W.; Cropp, Roger; Dachs, Jordi; Teixeira, Camilla F.; Nash, Susan Bengtson</t>
  </si>
  <si>
    <t>Air-Seawater Exchange of Organochlorine Pesticides in the Southern Ocean between Australia and Antarctica</t>
  </si>
  <si>
    <t>PERSISTENT ORGANIC POLLUTANTS; HEMISPHERE HUMPBACK WHALES; DIPHENYL ETHERS PBDES; WATER GAS-EXCHANGE; ATMOSPHERIC CONCENTRATIONS; POLYCHLORINATED-BIPHENYLS; MELTING GLACIERS; ATLANTIC-OCEAN; HEXACHLOROCYCLOHEXANES; POPS</t>
  </si>
  <si>
    <t>This study contributes new data on the spatial variability of persistent organic pollutants in the Indian Pacific sector of the Southern Ocean and represents the first empirical data obtained from this region in 25 years. Paired high-volume atmospheric and seawater samples were collected along a transect between Australia and Antarctica to investigate the latitudinal dependence of the occurrence and distribution of legacy organochlorine pesticides (OCPs) and the current use pesticide chlorpyrifos in the Southern Ocean. Dissolved Sigma HCH and dieldrin concentrations decreased linearly with increasing latitude from 7.7 to 3.0 and from 1.0 to 0.6 pg.L-1, respectively. There was no consistent trend observed in the latitudinal profile of atmospheric samples; however, some compounds (such as dieldrin) showed reduced concentrations from 7.5-3.4 to 2.7-0.65 pg.m(-3) at the highest latitudes south of the Polar Front. Chlorpyrifos was found in samples from this area for the first time. Estimated air seawater fugacity ratios and fluxes indicate a current net deposition between -3600 and -900, -6400 and -400, and -1400 and -200 (pg.m(-2).d(-1)) for gamma-HCH, dieldrin, and chlorpyrifos, respectively. These findings suggest that, under current climatic conditions, the Southern Ocean reservoir in the Indian Pacific sector serves as an environmental sink rather than a source of OCPs to the atmosphere:</t>
  </si>
  <si>
    <t>[Bigot, Marie; Nash, Susan Bengtson] Griffith Univ, Environm Futures Res Inst, 170 Kessels Rd, Nathan, Qld 4111, Australia; [Hawker, Darryl W.; Cropp, Roger] Griffith Univ, Griffith Sch Environm, 170 Kessels Rd, Nathan, Qld 4111, Australia; [Muir, Derek C. G.; Teixeira, Camilla F.] Environm Canada, Aquat Contaminants Res Div, 867 Lakeshore Rd, Burlington, ON L7R 4A6, Canada; [Dachs, Jordi] IDAEA CSIC, Inst Environm Assessment &amp; Water Res, Dept Environm Chem, Jordi Girona 18-24, Catalunya 08034, Spain</t>
  </si>
  <si>
    <t>Griffith University; Griffith University; Environment &amp; Climate Change Canada; Consejo Superior de Investigaciones Cientificas (CSIC); CSIC - Centro de Investigacion y Desarrollo Pascual Vila (CID-CSIC); CSIC - Instituto de Diagnostico Ambiental y Estudios del Agua (IDAEA)</t>
  </si>
  <si>
    <t>Bengtson Nash, Susan/I-3942-2015; Cropp, Roger/C-1019-2008; Bengtson Nash, Susan/GMX-4611-2022; Muir, Derek/AAD-7526-2021</t>
  </si>
  <si>
    <t>Bengtson Nash, Susan/0000-0001-5928-0850; Bengtson Nash, Susan/0000-0001-5928-0850; Dachs, Jordi/0000-0002-4237-169X; Bigot, Marie/0000-0002-9576-7954</t>
  </si>
  <si>
    <t>Australian Research Council [DP140100018]; Australian Antarctic Division [5012]; Griffith University</t>
  </si>
  <si>
    <t>Australian Research Council(Australian Research Council); Australian Antarctic Division; Griffith University(Griffith University - Gold Coast Campus)</t>
  </si>
  <si>
    <t>This study was funded by Australian Research Council Discovery project DP140100018 and made possible through logistical support provided by the Australian Antarctic Division under project 5012. M. Bigot acknowledges a PhD scholarship from Griffith University. The authors thank personnel onboard the RSV Aurora Australis, Xiaowa Wang and Kaitlin Kennedy at Environment Canada, and Whitney Davis, Ron MacLeod, and Steve Kennedy at ALS Global for support provided. The authors also thank the anonymous reviewers for their invaluable input on the manuscript.</t>
  </si>
  <si>
    <t>AUG 2</t>
  </si>
  <si>
    <t>10.1021/acs.est.6b01970</t>
  </si>
  <si>
    <t>DS8WH</t>
  </si>
  <si>
    <t>WOS:000381063200008</t>
  </si>
  <si>
    <t>Chrismas, NAM; Barker, G; Anesio, AM; Sánchez-Baracaldo, P</t>
  </si>
  <si>
    <t>Chrismas, Nathan A. M.; Barker, Gary; Anesio, Alexandre M.; Sanchez-Baracaldo, Patricia</t>
  </si>
  <si>
    <t>Genomic mechanisms for cold tolerance and production of exopolysaccharides in the Arctic cyanobacterium Phormidesmis priestleyi BC1401</t>
  </si>
  <si>
    <t>BMC GENOMICS</t>
  </si>
  <si>
    <t>Cyanobacteria; Cryosphere; Cryoconite; Cold-adaptation; Exopolysaccharides; Biofilms; ABC-transporters; c-di-GMP</t>
  </si>
  <si>
    <t>EXTRACELLULAR POLYMERIC SUBSTANCES; MULTIPLE SEQUENCE ALIGNMENT; C-DI-GMP; METAGENOMIC ANALYSIS; FREEZING TOLERANCE; ICE; ADAPTATION; BIOFILMS; POLYSACCHARIDES; BIOSYNTHESIS</t>
  </si>
  <si>
    <t>Background: Cyanobacteria are major primary producers in extreme cold ecosystems. Many lineages of cyanobacteria thrive in these harsh environments, but it is not fully understood how they survive in these conditions and whether they have evolved specific mechanisms of cold adaptation. Phormidesmis priestleyi is a cyanobacterium found throughout the cold biosphere (Arctic, Antarctic and alpine habitats). Genome sequencing of P. priestleyi BC1401, an isolate from a cryoconite hole on the Greenland Ice Sheet, has allowed for the examination of genes involved in cold shock response and production of extracellular polymeric substances (EPS). EPSs likely enable cyanobacteria to buffer the effects of extreme cold and by identifying mechanisms for EPS production in P. priestleyi BC1401 this study lays the way for investigating transcription and regulation of EPS production in an ecologically important cold tolerant cyanobacterium. Results: We sequenced the draft genome of P. priestleyi BC1401 and implemented a new de Bruijn graph visualisation approach combined with BLAST analysis to separate cyanobacterial contigs from a simple metagenome generated from non-axenic cultures. Comparison of known cold adaptation genes in P. priestleyi BC1401 with three relatives from other environments revealed no clear differences between lineages. Genes involved in EPS biosynthesis were identified from the Wzy-and ABC-dependent pathways. The numbers of genes involved in cell wall and membrane biogenesis in P. priestleyi BC1401 were typical relative to the genome size. A gene cluster implicated in biofilm formation was found homologous to the Wps system, although the intracellular signalling pathways by which this could be regulated remain unclear. Conclusions: Results show that the genomic characteristics and complement of known cold shock genes in P. priestleyi BC1401 are comparable to related lineages from a wide variety of habitats, although as yet uncharacterised cold shock genes in this organism may still exist. EPS production by P. priestleyi BC1401 likely contributes to its ability to survive efficiently in cold environments, yet this mechanism is widely distributed throughout the cyanobacterial phylum. Discovering how these EPS related mechanisms are regulated may help explain why P. priestleyi BC1401 is so successful in cold environments where related lineages are not.</t>
  </si>
  <si>
    <t>[Chrismas, Nathan A. M.; Anesio, Alexandre M.; Sanchez-Baracaldo, Patricia] Univ Bristol, Bristol Glaciol Ctr, Sch Geog Sci, Bristol BS8 1SS, Avon, England; [Barker, Gary] Univ Bristol, Sch Biol Sci, Cereal Genom, Bristol BS8 1SS, Avon, England</t>
  </si>
  <si>
    <t>University of Bristol; University of Bristol</t>
  </si>
  <si>
    <t>Chrismas, NAM (corresponding author), Univ Bristol, Bristol Glaciol Ctr, Sch Geog Sci, Bristol BS8 1SS, Avon, England.</t>
  </si>
  <si>
    <t>n.a.m.chrismas@bristol.ac.uk; p.sanchez-baraclado@bristol.ac.uk</t>
  </si>
  <si>
    <t>Anesio, Alexandre/A-7597-2008; Sanchez-Baracaldo, Patricia/A-5309-2017</t>
  </si>
  <si>
    <t>Anesio, Alexandre/0000-0003-2990-4014; Chrismas, Nathan/0000-0002-2165-3102; Barker, Gary/0000-0002-9018-9526; Sanchez-Baracaldo, Patricia/0000-0002-5216-2664</t>
  </si>
  <si>
    <t>NERC GW4+ Doctoral Training Partnership in Bristol; NERC [NE/J02399X/1]; Royal Society; NERC [NE/J02399X/1] Funding Source: UKRI; Natural Environment Research Council [NE/J02399X/1, 1367453] Funding Source: researchfish</t>
  </si>
  <si>
    <t>NERC GW4+ Doctoral Training Partnership in Bristol; NERC(UK Research &amp; Innovation (UKRI)Natural Environment Research Council (NERC)); Royal Society(Royal Society); NERC(UK Research &amp; Innovation (UKRI)Natural Environment Research Council (NERC)); Natural Environment Research Council(UK Research &amp; Innovation (UKRI)Natural Environment Research Council (NERC))</t>
  </si>
  <si>
    <t>This research was carried out as part of the NERC GW4+ Doctoral Training Partnership in Bristol supporting NAMC. Funding support for this work came from a NERC grant (NE/J02399X/1) awarded to AMA and a Royal Society Dorothy Hodgkin Fellowship for PS-B.</t>
  </si>
  <si>
    <t>1471-2164</t>
  </si>
  <si>
    <t>BMC Genomics</t>
  </si>
  <si>
    <t>10.1186/s12864-016-2846-4</t>
  </si>
  <si>
    <t>DT1DS</t>
  </si>
  <si>
    <t>WOS:000381222500001</t>
  </si>
  <si>
    <t>Xu, Y; Shao, C; Fan, XP; Warren, A; Al-Rasheid, KAS; Song, WB; Wilbert, N</t>
  </si>
  <si>
    <t>Xu, Yuan; Shao, Chen; Fan, Xinpeng; Warren, Alan; Al-Rasheid, Khaled A. S.; Song, Weibo; Wilbert, Norbert</t>
  </si>
  <si>
    <t>New contributions to the biodiversity of ciliates (Protozoa, Ciliophora) from Antarctica, including a description of Gastronauta multistriata nov spec.</t>
  </si>
  <si>
    <t>Antarctic ciliates; Gastronauta; Infraciliature; Morphology; New species; Taxonomy</t>
  </si>
  <si>
    <t>N. SP CILIOPHORA; NEOKERONOPSIS-SPECTABILIS KAHL; MOLECULAR PHYLOGENY; FRESH-WATER; SOIL CILIATE; GEN. N.; MORPHOLOGY; MORPHOGENESIS; HYPOTRICHA; SEA</t>
  </si>
  <si>
    <t>Antarctica is a remote and isolated biotope which makes it an ideal location for studying new and endemic species. Since there is little literature available on the diversity of ciliates in this area, a taxonomic survey of ciliates from melt-water of Collins glacier, King George Island, was carried out from January to March 2006. As a result, the morphology and infraciliature of five ciliates, including one new species, are described using live observations and silver staining: Gastronauta multistriata nov. spec., Neokeronopsis asiatica Foissner et al., 2010, Paraholosticha muscicola Kahl, 1932, Oxytricha sp., and Cyclidium glaucoma Muller, 1786. Gastronauta multistriata nov. spec. is distinguished from its congeners by the following combination of characters: cell size in vivo on average 80 x 40 mu m; 5-9 kineties in left ciliary field; 18-23 kineties in right ciliary field, including 10-12 postoral kineties; 7-10 preoral kineties; dorsal brush along anterior dorsal margin, consisting of 5-8 groups of basal bodies. The only minor differences between the current population of N. asiatica and a previously described Antarctic population are the numbers of caudal cirri (6-10 vs. 8-15) and dorsal kineties (11-13 vs. 12-18). Paraholosticha sterkii is synonymised with P. muscicola. The Antarctic population of C. glaucoma corresponds well with a former population from China, the only difference being the number of kinetids in SK (n) (11-17 vs. 9-11). This work will contribute to the understanding of ciliate diversity in this little studied area.</t>
  </si>
  <si>
    <t>[Xu, Yuan] East China Normal Univ, State Key Lab Estuarine &amp; Coastal Res, Shanghai 200062, Peoples R China; [Xu, Yuan; Song, Weibo] Ocean Univ China, Inst Evolut &amp; Marine Biodivers, Lab Protozool, Qingdao 266003, Peoples R China; [Shao, Chen] Xi An Jiao Tong Univ, Sch Life Sci &amp; Technol, Key Lab Biomed Informat Engn, Minist Educ, Xian 710049, Peoples R China; [Fan, Xinpeng] Nat Hist Museum, Dept Life Sci, Cromwell Rd, London SW7 5BD, England; [Warren, Alan] East China Normal Univ, Sch Life Sci, Shanghai 200062, Peoples R China; [Al-Rasheid, Khaled A. S.] King Saud Univ, Dept Zool, Coll Sci, POB 2455, Riyadh 11451, Saudi Arabia; [Wilbert, Norbert] Univ Bonn, Inst Zool, Bonn, Germany</t>
  </si>
  <si>
    <t>East China Normal University; Ocean University of China; Xi'an Jiaotong University; Natural History Museum London; East China Normal University; King Saud University; University of Bonn</t>
  </si>
  <si>
    <t>Wilbert, N (corresponding author), Univ Bonn, Inst Zool, Bonn, Germany.</t>
  </si>
  <si>
    <t>unb322@uni-bonn.de</t>
  </si>
  <si>
    <t>AL-Rasheid, Khaled/C-2486-2008</t>
  </si>
  <si>
    <t>AL-Rasheid, Khaled/0000-0002-3404-3397</t>
  </si>
  <si>
    <t>Natural Science Foundation of China [31201708, 31430077]; State Key Laboratory of Estuarine and Coastal Research, East China Normal University [2014RCDW01]; King Saud University Deanship for Scientific Research, Prolific Research Group [PRG-1436-01]; Alfred Wegener Institut (AWI) for Polar and Marine Research; Bremerhaven; Deutsche Forschungsgemeinschaft (DFG) as part of the programme Antarctic Research with Comparative Studies in Arctic Regions</t>
  </si>
  <si>
    <t>Natural Science Foundation of China(National Natural Science Foundation of China (NSFC)); State Key Laboratory of Estuarine and Coastal Research, East China Normal University; King Saud University Deanship for Scientific Research, Prolific Research Group; Alfred Wegener Institut (AWI) for Polar and Marine Research; Bremerhaven; Deutsche Forschungsgemeinschaft (DFG) as part of the programme Antarctic Research with Comparative Studies in Arctic Regions(German Research Foundation (DFG))</t>
  </si>
  <si>
    <t>This work was supported by the Natural Science Foundation of China (Project Numbers: 31201708, 31430077), the State Key Laboratory of Estuarine and Coastal Research, East China Normal University (Project Number: 2014RCDW01), the King Saud University Deanship for Scientific Research, Prolific Research Group (PRG-1436-01), the Alfred Wegener Institut (AWI) for Polar and Marine Research, Bremerhaven and the Deutsche Forschungsgemeinschaft (DFG) as part of the programme Antarctic Research with Comparative Studies in Arctic Regions. The manuscript was substantially improved by the anonymous reviewers and by the additional suggestions by the monitoring editor.</t>
  </si>
  <si>
    <t>AUG</t>
  </si>
  <si>
    <t>10.1007/s00300-015-1869-7</t>
  </si>
  <si>
    <t>DT3UA</t>
  </si>
  <si>
    <t>WOS:000381405400007</t>
  </si>
  <si>
    <t>Auvinet, J; Graça, P; Belkady, L; Petit, LR; Dettaï, A; Ozouf-Costaz, C; Higuet, D</t>
  </si>
  <si>
    <t>Auvinet, Juliette; Graca, Paula; Belkady, Laurent; Petit, Laurence; dettai, Agnes; Ozouf-Costaz, Catherine; Higuet, Dominique</t>
  </si>
  <si>
    <t>Retrotransposable elements and chromosomal diversification in Antarctic notothenioid fishes</t>
  </si>
  <si>
    <t>CHROMOSOME RESEARCH</t>
  </si>
  <si>
    <t>22nd International Colloquium on Animal Cytogenetics and Genomics</t>
  </si>
  <si>
    <t>JUL 02-05, 2016</t>
  </si>
  <si>
    <t>Toulouse, FRANCE</t>
  </si>
  <si>
    <t>[Auvinet, Juliette; Graca, Paula; Belkady, Laurent; Ozouf-Costaz, Catherine; Higuet, Dominique] UPMC, UMR Evolut Paris Seine 7138, Paris, France; [dettai, Agnes] MNHN, Inst Systemat, UMR 7205, Evolut,Biodiversite, Paris, France; [Petit, Laurence] UPMC, UMR 7622, Biol Dev Migrat &amp; Differenciat Cellules Souches H, Paris, France</t>
  </si>
  <si>
    <t>Centre National de la Recherche Scientifique (CNRS); CNRS - National Institute for Biology (INSB); Sorbonne Universite; Centre National de la Recherche Scientifique (CNRS); CNRS - Institute of Ecology &amp; Environment (INEE); Museum National d'Histoire Naturelle (MNHN); Sorbonne Universite; Centre National de la Recherche Scientifique (CNRS); CNRS - National Institute for Biology (INSB); Sorbonne Universite</t>
  </si>
  <si>
    <t>juliette.auvinet@laposte.net</t>
  </si>
  <si>
    <t>Dettai, Agnes/Q-6743-2019; Auvinet, Juliette/AAC-9974-2019</t>
  </si>
  <si>
    <t>0967-3849</t>
  </si>
  <si>
    <t>1573-6849</t>
  </si>
  <si>
    <t>CHROMOSOME RES</t>
  </si>
  <si>
    <t>Chromosome Res.</t>
  </si>
  <si>
    <t>P33</t>
  </si>
  <si>
    <t>S32</t>
  </si>
  <si>
    <t>Biochemistry &amp; Molecular Biology; Genetics &amp; Heredity</t>
  </si>
  <si>
    <t>EJ3UL</t>
  </si>
  <si>
    <t>WOS:000393137500061</t>
  </si>
  <si>
    <t>Grecian, WJ; Witt, MJ; Attrill, MJ; Bearhop, S; Becker, PH; Egevang, C; Furness, RW; Godley, BJ; González-Solís, J; Grémillet, D; Kopp, M; Lescroël, A; Matthiopoulos, J; Patrick, SC; Peter, HU; Phillips, RA; Stenhouse, IJ; Votier, SC</t>
  </si>
  <si>
    <t>Grecian, W. James; Witt, Matthew J.; Attrill, Martin J.; Bearhop, Stuart; Becker, Peter H.; Egevang, Carsten; Furness, Robert W.; Godley, Brendan J.; Gonzalez-Solis, Jacob; Gremillet, David; Kopp, Matthias; Lescroel, Amelie; Matthiopoulos, Jason; Patrick, Samantha C.; Peter, Hans-Ulrich; Phillips, Richard A.; Stenhouse, Iain J.; Votier, Stephen C.</t>
  </si>
  <si>
    <t>Seabird diversity hotspot linked to ocean productivity in the Canary Current Large Marine Ecosystem</t>
  </si>
  <si>
    <t>BIOLOGY LETTERS</t>
  </si>
  <si>
    <t>biologging; human impacts; marine protected areas; migration; upwelling; marine conservation</t>
  </si>
  <si>
    <t>FISHERIES; AREAS; IMPACTS</t>
  </si>
  <si>
    <t>Upwelling regions are highly productive habitats targeted by wide-ranging marine predators and industrial fisheries. In this study, we track the migratory movements of eight seabird species from across the Atlantic; quantify overlap with the Canary Current Large Marine Ecosystem (CCLME) and determine the habitat characteristics that drive this association. Our results indicate the CCLME is a biodiversity hotspot for migratory seabirds; all tracked species and more than 70% of individuals used this upwelling region. Relative species richness peaked in areas where sea surface temperature averaged between 15 and 20 degrees C, and correlated positively with chlorophyll a, revealing the optimum conditions driving bottom-up trophic effects for seabirds. Marine vertebrates are not confined by international boundaries, making conservation challenging. However, by linking diversity to ocean productivity, our research reveals the significance of the CCLME for seabird populations from across the Atlantic, making it a priority for conservation action.</t>
  </si>
  <si>
    <t>[Grecian, W. James; Furness, Robert W.; Matthiopoulos, Jason] Univ Glasgow, Inst Biodivers Anim Hlth &amp; Comparat Med, Glasgow G12 8QQ, Lanark, Scotland; [Witt, Matthew J.; Votier, Stephen C.] Univ Exeter, Environm &amp; Sustainabil Inst, Penryn TR10 9EZ, Cornwall, England; [Bearhop, Stuart; Godley, Brendan J.] Univ Exeter, Ctr Ecol &amp; Conservat, Penryn TR10 9EZ, Cornwall, England; [Attrill, Martin J.] Univ Plymouth, Inst Marine, Plymouth PL4 8AA, Devon, England; [Becker, Peter H.] Inst Vogelforsch Vogelwarte Helgoland, Vogelwarte 21, D-26386 Wilhelmshaven, Germany; [Egevang, Carsten] Greenland Inst Nat Resources, Kvioq 2, Nuuk 3900, Greenland; [Gonzalez-Solis, Jacob] Univ Barcelona, Inst Recerca Biodiversitat IRBio, Av Diagonal 643, Barcelona 08028, Spain; [Gonzalez-Solis, Jacob] Univ Barcelona, Dept Biol Anim, Av Diagonal 643, Barcelona 08028, Spain; [Gremillet, David; Lescroel, Amelie] Univ Paul Valery Montpellier, Univ Montpellier, EPHE, CEFE,CNRS,UMR 5175, 1919 Route Mende, F-34293 Montpellier 05, France; [Gremillet, David] Univ Cape Town, DST NRF Ctr Excellence, Percy FitzPatrick Inst, ZA-7701 Rondebosch, South Africa; [Kopp, Matthias] Friedrich Schiller Univ, Inst Ecol, D-07743 Jena, Germany; [Patrick, Samantha C.] Univ Liverpool, Sch Environm Sci, Liverpool L69 3GP, Merseyside, England; [Phillips, Richard A.] NERC, British Antarctic Survey, Cambridge CB3 0ET, England; [Stenhouse, Iain J.] Biodivers Res Inst, 276 Canco Rd, Portland, ME 04103 USA</t>
  </si>
  <si>
    <t>University of Glasgow; University of Exeter; University of Exeter; University of Plymouth; Greenland Institute of Natural Resources; University of Barcelona; University of Barcelona; Universite PSL; Ecole Pratique des Hautes Etudes (EPHE); Institut Agro; Montpellier SupAgro; CIRAD; Centre National de la Recherche Scientifique (CNRS); Institut de Recherche pour le Developpement (IRD); Universite Paul-Valery; Universite de Montpellier; National Research Foundation - South Africa; University of Cape Town; Friedrich Schiller University of Jena; University of Liverpool; UK Research &amp; Innovation (UKRI); Natural Environment Research Council (NERC); NERC British Antarctic Survey</t>
  </si>
  <si>
    <t>Grecian, WJ (corresponding author), Univ Glasgow, Inst Biodivers Anim Hlth &amp; Comparat Med, Glasgow G12 8QQ, Lanark, Scotland.;Votier, SC (corresponding author), Univ Exeter, Environm &amp; Sustainabil Inst, Penryn TR10 9EZ, Cornwall, England.</t>
  </si>
  <si>
    <t>james.grecian@glasgow.ac.uk; s.c.votier@exeter.ac.uk</t>
  </si>
  <si>
    <t>Matthiopoulos, Jason/N-9808-2013; González-Solís, Jacob/AAB-1161-2019; Grecian, James/A-7689-2012; Godley, Brendan J/A-6139-2009; Votier, Stephen/IUO-0154-2023; Gonzalez-Solis, Jacob/C-3942-2008; Bearhop, Stuart/G-3105-2012; Witt, Matthew/V-3318-2018; Gremillet, David/W-1946-2018</t>
  </si>
  <si>
    <t>Matthiopoulos, Jason/0000-0003-3639-8172; Grecian, James/0000-0002-6428-719X; Godley, Brendan J/0000-0003-3845-0034; Votier, Stephen/0000-0002-0976-0167; Gonzalez-Solis, Jacob/0000-0002-8691-9397; Bearhop, Stuart/0000-0002-5864-0129; Attrill, Martin/0000-0002-4039-031X; Stenhouse, Iain/0000-0003-3614-9862; Witt, Matthew/0000-0002-9498-5378; Gremillet, David/0000-0002-7711-9398</t>
  </si>
  <si>
    <t>Peninsula Research Institute for Marine Renewable Energy; EU INTERREG project CHARM III; NERC [NE/G001014/1]; MINECO [CGL2013-42585-P]; Defra's Darwin; Centre National de la Recherche Scientifique; Ligue Pour la Protection des Oiseaux within the EUINTERREG Project FAME [2009-1/089]; NERC [bas0100035] Funding Source: UKRI; Natural Environment Research Council [bas0100035] Funding Source: researchfish</t>
  </si>
  <si>
    <t>Peninsula Research Institute for Marine Renewable Energy; EU INTERREG project CHARM III(Interreg Europe); NERC(UK Research &amp; Innovation (UKRI)Natural Environment Research Council (NERC)); MINECO(Spanish Government); Defra's Darwin; Centre National de la Recherche Scientifique(Centre National de la Recherche Scientifique (CNRS)); Ligue Pour la Protection des Oiseaux within the EUINTERREG Project FAME(Interreg Europe); NERC(UK Research &amp; Innovation (UKRI)Natural Environment Research Council (NERC)); Natural Environment Research Council(UK Research &amp; Innovation (UKRI)Natural Environment Research Council (NERC))</t>
  </si>
  <si>
    <t>Funding for this work was provided by the Peninsula Research Institute for Marine Renewable Energy, EU INTERREG project CHARM III, NERC (NE/G001014/1), MINECO CGL2013-42585-P, Defra's Darwin, Centre National de la Recherche Scientifique and Ligue Pour la Protection des Oiseaux within the EUINTERREG Project FAME (2009-1/089; 2010-2012).</t>
  </si>
  <si>
    <t>1744-9561</t>
  </si>
  <si>
    <t>1744-957X</t>
  </si>
  <si>
    <t>BIOL LETTERS</t>
  </si>
  <si>
    <t>Biol. Lett.</t>
  </si>
  <si>
    <t>AUG 1</t>
  </si>
  <si>
    <t>10.1098/rsbl.2016.0024</t>
  </si>
  <si>
    <t>Biology; Ecology; Evolutionary Biology</t>
  </si>
  <si>
    <t>Life Sciences &amp; Biomedicine - Other Topics; Environmental Sciences &amp; Ecology; Evolutionary Biology</t>
  </si>
  <si>
    <t>EF4WB</t>
  </si>
  <si>
    <t>WOS:000390331600002</t>
  </si>
  <si>
    <t>Oliver, ECJ</t>
  </si>
  <si>
    <t>Oliver, Eric C. J.</t>
  </si>
  <si>
    <t>Blind use of reanalysis data: apparent trends in Madden-Julian Oscillation activity driven by observational changes</t>
  </si>
  <si>
    <t>INTERNATIONAL JOURNAL OF CLIMATOLOGY</t>
  </si>
  <si>
    <t>reanalysis; Madden-Julian Oscillation; data assimilation; multidecadal variability; climate trends</t>
  </si>
  <si>
    <t>Atmospheric and oceanic reanalyses are used widely by the climate science community. These products provide full three-dimensional state fields and gapless time series, along with the confidence of being constrained by observational measurements, for atmospheric scientists and oceanographers to use in analyses of the climate system. However, as ubiquitous as reanalysis data are, it is not often considered how a scarcity of measurements in certain poorly observed regions, or over the course of a long period of time in which the observational system has changed significantly, impacts the realism of the data. This study explores this question using tropical surface pressures from the Twentieth Century Reanalysis to hindcast an index of the Madden-Julian Oscillation (MJO) over the 20th century. We show that by changing the choice of surface pressure predictor locations, and being aware of the observational measurements that have been assimilated by the reanalysis system, it is possible to control the estimated centennial-scale trend in MJO activity from nearly zero to an increase of 30% over the 20th century. We emphasize that this is an apparent trend as it arises solely from the use of reanalyzed surface pressures from locations that have either been poorly observed or have experienced significant changes in the observing system over the 20th century. This highlights the need to be aware of the observational measurements (or lack of them), particularly their density in space and time, that have been assimilated by a reanalysis system.</t>
  </si>
  <si>
    <t>[Oliver, Eric C. J.] Univ Tasmania, Inst Marine &amp; Antarctic Studies, Private Bag 129, Hobart, Tas 7001, Australia; [Oliver, Eric C. J.] Australian Res Council Ctr Excellence Climate Sys, Hobart, Tas, Australia; [Oliver, Eric C. J.] Dalhousie Univ, Dept Oceanog, Halifax, NS, Canada</t>
  </si>
  <si>
    <t>University of Tasmania; Dalhousie University</t>
  </si>
  <si>
    <t>Oliver, ECJ (corresponding author), Univ Tasmania, Inst Marine &amp; Antarctic Studies, Private Bag 129, Hobart, Tas 7001, Australia.</t>
  </si>
  <si>
    <t>eric.oliver@utas.edu.au</t>
  </si>
  <si>
    <t>Oliver, Eric/G-5118-2014</t>
  </si>
  <si>
    <t>Oliver, Eric/0000-0002-4006-2826</t>
  </si>
  <si>
    <t>0899-8418</t>
  </si>
  <si>
    <t>1097-0088</t>
  </si>
  <si>
    <t>INT J CLIMATOL</t>
  </si>
  <si>
    <t>Int. J. Climatol.</t>
  </si>
  <si>
    <t>10.1002/joc.4568</t>
  </si>
  <si>
    <t>DW4LE</t>
  </si>
  <si>
    <t>WOS:000383613700004</t>
  </si>
  <si>
    <t>Downes, H; Beard, AD; Franchi, IA; Greenwood, RC</t>
  </si>
  <si>
    <t>Downes, H.; Beard, A. D.; Franchi, I. A.; Greenwood, R. C.</t>
  </si>
  <si>
    <t>OXYGEN ISOTOPES AND ORIGIN OF OPAL IN AN ANTARCTIC UREILITE</t>
  </si>
  <si>
    <t>79th Annual Meeting of the Meteoritical-Society</t>
  </si>
  <si>
    <t>AUG 07-12, 2016</t>
  </si>
  <si>
    <t>Berlin, GERMANY</t>
  </si>
  <si>
    <t>Birkbeck Univ London, Dept Earth &amp; Planetary Sci, Ctr Planetary Sci, London WC1E 7HX, England; [Downes, H.] Nat Hist Museum, Dept Earth Sci, London SW7 5BD, England; [Franchi, I. A.; Greenwood, R. C.] Open Univ, Planetary &amp; Space Sci, Milton Keynes MK7 6AA, Bucks, England</t>
  </si>
  <si>
    <t>University of London; Birkbeck University London; Natural History Museum London; Open University - UK</t>
  </si>
  <si>
    <t>h.downes@ucl.ac.uk</t>
  </si>
  <si>
    <t>A234</t>
  </si>
  <si>
    <t>ED2GQ</t>
  </si>
  <si>
    <t>WOS:000388662400092</t>
  </si>
  <si>
    <t>Günther, S; Merouane, S; Hilchenbach, M; Peters, S; Engrand, C</t>
  </si>
  <si>
    <t>Guenther, S.; Merouane, S.; Hilchenbach, M.; Peters, S.; Engrand, C.</t>
  </si>
  <si>
    <t>CHEMICAL AND MINERALOGIAL EXAMINATION OF ANTARCTIC MICROMETEORITES AND THEIR ORGANIC COMPOUNDS</t>
  </si>
  <si>
    <t>[Guenther, S.; Merouane, S.; Hilchenbach, M.] Max Planck Inst Sonnensyst Forsch, Gottingen, Germany; [Guenther, S.; Peters, S.] Georg August Univ Gottingen, Geowissensch Zentrum, Gottingen, Germany; [Engrand, C.] Univ Paris Sud, UMR 8609, IN2P3, CNRS,CSNSM, Orsay, France</t>
  </si>
  <si>
    <t>University of Gottingen; Universite Paris Saclay; Centre National de la Recherche Scientifique (CNRS); CNRS - National Institute of Nuclear and Particle Physics (IN2P3); Universite Paris Cite</t>
  </si>
  <si>
    <t>A301</t>
  </si>
  <si>
    <t>WOS:000388662400159</t>
  </si>
  <si>
    <t>Kamer, JM; Harvey, RP; Schutt, J</t>
  </si>
  <si>
    <t>Kamer, J. M.; Harvey, R. P.; Schutt, J.</t>
  </si>
  <si>
    <t>THE ANTARCTIC SEARCH FOR METEORITES (ANSMET) IN THE MILLER RANGE</t>
  </si>
  <si>
    <t>[Kamer, J. M.; Harvey, R. P.; Schutt, J.] Case Western Reserve Univ, Dept Earth Environm &amp; Planetary Sci, Cleveland, OH 44106 USA</t>
  </si>
  <si>
    <t>University System of Ohio; Case Western Reserve University</t>
  </si>
  <si>
    <t>jmk207@case.edu</t>
  </si>
  <si>
    <t>A362</t>
  </si>
  <si>
    <t>WOS:000388662400220</t>
  </si>
  <si>
    <t>Krispin, D; Mardon, AA; Fawcett, BG</t>
  </si>
  <si>
    <t>Krispin, D.; Mardon, A. A.; Fawcett, B. G.</t>
  </si>
  <si>
    <t>HISTORICAL USES OF METEORITIC METALS AS PRECEDENT FOR MODERN IN-SITU ASTEROID MINING.</t>
  </si>
  <si>
    <t>[Krispin, D.] Concordia Univ Coll Alberta, 7128 Ada Blvd NW, Edmonton, AB T5B 4E4, Canada; [Mardon, A. A.] Antarctic Inst Canada, Suite 103,11919-82 St NW, Edmonton, AB, Canada; [Fawcett, B. G.] Newman Theol Coll, 10012 84 St NW, Edmonton, AB T6A 0B2, Canada</t>
  </si>
  <si>
    <t>daniel.krispin@concordia.ab.ca</t>
  </si>
  <si>
    <t>A390</t>
  </si>
  <si>
    <t>WOS:000388662400248</t>
  </si>
  <si>
    <t>Larionov, MY; Grokhovsky, VI; Kolunin, RN; Pastukhovich, AY</t>
  </si>
  <si>
    <t>Larionov, M. Yu.; Grokhovsky, V. I.; Kolunin, R. N.; Pastukhovich, A. Yu.</t>
  </si>
  <si>
    <t>SEARCH AND RECOVER OF ANTARCTIC METEORITES FROM LOMONOSOV MOUNTAINS, QUEEN MAUD LAND BY THE FIRST RUSSIAN METEORITE EXPEDITION.</t>
  </si>
  <si>
    <t>[Larionov, M. Yu.; Grokhovsky, V. I.; Kolunin, R. N.; Pastukhovich, A. Yu.] Ural Fed Univ, Inst Phys &amp; Technol, Ekaterinburg 620002, Russia</t>
  </si>
  <si>
    <t>Ural Federal University</t>
  </si>
  <si>
    <t>lmur2000@rambler.ru</t>
  </si>
  <si>
    <t>Larionov, Mikhail/F-7770-2017; Grokhovsky, Victor I/B-4388-2014; Pastukhovich, Aleksander/AAS-7437-2021</t>
  </si>
  <si>
    <t>Pastukhovich, Aleksander/0000-0002-7575-1605</t>
  </si>
  <si>
    <t>A400</t>
  </si>
  <si>
    <t>WOS:000388662400258</t>
  </si>
  <si>
    <t>Losiak, A</t>
  </si>
  <si>
    <t>Losiak, A.</t>
  </si>
  <si>
    <t>WEATHERING OF ANTARCTIC EUCRITES</t>
  </si>
  <si>
    <t>[Losiak, A.] Polish Acad Sci, Inst Geol Sci, Planetary Geol Lab, PL-00901 Warsaw, Poland</t>
  </si>
  <si>
    <t>Polish Academy of Sciences; Institute of Geological Sciences of the Polish Academy of Sciences</t>
  </si>
  <si>
    <t>anna.losiak@twarda.pan.pl</t>
  </si>
  <si>
    <t>A423</t>
  </si>
  <si>
    <t>WOS:000388662400281</t>
  </si>
  <si>
    <t>Soens, B; Goderis, S; McKibbin, S; Pittarello, L; Van Ginneken, M; Debaille, V; Claeys, P</t>
  </si>
  <si>
    <t>Soens, B.; Goderis, S.; McKibbin, S.; Pittarello, L.; Van Ginneken, M.; Debaille, V.; Claeys, P.</t>
  </si>
  <si>
    <t>ENVIRONMENTAL CONTROL ON ANTARCTIC MICROMETEORITE PRESERVATION STATE: THE WIDEROFJELLET MOUNTAIN CASE STUDY.</t>
  </si>
  <si>
    <t>COSMIC DUST; COLLECTION</t>
  </si>
  <si>
    <t>[Soens, B.; Goderis, S.; McKibbin, S.; Pittarello, L.; Van Ginneken, M.; Claeys, P.] Vrije Univ Brussel, AMGC, Brussels, Belgium; [Van Ginneken, M.; Debaille, V.] Univ Libre Bruxelles, Lab G Time, Brussels, Belgium</t>
  </si>
  <si>
    <t>Vrije Universiteit Brussel; Universite Libre de Bruxelles</t>
  </si>
  <si>
    <t>bastien.soens@vub.ac.be</t>
  </si>
  <si>
    <t>Pittarello, Lidia/AAF-2904-2019; Goderis, Steven/F-9908-2011; (VUB), VRIJE UNIVERSITEIT BRUSSEL/B-4895-2008; Van Ginneken, Matthias/AFQ-5594-2022</t>
  </si>
  <si>
    <t>Pittarello, Lidia/0000-0002-1080-0226; Goderis, Steven/0000-0002-6666-7153; (VUB), VRIJE UNIVERSITEIT BRUSSEL/0000-0002-4585-7687; Van Ginneken, Matthias/0000-0002-2508-7021</t>
  </si>
  <si>
    <t>A585</t>
  </si>
  <si>
    <t>WOS:000388662400443</t>
  </si>
  <si>
    <t>Taylor, S; Lever, JH; Alexander, CMO; Brownlee, DE; Messenger, S; Nittler, LR; Stroud, RM; Wozniakiewicz, P; Clemett, S</t>
  </si>
  <si>
    <t>Taylor, S.; Lever, J. H.; Alexander, C. M. O'D; Brownlee, D. E.; Messenger, S.; Nittler, L. R.; Stroud, R. M.; Wozniakiewicz, P.; Clemett, S.</t>
  </si>
  <si>
    <t>SAMPLING INTERPLANETARY DUST PARTICLES FROM ANTARCTIC AIR.</t>
  </si>
  <si>
    <t>MICROMETEORITES; GRAINS; SNOW</t>
  </si>
  <si>
    <t>[Taylor, S.; Lever, J. H.] CRREL, 72 Lyme Rd, Hanover, NH 03755 USA; [Alexander, C. M. O'D; Nittler, L. R.] Carnegie Inst Sci, 5241 Broad Branch Rd NW, Washington, DC 20015 USA; [Brownlee, D. E.] Univ Washington, Dept Astron, Seattle, WA 91195 USA; [Messenger, S.; Clemett, S.] NASA, Johnson Space Ctr, ARES, Code SR, Houston, TX 77058 USA; [Stroud, R. M.] Naval Res Lab, Mat Sci &amp; Technol Div, Washington, DC 20375 USA; [Wozniakiewicz, P.] Univ Kent, Sch Phys Sci, Ingram Bldg, Canterbury CT2 7NH, Kent, England</t>
  </si>
  <si>
    <t>United States Department of Defense; United States Army; U.S. Army Corps of Engineers; U.S. Army Engineer Research &amp; Development Center (ERDC); Cold Regions Research &amp; Engineering Laboratory (CRREL); Carnegie Institution for Science; University of Washington; University of Washington Seattle; National Aeronautics &amp; Space Administration (NASA); NASA Johnson Space Center; United States Department of Defense; United States Navy; Naval Research Laboratory; University of Kent</t>
  </si>
  <si>
    <t>Susan.Taylor@erdc.dren.mil; James.Lever@erdc.dren.mil; alexande@dtm.ciw.edu; browlee@astro.washington.edu; scott.messenger@nasa.gov; lnit-tler@ciw.edu; stroud@nrl.navy.mil; pjw@kent.ac.uk; simon.j.clemett@nasa.gov</t>
  </si>
  <si>
    <t>Stroud, Rhonda M/S-4584-2018; stroud, robert/JQI-2949-2023; Stroud, Rhonda M./C-5503-2008; Stroud, Rhonda/GQZ-0151-2022</t>
  </si>
  <si>
    <t>Stroud, Rhonda M/0000-0001-5242-8015; Stroud, Rhonda/0000-0001-5242-8015</t>
  </si>
  <si>
    <t>A618</t>
  </si>
  <si>
    <t>WOS:000388662400476</t>
  </si>
  <si>
    <t>Vogt, M; Gail, HP; Hopp, J; Ott, U; Trieloff, M</t>
  </si>
  <si>
    <t>Vogt, M.; Gail, H-P; Hopp, J.; Ott, U.; Trieloff, M.</t>
  </si>
  <si>
    <t>VOLATILE ACQUISITION DURING EARLY TERRESTRIAL ACCRETION - CONSTRAINTS FROM IMPLANTED SOLAR NEON IN COSMIC DUST</t>
  </si>
  <si>
    <t>NOBLE-GAS ISOTOPES; ANTARCTIC MICROMETEORITES; ORIGIN; MANTLE; NITROGEN</t>
  </si>
  <si>
    <t>[Vogt, M.; Hopp, J.; Ott, U.; Trieloff, M.] Heidelberg Univ, Inst Geowissensch, INF 236, D-69120 Heidelberg, Germany; [Vogt, M.; Hopp, J.; Trieloff, M.] Klaus Tschira Lab Kosmochem, INF 236, D-69120 Heidelberg, Germany; [Gail, H-P] Inst Theoret Astrophys, Albert Ueberle Str 2, D-69120 Heidelberg, Germany</t>
  </si>
  <si>
    <t>Ruprecht Karls University Heidelberg; Ruprecht Karls University Heidelberg</t>
  </si>
  <si>
    <t>manfred.vogt@geow.uni-heidelberg.de</t>
  </si>
  <si>
    <t>Ott, Ulrich/ABH-2337-2020</t>
  </si>
  <si>
    <t>A641</t>
  </si>
  <si>
    <t>WOS:000388662400499</t>
  </si>
  <si>
    <t>Welten, KC; Nishiizumi, K; Caffee, MW</t>
  </si>
  <si>
    <t>Welten, K. C.; Nishiizumi, K.; Caffee, M. W.</t>
  </si>
  <si>
    <t>TERRESTRIAL AGES AND PAIRING OF ANTARCTIC HED METEORITES.</t>
  </si>
  <si>
    <t>4 VESTA; REGOLITH</t>
  </si>
  <si>
    <t>[Welten, K. C.; Nishiizumi, K.] Univ Calif Berkeley, Space Sci Lab, Berkeley, CA 94720 USA; [Caffee, M. W.] Purdue Univ, Dept Phys &amp; Astron, W Lafayette, IN 47907 USA</t>
  </si>
  <si>
    <t>University of California System; University of California Berkeley; Purdue University System; Purdue University</t>
  </si>
  <si>
    <t>kcwelten@ssl.berkeley.edu; mcaffee@purdue.edu</t>
  </si>
  <si>
    <t>A656</t>
  </si>
  <si>
    <t>WOS:000388662400514</t>
  </si>
  <si>
    <t>Tabak, MA; Poncet, S; Passfield, K; Goheen, JR; Del Rio, CM</t>
  </si>
  <si>
    <t>Tabak, Michael A.; Poncet, Sally; Passfield, Ken; Goheen, Jacob R.; Del Rio, Carlos Martinez</t>
  </si>
  <si>
    <t>The ghost of invasives past: rat eradication and the community composition and energy flow of island bird communities</t>
  </si>
  <si>
    <t>ECOSPHERE</t>
  </si>
  <si>
    <t>Cinclodes antarcticus; community structure; competition; ecosystem; energy flow; eradication; global change; invasive species; island; metacommunity; Rattus norvegicus; species complementarity</t>
  </si>
  <si>
    <t>DESERT RODENT COMMUNITY; REDUNDANCY; BIODIVERSITY; ECOLOGY; EQUIVALENCE; COMPETITION; DIVERSITY; ABUNDANCE; EXULANS; MAMMALS</t>
  </si>
  <si>
    <t>In the Falkland Islands, islands with invasive rats have fewer passerine species compared to islands without rats. On islands on which rats have been eradicated, passerine species richness is indistinguishable from that found on islands historically free of rats, but community composition differs between these two island types. In particular, the most dominant species on historically rat-free islands, Cinclodes antarcticus, is less abundant and prevalent on eradicated islands. We compared passerine energy flow on islands with rats, islands from which rats have been eradicated, and islands on which rats were historically absent. Passerine communities on islands historically without rats used nine times more energy than on islands with rats present. Despite equivalent passerine species richness, passerine energy flow was approximately half on islands from which rats had been eradicated compared to historically rat-free islands. Because passerine energy flow was determined by community composition and not by species richness, passerine species within this community appear to be functionally complementary and not functionally redundant. At least one species, C. antarcticus, plays an irreplaceable role. Our results also document the dramatic and lingering effects of invasive species following their eradication, and the importance of species complementarity for the resilience of community properties.</t>
  </si>
  <si>
    <t>[Tabak, Michael A.; Goheen, Jacob R.; Del Rio, Carlos Martinez] Univ Wyoming, Dept Zool &amp; Physiol, 1000 E Univ Ave, Laramie, WY 82071 USA; [Tabak, Michael A.; Goheen, Jacob R.; Del Rio, Carlos Martinez] Univ Wyoming, Program Ecol, 1000 E Univ Ave, Laramie, WY 82071 USA; [Poncet, Sally; Passfield, Ken] FIQQ IZZ, Beaver Isl LandCare, POB 756, Stanley, Hong Kong, Peoples R China; [Del Rio, Carlos Martinez] Univ Wyoming, Wyoming Biodivers Inst, 1000 E Univ Ave, Laramie, WY 82071 USA</t>
  </si>
  <si>
    <t>University of Wyoming; University of Wyoming; University of Wyoming</t>
  </si>
  <si>
    <t>Tabak, MA (corresponding author), Univ Wyoming, Dept Zool &amp; Physiol, 1000 E Univ Ave, Laramie, WY 82071 USA.;Tabak, MA (corresponding author), Univ Wyoming, Program Ecol, 1000 E Univ Ave, Laramie, WY 82071 USA.</t>
  </si>
  <si>
    <t>Tabak, Michael/P-3316-2019</t>
  </si>
  <si>
    <t>NSF [0841298, DIOS-0848028]; Antarctic Research Trust; UK Overseas Territories Environment Programme; Royal Society for Protection of Birds; Joint Nature Conservation Committee; Falkland Islands Government; Division Of Graduate Education; Direct For Education and Human Resources [0841298] Funding Source: National Science Foundation</t>
  </si>
  <si>
    <t>NSF(National Science Foundation (NSF)); Antarctic Research Trust; UK Overseas Territories Environment Programme; Royal Society for Protection of Birds; Joint Nature Conservation Committee; Falkland Islands Government; Division Of Graduate Education; Direct For Education and Human Resources(National Science Foundation (NSF)NSF - Directorate for STEM Education (EDU))</t>
  </si>
  <si>
    <t>MT and CMR were partially funded by NSF Grants 0841298 and DIOS-0848028, respectively. SP and KP were funded by Antarctic Research Trust, UK Overseas Territories Environment Programme, Royal Society for Protection of Birds, Joint Nature Conservation Committee, and the Falkland Islands Government. We thank Nick Rendell for permission to access the Falkland Islands Biodiversity Database.</t>
  </si>
  <si>
    <t>2150-8925</t>
  </si>
  <si>
    <t>Ecosphere</t>
  </si>
  <si>
    <t>e01442</t>
  </si>
  <si>
    <t>10.1002/ecs2.1442</t>
  </si>
  <si>
    <t>EB2RG</t>
  </si>
  <si>
    <t>WOS:000387208900032</t>
  </si>
  <si>
    <t>Lei, RB; Tian-Kunze, X; Leppäranta, M; Wang, J; Kaleschke, L; Zhang, ZH</t>
  </si>
  <si>
    <t>Lei, Ruibo; Tian-Kunze, Xiangshan; Lepparanta, Matti; Wang, Jia; Kaleschke, Lars; Zhang, Zhanhai</t>
  </si>
  <si>
    <t>Changes in summer sea ice, albedo, and portioning of surface solar radiation in the Pacific sector of Arctic Ocean during 1982-2009</t>
  </si>
  <si>
    <t>SEASONAL EVOLUTION; MELT PONDS; AMPLIFICATION; IMPACTS</t>
  </si>
  <si>
    <t>SSM/I sea ice concentration and CLARA black-sky composite albedo were used to estimate sea ice albedo in the region 70 degrees N-82 degrees N, 130 degrees W-180 degrees W. The long-term trends and seasonal evolutions of ice concentration, composite albedo, and ice albedo were then obtained. In July-August 1982-2009, the linear trend of the composite albedo and the ice albedo was -0.069 and -0.046 units per decade, respectively. During 1 June to 19 August, melting of sea ice resulted in an increase of solar heat input to the ice-ocean system by 282 MJ.m(-2) from 1982 to 2009. However, because of the counter-balancing effects of the loss of sea ice area and the enhanced ice surface melting, the trend of solar heat input to the ice was insignificant. The summer evolution of ice albedo matched the ice surface melting and ponding well at basin scale. The ice albedo showed a large difference between the multiyear and first-year ice because the latter melted completely by the end of a melt season. At the SHEBA geolocations, a distinct change in the ice albedo has occurred since 2007, because most of the multiyear ice has been replaced by first-year ice. A positive polarity in the Arctic Dipole Anomaly could be partly responsible for the rapid loss of summer ice within the study region in the recent years by bringing warmer air masses from the south and advecting more ice toward the north. Both these effects would enhance ice-albedo feedback.</t>
  </si>
  <si>
    <t>[Lei, Ruibo; Zhang, Zhanhai] Polar Res Inst China, State Ocean Adm, Key Lab Polar Sci, Shanghai, Peoples R China; [Tian-Kunze, Xiangshan; Kaleschke, Lars] Univ Hamburg, Inst Oceanog, Hamburg, Germany; [Lepparanta, Matti] Univ Helsinki, Dept Phys, Helsinki, Finland; [Wang, Jia] NOAA, Great Lakes Environm Res Lab, 2205 Commonwealth Blvd, Ann Arbor, MI 48105 USA</t>
  </si>
  <si>
    <t>Polar Research Institute of China; University of Hamburg; University of Helsinki; National Oceanic Atmospheric Admin (NOAA) - USA</t>
  </si>
  <si>
    <t>Lei, RB (corresponding author), Polar Res Inst China, State Ocean Adm, Key Lab Polar Sci, Shanghai, Peoples R China.</t>
  </si>
  <si>
    <t>leiruibo@pric.org.cn</t>
  </si>
  <si>
    <t>Keyes, Dennis/AAZ-9285-2021; Lepparanta, Matti/M-7507-2017</t>
  </si>
  <si>
    <t>Lepparanta, Matti/0000-0002-4754-5564; Kaleschke, Lars/0000-0001-7086-3299; Tian-Kunze, Xiangshan/0000-0001-8270-1924</t>
  </si>
  <si>
    <t>National Natural Science Foundation of China [41476170]; Chinese Polar Environment Comprehensive Investigation and Assessment Programs [CHINARE2016-03-01/04-03/ 04-04]; Chinese Arctic and Antarctic Administration [IC2014007]; Nordic Center of Excellence Cryosphere-Atmosphere Interactions in a Changing Arctic Climate (CRAICC); NOAA CPO Office of Arctic Research through RUSALCA project [1821]; DFG [EXC177]</t>
  </si>
  <si>
    <t>National Natural Science Foundation of China(National Natural Science Foundation of China (NSFC)); Chinese Polar Environment Comprehensive Investigation and Assessment Programs; Chinese Arctic and Antarctic Administration; Nordic Center of Excellence Cryosphere-Atmosphere Interactions in a Changing Arctic Climate (CRAICC); NOAA CPO Office of Arctic Research through RUSALCA project(National Oceanic Atmospheric Admin (NOAA) - USA); DFG(German Research Foundation (DFG))</t>
  </si>
  <si>
    <t>This work was financially supported by grants from the National Natural Science Foundation of China (41476170), Chinese Polar Environment Comprehensive Investigation and Assessment Programs (CHINARE2016-03-01/04-03/ 04-04), and Chinese Arctic and Antarctic Administration (IC2014007). M.L. was supported by the Nordic Center of Excellence Cryosphere-Atmosphere Interactions in a Changing Arctic Climate (CRAICC). J.W. was supported by the NOAA CPO Office of Arctic Research through RUSALCA project (1821). L.K. was funded by the DFG (EXC177). We also wish to acknowledge CMSAF for providing CLARA-A1 albedo data, NSIDC for SSM/I ice concentration data, NASA Cryospheric Sciences Research Portal for sea ice melt data, ICDC of University of Hamburg for MODIS melt pond data, ECWMF for ERA-interim data, and NCEP for Reanalysis 2 data. The satellite-derived sea ice albedo is available from the authors on request (leiruibo@pric.org.cn).</t>
  </si>
  <si>
    <t>10.1002/2016JC011831</t>
  </si>
  <si>
    <t>EA8TU</t>
  </si>
  <si>
    <t>WOS:000386912700005</t>
  </si>
  <si>
    <t>Zhan, LY; Chen, LQ; Zhang, JX; Yan, JP; Li, YH; Wu, M</t>
  </si>
  <si>
    <t>Zhan, Liyang; Chen, Liqi; Zhang, Jiexia; Yan, Jinpei; Li, Yuhong; Wu, Man</t>
  </si>
  <si>
    <t>A permanent N2O sink in the Nordic Seas and its strength and possible variability over the past four decades</t>
  </si>
  <si>
    <t>NITROUS-OXIDE; GREENLAND SEA; DEEP WATERS; GAS-EXCHANGE; ARCTIC-OCEAN; WIND-SPEED; CIRCULATION; PACIFIC; OXYGEN</t>
  </si>
  <si>
    <t>Nordic Seas have been assumed to be a net sink of the ozone-depleting greenhouse gas N2O. However, few studies have been conducted in this region. N2O profile data obtained during the 5th Chinese National Arctic Research Expedition demonstrate that the N2O distribution pattern in the Nordic Seas differs from that of most other oceans. N2O sink characteristics of this region are confirmed by the undersaturation of N2O in the water column. Distributions of N2O in three subbasins of the Nordic Seas vary in the upper 1000 m but are homogenous below 1000 m due to a shared origin in the Greenland Basin (GB). Air-sea exchange and vertical convection are thought to be dominant factors in N2O distribution in the GB, resulting in a distribution pattern that correlates significantly with the atmospheric mixing ratio variation over the past 40 years. Although recent studies have shown that weakened convection and/or enhanced Arctic outflow below the mid-depth have occurred, our results show that these variations have yet to significantly affect the above relationship. The distribution could be considered a historical record'' that can be used to evaluate the air-to-sea flux over the past 40 years in the GB. The annual amount of N2O absorbed by the GB is similar to 0.016-0.029 Tg N, which is equal to 0.4-0.8% of the world ocean emissions. This amount should not be simply neglected because it is absorbed by a region that accounts for only 0.03% of the world ocean area.</t>
  </si>
  <si>
    <t>[Zhan, Liyang; Chen, Liqi; Zhang, Jiexia; Yan, Jinpei; Li, Yuhong; Wu, Man] State Oceanog Adm, Inst Oceanog 3, Key Lab Global Change &amp; Marine Atmospher Chem, Xiamen, Peoples R China</t>
  </si>
  <si>
    <t>Third Institute of Oceanography, Ministry of Natural Resources</t>
  </si>
  <si>
    <t>Zhan, LY (corresponding author), State Oceanog Adm, Inst Oceanog 3, Key Lab Global Change &amp; Marine Atmospher Chem, Xiamen, Peoples R China.</t>
  </si>
  <si>
    <t>zhanliyang@tio.org.cn</t>
  </si>
  <si>
    <t>National Natural Science Foundation of China [41230529, 41476172]; Chinese Projects for Investigations and Assessments of the Arctic and Antarctic (CHINARE) [01-04, 02-01, 03-04]; Chinese International Cooperation Projects [S2015GR1195, IC201201, IC201308, IC201513]</t>
  </si>
  <si>
    <t>National Natural Science Foundation of China(National Natural Science Foundation of China (NSFC)); Chinese Projects for Investigations and Assessments of the Arctic and Antarctic (CHINARE); Chinese International Cooperation Projects</t>
  </si>
  <si>
    <t>This work was funded by the National Natural Science Foundation of China (grants 41230529 and 41476172), Chinese Projects for Investigations and Assessments of the Arctic and Antarctic (grants CHINARE2012-15 for 01-04, 02-01, and 03-04), and Chinese International Cooperation Projects (S2015GR1195, IC201201, IC201308, and IC201513). We would like to thank the officers, captain, and crew of the R/ V Xuelong for help with the sampling. We also thank Xiaoyu Wang for helpful discussions. Finally, we thank the anonymous reviewers for their helpful comments on the manuscript.</t>
  </si>
  <si>
    <t>10.1002/2016JC011925</t>
  </si>
  <si>
    <t>WOS:000386912700013</t>
  </si>
  <si>
    <t>Stern, AA; Adcroft, A; Sergienko, O</t>
  </si>
  <si>
    <t>Stern, A. A.; Adcroft, A.; Sergienko, O.</t>
  </si>
  <si>
    <t>The effects of Antarctic iceberg calving- size distribution in a global climate model</t>
  </si>
  <si>
    <t>FILCHNER ICE SHELF; SEA-ICE; INTERACTIVE ICEBERGS; SOUTHERN-OCEAN; FRESH-WATER; PART I; CIRCULATION; FORMULATION; IMPACT</t>
  </si>
  <si>
    <t>Icebergs calved from the Antarctic continent act as moving sources of freshwater while drifting in the Southern Ocean. The lifespan of these icebergs strongly depends on their original size during calving. In order to investigate the effects (if any) of the calving size of icebergs on the Southern Ocean, we use a coupled general circulation model with an iceberg component. Iceberg calving length is varied from 62 m up to 2.3 km, which is the typical range used in climate models. Results show that increasing the size of calving icebergs leads to an increase in the westward iceberg freshwater transport around Antarctica. In simulations using larger icebergs, the reduced availability of meltwater in the Amundsen and Bellingshausen Seas suppresses the sea-ice growth in the region. In contrast, the increased iceberg freshwater transport leads to increased sea-ice growth around much of the East Antarctic coastline. These results suggest that the absence of large tabular icebergs with horizontal extent of tens of kilometers in climate models may introduces systematic biases in sea-ice formation, ocean temperatures, and salinities around Antarctica.</t>
  </si>
  <si>
    <t>[Stern, A. A.; Adcroft, A.; Sergienko, O.] Princeton Univ, Geophys Fluid Dynam Lab, Princeton, NJ 08544 USA</t>
  </si>
  <si>
    <t>Princeton University; National Oceanic Atmospheric Admin (NOAA) - USA</t>
  </si>
  <si>
    <t>Stern, AA (corresponding author), Princeton Univ, Geophys Fluid Dynam Lab, Princeton, NJ 08544 USA.</t>
  </si>
  <si>
    <t>stemalon@gmail.com</t>
  </si>
  <si>
    <t>Adcroft, Alistair/E-5949-2010; Sergienko, Olga/HII-8500-2022</t>
  </si>
  <si>
    <t>Adcroft, Alistair/0000-0001-9413-1017; Sergienko, Olga/0000-0002-5764-8815</t>
  </si>
  <si>
    <t>National Oceanic and Atmospheric Administration, U.S. Department of Commerce [NA08OAR4320752, NA13OAR439]</t>
  </si>
  <si>
    <t>National Oceanic and Atmospheric Administration, U.S. Department of Commerce(National Oceanic Atmospheric Admin (NOAA) - USA)</t>
  </si>
  <si>
    <t>This study is supported by awards NA08OAR4320752 and NA13OAR439 from the National Oceanic and Atmospheric Administration, U.S. Department of Commerce. We would like to acknowledge the contributions of the editor and two anonymous reviewers who provided many useful suggestions during the review process. The statements, findings, conclusions, and recommendations are those of the author and do not necessarily reflect the views of the National Oceanic and Atmospheric Administration, or the U.S. Department of Commerce. The results of this study will be available at NSIDC (www.nsidc.org).</t>
  </si>
  <si>
    <t>10.1002/2016JC011835</t>
  </si>
  <si>
    <t>WOS:000386912700023</t>
  </si>
  <si>
    <t>Zhang, LP; Delworth, TL</t>
  </si>
  <si>
    <t>Zhang, Liping; Delworth, Thomas L.</t>
  </si>
  <si>
    <t>Impact of the Antarctic bottom water formation on the Weddell Gyre and its northward propagation characteristics in GFDL CM2.1 model</t>
  </si>
  <si>
    <t>PACIFIC DECADAL OSCILLATION; SOUTHERN-OCEAN; FRESH-WATER; CLIMATE MODEL; SCOTIA SEA; DEEP-WATER; CIRCULATION; VARIABILITY; ATLANTIC; MECHANISMS</t>
  </si>
  <si>
    <t>The impact of Antarctic bottom water (AABW) formation on the Weddell Gyre and its northward propagation characteristics are studied using a 4000 year long control run of the GFDL CM2.1 model as well as sensitivity experiments. In the control run, the AABW cell and Weddell Gyre are highly correlated when the AABW cell leads the Weddell Gyre by several years, with an enhanced AABW cell corresponding to a strengthened Weddell Gyre and vice versa. An additional sensitivity experiment shows that the response of the Weddell Gyre to AABW cell changes is primarily attributed to interactions between the AABW outflow and ocean topography, instead of the surface wind stress curl and freshwater anomalies. As the AABW flows northward, it encounters topography with steep slopes that induce strong downwelling and negative bottom vortex stretching. The anomalous negative bottom vortex stretching induces a cyclonic barotropic stream function over the Weddell Sea, thus leading to an enhanced Weddell Gyre. The AABW cell variations in the control run have significant meridional coherence in density space. Using passive dye tracers, it is found that the slow propagation of AABW cell anomalies south of 35 degrees S corresponds to the slow tracer advection time scale. The dye tracers escape the Weddell Sea through the western limb of the Weddell Gyre and then go northwestward to the Argentine Basin through South Sandwich Trench and Georgia Basin. This slow advection by deep ocean currents determines the AABW cell propagation speed south of 35 degrees S. North of 35 degrees S the propagation speed is determined both by advection in the deep western boundary current and through Kelvin waves.</t>
  </si>
  <si>
    <t>[Zhang, Liping] Princeton Univ, Atmospher &amp; Ocean Sci, Princeton, NJ 08544 USA; [Zhang, Liping; Delworth, Thomas L.] NOAA, Geophys Fluid Dynam Lab, Princeton, NJ 08540 USA</t>
  </si>
  <si>
    <t>Zhang, LP (corresponding author), Princeton Univ, Atmospher &amp; Ocean Sci, Princeton, NJ 08544 USA.;Zhang, LP (corresponding author), NOAA, Geophys Fluid Dynam Lab, Princeton, NJ 08540 USA.</t>
  </si>
  <si>
    <t>Liping.Zhang@noaa.gov</t>
  </si>
  <si>
    <t>Zhang, Liping/L-6480-2015; Delworth, Thomas/C-5191-2014</t>
  </si>
  <si>
    <t>Zhang, Liping/0000-0003-1122-8927; Delworth, Thomas/0000-0003-4865-5391</t>
  </si>
  <si>
    <t>10.1002/2016JC011790</t>
  </si>
  <si>
    <t>WOS:000386912700026</t>
  </si>
  <si>
    <t>Arndt, S; Willmes, S; Dierking, W; Nicolaus, M</t>
  </si>
  <si>
    <t>Arndt, Stefanie; Willmes, Sascha; Dierking, Wolfgang; Nicolaus, Marcel</t>
  </si>
  <si>
    <t>Timing and regional patterns of snowmelt on Antarctic sea ice from passive microwave satellite observations</t>
  </si>
  <si>
    <t>SEASONAL CYCLE; INTERANNUAL VARIABILITY; EARLY SUMMER; WEDDELL SEA; SURFACE; MELT; SIGNATURES; EVOLUTION; ALBEDO; COVER</t>
  </si>
  <si>
    <t>An improved understanding of the temporal variability and the spatial distribution of snowmelt on Antarctic sea ice is crucial to better quantify atmosphere-ice-ocean interactions, in particular sea-ice mass and energy budgets. It is therefore important to understand the mechanisms that drive snowmelt, both at different times of the year and in different regions around Antarctica. In this study, we combine diurnal brightness temperature differences (dT(B)(37 GHz)) and ratios (T-B(19 GHz)/T-B(37 GHz)) to detect and classify snowmelt processes. We distinguish temporary snowmelt from continuous snowmelt to characterize dominant melt patterns for different Antarctic sea-ice regions from 1988/1989 to 2014/2015. Our results indicate four characteristic melt types. On average, 38.9 +/- 6.0% of all detected melt events are diurnal freeze-thaw cycles in the surface snow layer, characteristic of temporary melt (Type A). Less than 2% reveal immediate continuous snowmelt throughout the snowpack, i. e., strong melt over a period of several days (Type B). In 11.7 +/- 4.0%, Type A and B take place consecutively (Type C), and for 47.8 +/- 6.8% no surface melt is observed at all (Type D). Continuous snowmelt is primarily observed in the outflow of the Weddell Gyre and in the northern Ross Sea, usually 17 days after the onset of temporary melt. Comparisons with Snow Buoy data suggest that also the onset of continuous snowmelt does not translate into changes in snow depth for a longer period but might rather affect the internal stratigraphy and density structure of the snowpack. Considering the entire data set, the timing of snowmelt processes does not show significant temporal trends.</t>
  </si>
  <si>
    <t>[Arndt, Stefanie; Dierking, Wolfgang; Nicolaus, Marcel] Helmholtz Zentrum Polar &amp; Meeresforsch, Alfred Wegener Inst, Bremerhaven, Germany; [Willmes, Sascha] Univ Trier, Dept Environm Meteorol, Trier, Germany</t>
  </si>
  <si>
    <t>Helmholtz Association; Alfred Wegener Institute, Helmholtz Centre for Polar &amp; Marine Research; Universitat Trier</t>
  </si>
  <si>
    <t>Arndt, S (corresponding author), Helmholtz Zentrum Polar &amp; Meeresforsch, Alfred Wegener Inst, Bremerhaven, Germany.</t>
  </si>
  <si>
    <t>stefanie.arndt@awi.de</t>
  </si>
  <si>
    <t>Willmes, Sascha/J-5796-2012; Arndt, Stefanie/AAA-6178-2021; Nicolaus, Marcel/A-3658-2013</t>
  </si>
  <si>
    <t>Arndt, Stefanie/0000-0001-9782-3844; Nicolaus, Marcel/0000-0003-0903-1746</t>
  </si>
  <si>
    <t>Meereisportal.de [REKLIM-2012-04]; Helmholtz Alliance Remote Sensing and Earth System Dynamics [HA-310]; Alfred-Wegener-Institut Helmholtz-Zentrum fur Polarund Meeresforschung</t>
  </si>
  <si>
    <t>Meereisportal.de; Helmholtz Alliance Remote Sensing and Earth System Dynamics; Alfred-Wegener-Institut Helmholtz-Zentrum fur Polarund Meeresforschung</t>
  </si>
  <si>
    <t>SSM/I brightness temperature and sea-ice concentration data were kindly provided by the U.S. National Snow and Ice Data Center (NSIDC, http://nsidc.org), University of Colorado. Autonomous sea-ice measurements from snow buoys were obtained from Meereisportal.de (http://data.seaiceportal.de, grant REKLIM-2012-04). We appreciate the helpful comments of two anonymous reviewers. This work was funded by the Helmholtz Alliance Remote Sensing and Earth System Dynamics (HA-310) and the Alfred-Wegener-Institut Helmholtz-Zentrum fur Polarund Meeresforschung.</t>
  </si>
  <si>
    <t>10.1002/2015JC011504</t>
  </si>
  <si>
    <t>Green Submitted, Green Published, hybrid</t>
  </si>
  <si>
    <t>WOS:000386912700031</t>
  </si>
  <si>
    <t>Herraiz-Borreguero, L; Lannuzel, D; van der Merwe, P; Treverrow, A; Pedro, JB</t>
  </si>
  <si>
    <t>Herraiz-Borreguero, L.; Lannuzel, D.; van der Merwe, P.; Treverrow, A.; Pedro, J. B.</t>
  </si>
  <si>
    <t>Large flux of iron from the Amery Ice Shelf marine ice to Prydz Bay, East Antarctica</t>
  </si>
  <si>
    <t>MELTING GLACIERS FUELS; SOUTHERN-OCEAN; AMUNDSEN SEA; PHYTOPLANKTON BLOOMS; BENEATH; PRODUCTIVITY; BIOGEOCHEMISTRY; VARIABILITY; MELTWATER; DYNAMICS</t>
  </si>
  <si>
    <t>The Antarctic continental shelf supports a high level of marine primary productivity and is a globally important carbon dioxide (CO2) sink through the photosynthetic fixation of CO2 via the biological pump. Sustaining such high productivity requires a large supply of the essential micronutrient iron (Fe); however, the pathways for Fe delivery to these zones vary spatially and temporally. Our study is the first to report a previously unquantified source of concentrated bioavailable Fe to Antarctic surface waters. We hypothesize that Fe derived from subglacial processes is delivered to euphotic waters through the accretion (Fe storage) and subsequent melting (Fe release) of a marine-accreted layer of ice at the base of the Amery Ice Shelf (AIS). Using satellite-derived Chlorophyll-a data, we show that the soluble Fe supplied by the melting of the marine ice layer is an order of magnitude larger than the required Fe necessary to sustain the large annual phytoplankton bloom in Prydz Bay. Our finding of high concentrations of Fe in AIS marine ice and recent data on increasing rates of ice shelf basal melt in many of Antarctica's ice shelves should encourage further research into glacial and marine sediment transport beneath ice shelves and their sensitivity to current changes in basal melt. Currently, the distribution, volume, and Fe concentration of Antarctic marine ice is poorly constrained. This uncertainty, combined with variable forecasts of increased rates of ice shelf basal melt, limits our ability to predict future Fe supply to Antarctic coastal waters.</t>
  </si>
  <si>
    <t>[Herraiz-Borreguero, L.; Pedro, J. B.] Univ Copenhagen, Niels Bohr Inst, Ctr Ice &amp; Climate, Copenhagen, Denmark; [Herraiz-Borreguero, L.] Univ Southampton, Natl Oceanog Ctr, Southampton, Hants, England; [Lannuzel, D.; van der Merwe, P.; Treverrow, A.] Univ Tasmania, Antarctic Climate &amp; Ecosyst Cooperat Res Ctr, Hobart, Tas, Australia; [Lannuzel, D.] Univ Tasmania, Inst Marine &amp; Antarctic Studies, Hobart, Tas, Australia</t>
  </si>
  <si>
    <t>University of Copenhagen; Niels Bohr Institute; NERC National Oceanography Centre; University of Southampton; University of Tasmania; Antarctic Climate &amp; Ecosystems Cooperative Research Centre (ACE CRC); University of Tasmania</t>
  </si>
  <si>
    <t>Herraiz-Borreguero, L (corresponding author), Univ Copenhagen, Niels Bohr Inst, Ctr Ice &amp; Climate, Copenhagen, Denmark.;Herraiz-Borreguero, L (corresponding author), Univ Southampton, Natl Oceanog Ctr, Southampton, Hants, England.</t>
  </si>
  <si>
    <t>L.Herraiz-Borreguero@noc.soton.ac.uk</t>
  </si>
  <si>
    <t>Pedro, Joel/M-5632-2014; Treverrow, Adam/J-7450-2014; Pedro, Joel Benjamin/L-8918-2019; Herraiz-Borreguero, Laura/D-5795-2015; lannuzel, delphine/J-7937-2014; van der Merwe, Pier/C-9210-2015</t>
  </si>
  <si>
    <t>Pedro, Joel/0000-0002-0728-2712; Pedro, Joel Benjamin/0000-0002-0728-2712; Herraiz-Borreguero, Laura/0000-0002-4455-801X; lannuzel, delphine/0000-0001-6154-1837; van der Merwe, Pier/0000-0002-7428-8030</t>
  </si>
  <si>
    <t>Australian Research Council [DE120100030]; Australian Government Cooperative Research Centres Programme through Antarctic Climate &amp; Ecosystems (ACE CRC); Australian Research Council [DE120100030] Funding Source: Australian Research Council</t>
  </si>
  <si>
    <t>Australian Research Council(Australian Research Council); Australian Government Cooperative Research Centres Programme through Antarctic Climate &amp; Ecosystems (ACE CRC)(Australian GovernmentDepartment of Industry, Innovation and ScienceCooperative Research Centres (CRC) Programme); Australian Research Council(Australian Research Council)</t>
  </si>
  <si>
    <t>This research was supported by the Australian Research Council grant DE120100030 and the Australian Government Cooperative Research Centres Programme through the Antarctic Climate &amp; Ecosystems (ACE CRC). We thank the Australian Antarctic Division for allowing us to use the AIS marine and continental ice cores and Mike Craven for his assistance in the freezer. Elephant seals data are found in the following link: http://dx.doi.org/10/srk). We are also grateful to Ashley Townsend for assistance with the SF-ICP-MS analyses, to Jean-Louis Tison for lending us the lathe and chisels to perform the decontamination of the ice cores, and to Alix Post for sharing her trace metal measurements in the sediment cores within the AIS cavity. We also thank two anonymous reviewers, whose thorough reviews have greatly improved this manuscript.</t>
  </si>
  <si>
    <t>10.1002/2016JC011687</t>
  </si>
  <si>
    <t>WOS:000386912700037</t>
  </si>
  <si>
    <t>Viglione, GA; Thompson, AF</t>
  </si>
  <si>
    <t>Viglione, Giuliana A.; Thompson, Andrew F.</t>
  </si>
  <si>
    <t>Lagrangian pathways of upwelling in the Southern Ocean</t>
  </si>
  <si>
    <t>ANTARCTIC CIRCUMPOLAR CURRENT; MERIDIONAL OVERTURNING CIRCULATION; TRANSIT-TIME DISTRIBUTIONS; MIXED-LAYER; ANTHROPOGENIC CO2; CARBON-DIOXIDE; STATE ESTIMATE; GLOBAL OCEAN; DEEP-WATER; MODEL</t>
  </si>
  <si>
    <t>The spatial and temporal variability of upwelling into the mixed layer in the Southern Ocean is studied using a 1/10 degrees ocean general circulation model. Virtual drifters are released in a regularly spaced pattern across the Southern Ocean at depths of 250, 500, and 1000 m during both summer and winter months. The drifters are advected along isopycnals for a period of 4 years, unless they outcrop into the mixed layer, where lateral advection and a parameterization of vertical mixing are applied. The focus of this study is on the discrete exchange between the model mixed layer and the interior. Localization of interior-mixed layer exchange occurs downstream of major topographic features across the Indian and Pacific basins, creating hotspots of outcropping. Minimal outcropping occurs in the Atlantic basin, while 59% of drifters outcrop in the Pacific sector and in Drake Passage (the region from 140 degrees W to 40 degrees W), a disproportionately large amount even when considering the relative basin sizes. Due to spatial and temporal variations in mixed layer depth, the Lagrangian trajectories provide a statistical measure of mixed layer residence times. For each exchange into the mixed layer, the residence time has a Rayleigh distribution with a mean of 30 days; the cumulative residence time of the drifters is 261 +/- 194 days, over a period of 4 years. These results suggest that certain oceanic gas concentrations, such as CO2 and C-14, will likely not reach equilibrium with the atmosphere before being resubducted.</t>
  </si>
  <si>
    <t>[Viglione, Giuliana A.; Thompson, Andrew F.] CALTECH, Div Geol &amp; Planetary Sci, Dept Environm Sci &amp; Engn, Pasadena, CA 91125 USA</t>
  </si>
  <si>
    <t>California Institute of Technology</t>
  </si>
  <si>
    <t>Viglione, GA (corresponding author), CALTECH, Div Geol &amp; Planetary Sci, Dept Environm Sci &amp; Engn, Pasadena, CA 91125 USA.</t>
  </si>
  <si>
    <t>gviglion@caltech.edu</t>
  </si>
  <si>
    <t>National Science Foundation [OCE-1235488]; Vanoni Fellowship; Division Of Ocean Sciences; Directorate For Geosciences [1235488] Funding Source: National Science Foundation</t>
  </si>
  <si>
    <t>National Science Foundation(National Science Foundation (NSF)); Vanoni Fellowship; Division Of Ocean Sciences; Directorate For Geosciences(National Science Foundation (NSF)NSF - Directorate for Geosciences (GEO))</t>
  </si>
  <si>
    <t>We thank Jess Adkins, Matt Mazloff, and Jean-Baptiste Sallee for helpful discussions during this work. Erik van Sebille and one anonymous reviewer provided insightful comments that were invaluable in improving this manuscript. AFT gratefully acknowledges support from the National Science Foundation (OCE-1235488). GAV thanks the Vanoni Fellowship for supporting this work. The model output used are listed in the references and available from JAMSTEC at http://www.jamstec.go.jp/esc/research/AtmOcn/product/ofes.html. The Argo-derived mixed layer depth data are available at http://apdrc.soest.hawaii.edu/datadoc/mld.php.</t>
  </si>
  <si>
    <t>10.1002/2016JC011773</t>
  </si>
  <si>
    <t>WOS:000386912700052</t>
  </si>
  <si>
    <t>Lin, H; Chen, M; Zeng, J; Li, Q; Jia, RM; Sun, XW; Zheng, MF; Qiu, YS</t>
  </si>
  <si>
    <t>Lin, Hui; Chen, Min; Zeng, Jian; Li, Qi; Jia, Renming; Sun, Xiuwu; Zheng, Minfang; Qiu, Yusheng</t>
  </si>
  <si>
    <t>Size characteristics of chromophoric dissolved organic matter in the Chukchi Sea</t>
  </si>
  <si>
    <t>FIELD-FLOW FRACTIONATION; CANADA BASIN; FRESH-WATER; MOLECULAR-WEIGHTS; MACKENZIE RIVER; SPECTRAL SLOPE; ARCTIC-OCEAN; CARBON; ABSORPTION; MARINE</t>
  </si>
  <si>
    <t>With the Arctic warming, terrestrial input plays a more important role in carbon cycle in the Arctic Ocean than before. Chromophoric dissolved organic matter (CDOM) as a tracer of terrestrial dissolved organic matter (tDOM) becomes more valuable in elucidating the source and compositions of DOM. Although measurements of DOM in the Arctic Ocean have been widely reported, characteristics of high molecular weight colloids are still poorly understood. In this study, the bulk absorbance and size fractograms of CDOM were measured in the Chukchi Seas using an asymmetrical flow field-flow fractionation (AF4) coupled online with UV-vis detectors. Both CDOM a(254), absorption coefficient at 254 nm, and the integrated UV254 (from AF4 UV-vis detector) of three colloidal fractions (1-10, 10-100, and &gt;100 kDa) significantly correlated with the fraction of meteoric water (f(mw)) calculated from delta O-18 in seawater, which indicates that the CDOM was mainly derived from terrestrial input and a(254) is a potential tracer of tDOM in the Chukchi Sea. Compared with the larger colloidal fractions (10-100 and &gt; 100 kDa), the smaller colloidal fraction (1-10 kDa) showed a stronger correlation with the fmw, suggesting the smaller colloids were of mostly terrigenous origin. Values of field measured spectral slope at 275-295 nm (s(275-295)), a tDOM proxy, were significantly lower than the model-estimated s(275-295) calculated from the MODIS Aqu satellite remote sensing data, which indicated that terrestrial input of CDOM derived from model calculation was likely underestimated in the Chukchi Sea.</t>
  </si>
  <si>
    <t>[Lin, Hui; Chen, Min; Zeng, Jian; Li, Qi; Jia, Renming; Zheng, Minfang; Qiu, Yusheng] Xiamen Univ, Coll Ocean &amp; Earth Sci, Xiamen, Peoples R China; [Chen, Min] Xiamen Univ, State Key Lab Marine Environm Sci, Xiamen, Peoples R China; [Sun, Xiuwu] State Ocean Adm, Inst Oceanog 3, Xiamen, Peoples R China</t>
  </si>
  <si>
    <t>Xiamen University; Xiamen University; Third Institute of Oceanography, Ministry of Natural Resources</t>
  </si>
  <si>
    <t>Chen, M (corresponding author), Xiamen Univ, Coll Ocean &amp; Earth Sci, Xiamen, Peoples R China.;Chen, M (corresponding author), Xiamen Univ, State Key Lab Marine Environm Sci, Xiamen, Peoples R China.</t>
  </si>
  <si>
    <t>mchen@xmu.edu.cn</t>
  </si>
  <si>
    <t>zhang, shuai/IVU-7877-2023; Chen, Min/B-7763-2012; Lu, Jianhong/IYT-3322-2023; Zeng, Jian/D-3884-2017; Lin, Hui/JWP-9131-2024</t>
  </si>
  <si>
    <t>Chen, Min/0000-0003-0369-694X; Zeng, Jian/0000-0001-8801-5220; Lin, Hui/0000-0002-0633-3864</t>
  </si>
  <si>
    <t>Public Science and Technology Research Funds Projects of Ocean [201505034]; Polar Environment Investigation and Assessment - Chinese Arctic and Antarctic Administration [CHINARE2016-03-04-03, CHINARE2016-04-03-05]; Chinese Natural Science Foundation [41125020]</t>
  </si>
  <si>
    <t>Public Science and Technology Research Funds Projects of Ocean; Polar Environment Investigation and Assessment - Chinese Arctic and Antarctic Administration; Chinese Natural Science Foundation(National Natural Science Foundation of China (NSFC))</t>
  </si>
  <si>
    <t>The authors would like to thank the two reviewers for their insightful comments and suggestions that have contributed to improve this paper. Thanks also go to Hsuan-Ching Ho and Hengxiang Deng for sampling and Lina Lin for providing CTD data. All data are available from the authors upon request (mchen@xmu.edu.cn). This work was supported, in part, by a Public Science and Technology Research Funds Projects of Ocean (201505034), a Polar Environment Investigation and Assessment supported by Chinese Arctic and Antarctic Administration (CHINARE2016-03-04-03 and CHINARE2016-04-03-05), and a Chinese Natural Science Foundation (41125020).</t>
  </si>
  <si>
    <t>10.1002/2016JC011771</t>
  </si>
  <si>
    <t>WOS:000386912700059</t>
  </si>
  <si>
    <t>Augé, B; Dartois, E; Engrand, C; Duprat, J; Godard, M; Delauche, L; Bardin, N; Mejía, C; Martinez, R; Muniz, G; Domaracka, A; Boduch, P; Rothard, H</t>
  </si>
  <si>
    <t>Auge, B.; Dartois, E.; Engrand, C.; Duprat, J.; Godard, M.; Delauche, L.; Bardin, N.; Mejia, C.; Martinez, R.; Muniz, G.; Domaracka, A.; Boduch, P.; Rothard, H.</t>
  </si>
  <si>
    <t>Irradiation of nitrogen-rich ices by swift heavy ions Clues for the formation of ultracarbonaceous micrometeorites</t>
  </si>
  <si>
    <t>ASTRONOMY &amp; ASTROPHYSICS</t>
  </si>
  <si>
    <t>astrochemistry; Oort Cloud; cosmic rays; meteorites, meteors, meteoroids; methods: laboratory: solid state</t>
  </si>
  <si>
    <t>INSOLUBLE ORGANIC-MATTER; ANTARCTIC MICROMETEORITES; MOLECULAR-STRUCTURE; PROTON IRRADIATION; SOLAR-SYSTEM; KUIPER-BELT; INTERSTELLAR; SPECTROSCOPY; ANALOGS; HCN</t>
  </si>
  <si>
    <t>Context. Extraterrestrial materials, such as meteorites and interplanetary dust particles, provide constraints on the formation and evolution of organic matter in the young solar system. Micrometeorites represent the dominant source of extraterrestrial matter at the Earth's surface, some of them originating from large heliocentric distances. Recent analyses of ultracarbonaceous micrometeorites recovered from Antarctica (UCAMMs) reveal an unusually nitrogen-rich organic matter. Such nitrogen-rich carbonaceous material could be formed in a N-2-rich environment, at very low temperature, triggered by energetic processes. Aims. Several formation scenarios have been proposed for the formation of the N-rich organic matter observed in UCAMMs. We experimentally evaluate the scenario involving high energy irradiation of icy bodies subsurface orbiting at large heliocentric distances. Methods. The effect of Galactic cosmic ray (GCR) irradiation of ices containing N-2 and CH4 was studied in the laboratory. The N-2-CH4 (90.10 and 98.2) ice mixtures were irradiated at 14 K by 44 MeV Ni11 + and 160 MeV Ar15+ swift heavy ion beams. The evolution of the samples was monitored using in-situ Fourier transform infrared spectroscopy. The evolution of the initial ice molecules and new species formed were followed as a function of projectile fluence. After irradiation, the target was annealed to room temperature. The solid residue of the whole process left after ice sublimation was characterized in-situ by infrared spectroscopy, and the elemental composition was measured ex-situ. Results. The infrared bands that appear during irradiation allow us to identify molecules and radicals (HCN, CN-, NH3,...). The infrared spectra of the solid residues measured at room temperature show similarities with that of UCAMMs. The results point towards the efficient production of a poly-HCN-like residue from the irradiation of N-2-CH4 rich surfaces of icy bodies. The room temperature residue provides a viable precursor for the N-rich organic matter found in UCAMMs.</t>
  </si>
  <si>
    <t>[Auge, B.; Mejia, C.; Martinez, R.; Muniz, G.; Domaracka, A.; Boduch, P.; Rothard, H.] Univ Caen Normandie, CEA CNRS ENSICAEN, Ctr Rech Ions Mat &amp; Photon CIMAP, Blvd Henri Becquerel,BP 5133, F-14070 Caen 05, France; [Auge, B.; Dartois, E.] Univ Paris Sud, Univ Paris Saclay, Inst Astrophys Spatiale, UMR CNRS 8617, Batiment 121, F-91405 Orsay, France; [Engrand, C.; Duprat, J.; Godard, M.; Delauche, L.; Bardin, N.] Univ Paris Saclay, Univ Paris Sud, IN2P3, Ctr Sci Nucl &amp; Sci Mat,UMR CNRS 8609, Batiment 104,Orsay Campus, F-91405 Orsay, France; [Mejia, C.] Pontificia Univ Catolica Rio de Janeiro, Dept Fis, Rua Marques de Sao Vicente 225, BR-22453900 Rio De Janeiro, RJ, Brazil; [Martinez, R.] Univ Fed Amapa, Dept Fis, Rod JK Km 02,Jardim Marco Zero, BR-22453900 Macapa, Brazil</t>
  </si>
  <si>
    <t>Centre National de la Recherche Scientifique (CNRS); Universite de Caen Normandie; Universite Paris Saclay; Universite Paris Cite; Sorbonne Universite; Universite Paris Saclay; Centre National de la Recherche Scientifique (CNRS); CNRS - National Institute of Nuclear and Particle Physics (IN2P3); Universite Paris Cite; Fundacao Universidade Federal do Amapa</t>
  </si>
  <si>
    <t>Augé, B (corresponding author), Univ Caen Normandie, CEA CNRS ENSICAEN, Ctr Rech Ions Mat &amp; Photon CIMAP, Blvd Henri Becquerel,BP 5133, F-14070 Caen 05, France.;Augé, B (corresponding author), Univ Paris Sud, Univ Paris Saclay, Inst Astrophys Spatiale, UMR CNRS 8617, Batiment 121, F-91405 Orsay, France.</t>
  </si>
  <si>
    <t>auge@ganil.fr</t>
  </si>
  <si>
    <t>Mejia, Christian/G-9631-2015; Godard, Marie/H-6451-2011; Martinez, Rafael/D-8801-2013</t>
  </si>
  <si>
    <t>Mejia, Christian/0000-0001-7283-3421; Godard, Marie/0000-0002-7276-4021; Martinez, Rafael/0000-0003-2323-3934; Dartois, Emmanuel/0000-0003-1197-7143</t>
  </si>
  <si>
    <t>ANR IGLIAS project of the French Agence Nationale de la Recherche [ANR-13-BS05-0004]; CAPES-COFECUP French-Brazilian exchange programme; ANR project OGRESSE [11-BS56-026-01]; DIM-ACAV; French INSU-CNRS programme Physique et Chimie du Milieu Interstellaire (PCMI)</t>
  </si>
  <si>
    <t>ANR IGLIAS project of the French Agence Nationale de la Recherche(Agence Nationale de la Recherche (ANR)); CAPES-COFECUP French-Brazilian exchange programme; ANR project OGRESSE(Agence Nationale de la Recherche (ANR)); DIM-ACAV; French INSU-CNRS programme Physique et Chimie du Milieu Interstellaire (PCMI)</t>
  </si>
  <si>
    <t>This work was supported by the ANR IGLIAS project, grant ANR-13-BS05-0004 of the French Agence Nationale de la Recherche, by the CAPES-COFECUP French-Brazilian exchange programme. M.G., C.E. and J.D. acknowledge financial support from the ANR project OGRESSE (11-BS56-026-01) and DIM-ACAV. E.D. acknowledge financial support by the French INSU-CNRS programme Physique et Chimie du Milieu Interstellaire (PCMI). The Brazilian agencies CNPq (INEspaco and Science without Borders) and FAPERJ are also acknowledged. We thank T. Been, C. Grygiel, T. Madi, I. Monnet, F. Ropars and J.M. Ramillion for their invaluable support. We also thank the anonymous reviewer for constructive remarks on this work.</t>
  </si>
  <si>
    <t>EDP SCIENCES S A</t>
  </si>
  <si>
    <t>LES ULIS CEDEX A</t>
  </si>
  <si>
    <t>17, AVE DU HOGGAR, PA COURTABOEUF, BP 112, F-91944 LES ULIS CEDEX A, FRANCE</t>
  </si>
  <si>
    <t>0004-6361</t>
  </si>
  <si>
    <t>1432-0746</t>
  </si>
  <si>
    <t>ASTRON ASTROPHYS</t>
  </si>
  <si>
    <t>Astron. Astrophys.</t>
  </si>
  <si>
    <t>A99</t>
  </si>
  <si>
    <t>10.1051/0004-6361/201527650</t>
  </si>
  <si>
    <t>DX9NO</t>
  </si>
  <si>
    <t>WOS:000384722600048</t>
  </si>
  <si>
    <t>Bar Dolev, M; Bernheim, R; Guo, SQ; Davies, PL; Braslavsky, I</t>
  </si>
  <si>
    <t>Bar Dolev, Maya; Bernheim, Reut; Guo, Shuaiqi; Davies, Peter L.; Braslavsky, Ido</t>
  </si>
  <si>
    <t>Putting life on ice: bacteria that bind to frozen water</t>
  </si>
  <si>
    <t>JOURNAL OF THE ROYAL SOCIETY INTERFACE</t>
  </si>
  <si>
    <t>ice-binding proteins; antifreeze proteins; biofilm; RTX adhesin; microfluidic cold finger; cold adaptation</t>
  </si>
  <si>
    <t>ANTIFREEZE PROTEIN; SEA-ICE; PSEUDOMONAS-BOREALIS; ANTARCTIC BACTERIUM; NUCLEATION PROTEIN; MARINE-BACTERIA; GROWTH; CRYSTALS; PSYCHROPHILES; HYPERACTIVITY</t>
  </si>
  <si>
    <t>Ice-binding proteins (IBPs) are typically small, soluble proteins produced by cold-adapted organisms to help them avoid ice damage by either resisting or tolerating freezing. By contrast, the IBP of the Antarctic bacterium Marinomonas primoryensis is an extremely long, 1.5 MDa protein consisting of five different regions. The fourth region, a 34 kDa domain, is the only part that confers ice binding. Bioinfonnatic studies suggest that this IBP serves as an adhesin that attaches the bacteria to ice to keep it near the top of the water column, where oxygen and nutrients are available. Using temperature-controlled cells and a microfluidic apparatus, we show that M. primoryensis adheres to ice and is only released when melting occurs. Binding is dependent on the mobility of the bacterium and the functionality of the IBP domain. A polyclonal antibody raised against the IBP region blocks bacterial ice adhesion. This concept may be the basis for blocking biofilm formation in other bacteria, including pathogens. Currently, this IBP is the only known example of an adhesin that has evolved to bind ice.</t>
  </si>
  <si>
    <t>[Bar Dolev, Maya; Bernheim, Reut; Braslavsky, Ido] Hebrew Univ Jerusalem, Robert H Smith Fac Agr Food &amp; Environm, Inst Biochem Food Sci &amp; Nutr, IL-7610001 Rehovot, Israel; [Guo, Shuaiqi; Davies, Peter L.] Queens Univ, Dept Biomed &amp; Mol Sci, Kingston, ON K7L 3N6, Canada</t>
  </si>
  <si>
    <t>Hebrew University of Jerusalem; Queens University - Canada</t>
  </si>
  <si>
    <t>Braslavsky, I (corresponding author), Hebrew Univ Jerusalem, Robert H Smith Fac Agr Food &amp; Environm, Inst Biochem Food Sci &amp; Nutr, IL-7610001 Rehovot, Israel.</t>
  </si>
  <si>
    <t>ido.braslavsky@mail.huji.ac.il</t>
  </si>
  <si>
    <t>Dolev, Maya Bar/AAG-7771-2020; Braslavsky, Ido/O-1859-2013</t>
  </si>
  <si>
    <t>ERC; ISF; CIHR; Lady Davis Fellowship Program; Moskowitz Center for Nano and Bio-Nano Imaging at the Weizmann Institute of Science</t>
  </si>
  <si>
    <t>ERC(European Research Council (ERC)); ISF(Israel Science Foundation); CIHR(Canadian Institutes of Health Research (CIHR)); Lady Davis Fellowship Program; Moskowitz Center for Nano and Bio-Nano Imaging at the Weizmann Institute of Science</t>
  </si>
  <si>
    <t>We acknowledge the funding by ERC, ISF, CIHR and the Lady Davis Fellowship Program. The electron microscopy studies were partially funded by the Moskowitz Center for Nano and Bio-Nano Imaging at the Weizmann Institute of Science.</t>
  </si>
  <si>
    <t>1742-5689</t>
  </si>
  <si>
    <t>1742-5662</t>
  </si>
  <si>
    <t>J R SOC INTERFACE</t>
  </si>
  <si>
    <t>J. R. Soc. Interface</t>
  </si>
  <si>
    <t>10.1098/rsif.2016.0210</t>
  </si>
  <si>
    <t>DZ6SU</t>
  </si>
  <si>
    <t>WOS:000385993000016</t>
  </si>
  <si>
    <t>Mende, SB; Frey, HU; Angelopoulos, V</t>
  </si>
  <si>
    <t>Mende, S. B.; Frey, H. U.; Angelopoulos, V.</t>
  </si>
  <si>
    <t>Source of the dayside cusp aurora</t>
  </si>
  <si>
    <t>IMAGE-FUV; MAGNETOPAUSE; IONOSPHERE; EMISSIONS; BOUNDARY; RADAR</t>
  </si>
  <si>
    <t>Monochromatic all-sky imagers at South Pole and other Antarctic stations of the Automatic Geophysical Observatory chain recorded the aurora in the region where the Time History of Events and Macroscale Interactions during Substorms (THEMIS) satellites crossed the dayside magnetopause. In several cases the magnetic field lines threading the satellites when mapped to the atmosphere were inside the imagers' field of view. From the THEMIS magnetic field and the plasma density measurements, we were able to locate the position of the magnetopause crossings and map it to the ionosphere using the Tsyganenko-96 field model. Field line mapping is reasonably accurate on the dayside subsolar region where the field is strong, almost dipolar even though compressed. From these coordinated observations, we were able to prove that the dayside cusp aurora of high 630nm brightness is on open field lines, and it is therefore direct precipitation from the magnetosheath. The cusp aurora contained significant highly structured N-2(+) 427.8 nm emission. The THEMIS measurements of the magnetosheath particle energy and density taken just outside the magnetopause compared to the intensity of the structured N-2(+) 427.8nm emissions showed that the precipitating magnetosheath particles had to be accelerated. The most likely electron acceleration mechanism is by dispersive Alfven waves propagating along the field line. Wave-accelerated suprathermal electrons were seen by FAST and DMSP. The 427.8nm wavelength channel also shows the presence of a lower latitude hard-electron precipitation zone originating inside the magnetosphere.</t>
  </si>
  <si>
    <t>[Mende, S. B.; Frey, H. U.] Univ Calif Berkeley, Space Sci Lab, Berkeley, CA 94720 USA; [Frey, H. U.; Angelopoulos, V.] Univ Calif Los Angeles, IGPP, ESS, Los Angeles, CA USA</t>
  </si>
  <si>
    <t>University of California System; University of California Berkeley; University of California System; University of California Los Angeles</t>
  </si>
  <si>
    <t>Mende, SB (corresponding author), Univ Calif Berkeley, Space Sci Lab, Berkeley, CA 94720 USA.</t>
  </si>
  <si>
    <t>mende@ssl.berkeley.edu</t>
  </si>
  <si>
    <t>Angelopoulos, Vassilis/0000-0001-7024-1561; Frey, Harald/0000-0001-8955-3282</t>
  </si>
  <si>
    <t>NSF [1141961]; NASA THEMIS program [NAS5-02099]; German Ministry for Economy and Technology; German Center for Aviation and Space (DLR) [50 OC 0302]; Directorate For Geosciences [1141961] Funding Source: National Science Foundation; Office of Polar Programs (OPP) [1141961] Funding Source: National Science Foundation</t>
  </si>
  <si>
    <t>NSF(National Science Foundation (NSF)); NASA THEMIS program; German Ministry for Economy and Technology; German Center for Aviation and Space (DLR)(Helmholtz AssociationGerman Aerospace Centre (DLR)); Directorate For Geosciences(National Science Foundation (NSF)NSF - Directorate for Geosciences (GEO)); Office of Polar Programs (OPP)(National Science Foundation (NSF)NSF - Directorate for Geosciences (GEO))</t>
  </si>
  <si>
    <t>This study was funded by NSF under grant 1141961 entitled Auroral Signatures of Solar wind Magnetospheric Coupling at the University of California, Berkeley. Parts of this work were also supported by the NASA THEMIS program under contract NAS5-02099. The authors also wish to express their gratitude to the engineering and field teams who made the U.S. Automatic Geophysical Observatory imaging observations possible. The authors wish to acknowledge K.H. Glassmeier, U. Auster, and W. Baumjohann for the use of FGM data provided under the lead of the Technical University of Braunschweig and with financial support through the German Ministry for Economy and Technology and the German Center for Aviation and Space (DLR) under contract 50 OC 0302. The ground-based optical data for South Pole and the U.S. Automatic Geophysical Observatories can be accessed at http://sprg.ssl.berkeley.edu/atmos/ago_data.html. The results of field line mapping for the THEMIS satellite footprints are attached as supporting information.</t>
  </si>
  <si>
    <t>10.1002/2016JA022657</t>
  </si>
  <si>
    <t>DZ4EQ</t>
  </si>
  <si>
    <t>WOS:000385811500029</t>
  </si>
  <si>
    <t>Pasotti, F; Manini, E; Giovannelli, D; Wölfl, AC; Monien, D; Verleyen, E; Braeckman, U; Abele, D; Vanreusel, A</t>
  </si>
  <si>
    <t>Pasotti, F.; Manini, E.; Giovannelli, D.; Wolfl, A. -C.; Monien, D.; Verleyen, E.; Braeckman, U.; Abele, D.; Vanreusel, A.</t>
  </si>
  <si>
    <t>Antarctic shallow water benthos in an area of recent rapid glacier retreat (vol 36, pg 716, 2015)</t>
  </si>
  <si>
    <t>MARINE ECOLOGY-AN EVOLUTIONARY PERSPECTIVE</t>
  </si>
  <si>
    <t>Giovannelli, Donato/A-4812-2011</t>
  </si>
  <si>
    <t>Giovannelli, Donato/0000-0001-7182-8233</t>
  </si>
  <si>
    <t>0173-9565</t>
  </si>
  <si>
    <t>1439-0485</t>
  </si>
  <si>
    <t>MAR ECOL-EVOL PERSP</t>
  </si>
  <si>
    <t>Mar. Ecol.-Evol. Persp.</t>
  </si>
  <si>
    <t>10.1111/maec.12344</t>
  </si>
  <si>
    <t>DW4IK</t>
  </si>
  <si>
    <t>WOS:000383606200018</t>
  </si>
  <si>
    <t>Alekseev, GV; Glok, NI; Smirnov, AV; Vyazilova, AE</t>
  </si>
  <si>
    <t>Alekseev, G. V.; Glok, N. I.; Smirnov, A. V.; Vyazilova, A. E.</t>
  </si>
  <si>
    <t>The influence of the North Atlantic on climate variations in the Barents Sea and their predictability</t>
  </si>
  <si>
    <t>Climate; Barents Sea; sea ice; North Atlantic</t>
  </si>
  <si>
    <t>The effects of Atlantic water inflow on the climate variability in the Barents Sea are studied. Initial data are the series of water temperature at the Kola meridian cross-section, monthly values of ice extent, air temperature at the stations, sea level pressure from the reanalysis data, and sea surface temperature. The methods of multivariate correlation, spectral, and factor analysis and EOF decomposition are used. It was found that variations in the Atlantic water inflow define the main part of interannual variability of sea ice extent, water temperature, and air temperature in the Barents Sea in the cold season. The influence of regional atmospheric circulation on the interannual variability of these parameters is small. The effects that water temperature anomalies in the area of Newfoundland and in the equatorial part of the North Atlantic have on climate parameters in the Barents Sea are discovered. The response of these parameters lags behind the respective anomalies by 9-58 months. The high correlation between them makes it possible to develop the method of statistical forecasting of sea ice extent and water temperature in the Barents Sea with the lead time up to 4 years.</t>
  </si>
  <si>
    <t>[Alekseev, G. V.; Glok, N. I.; Smirnov, A. V.; Vyazilova, A. E.] Arctic &amp; Antarctic Res Inst, Ul Beringa 38, St Petersburg 199397, Russia</t>
  </si>
  <si>
    <t>Alekseev, GV (corresponding author), Arctic &amp; Antarctic Res Inst, Ul Beringa 38, St Petersburg 199397, Russia.</t>
  </si>
  <si>
    <t>alexgv@aari.ru</t>
  </si>
  <si>
    <t>Smirnov, Alexander/J-5935-2014; Smirnov, Alexey Sergeevich/AAB-2521-2020; Vyazilova, Anastasia/AAO-5568-2020</t>
  </si>
  <si>
    <t>Smirnov, Alexander/0000-0003-3231-7283; Smirnov, Alexey Sergeevich/0000-0001-5361-8232; Vyazilova, Anastasia/0000-0001-5657-7309</t>
  </si>
  <si>
    <t>Ministry of Science and Education of the Russian Federation [14.21.0006]</t>
  </si>
  <si>
    <t>Ministry of Science and Education of the Russian Federation(Ministry of Education and Science, Russian Federation)</t>
  </si>
  <si>
    <t>The study was supported by the Ministry of Science and Education of the Russian Federation in the part of applied scientific research and experiments on the theme Development of new methods of monitoring of hydrometeorological and geophysical conditions at Svaldbard and in the western Arctic zone of the Russian Federation. The grant agreement No. 14.21.0006 from October 20, 2014, the unique identifier PNIER RFMEFI61014X0006).</t>
  </si>
  <si>
    <t>PLEIADES PUBLISHING INC</t>
  </si>
  <si>
    <t>PLEIADES PUBLISHING INC, MOSCOW, 00000, RUSSIA</t>
  </si>
  <si>
    <t>10.3103/S1068373916080045</t>
  </si>
  <si>
    <t>DY5UX</t>
  </si>
  <si>
    <t>WOS:000385170700004</t>
  </si>
  <si>
    <t>Gruetzner, J; Uenzelmann-Neben, G; Franke, D</t>
  </si>
  <si>
    <t>Gruetzner, J.; Uenzelmann-Neben, G.; Franke, D.</t>
  </si>
  <si>
    <t>Evolution of the northern Argentine margin during the Cenozoic controlled by bottom current dynamics and gravitational processes</t>
  </si>
  <si>
    <t>Argentine Basin; sediment transport; seismic reflection method; contourites; turbidites; South Atlantic</t>
  </si>
  <si>
    <t>DEEP-WATER CIRCULATION; SOUTH-ATLANTIC OCEAN; GEOSTROPHIC CIRCULATION; SEISMIC STRATIGRAPHY; CONTINENTAL-MARGIN; COLORADO BASIN; BOUNTY TROUGH; SEDIMENT; FLOW; MORPHOLOGY</t>
  </si>
  <si>
    <t>A detailed reflection seismic investigation on sediment deposition at the northern Argentine margin (37 degrees S-42 degrees S) resolves major modifications in oceanographic circulation during the Cenozoic, which resulted from variations in both climatic and tectonic processes. After an extensive erosional period following the onset of glaciation of Antartica at approximate to 34 Ma, which affected all water depth levels, a buried elongated mounded drift within the continental shelf was shaped by bottom current activity during the Miocene. This may represent the earliest deposits of the Malvinas Current that branches from the Antartic Circumpolar Current and today is part of a complex shallow water circulation system known as the Brazil-Malvinas confluence. At the same time, a major terrace grew to its present form on the upper slope indicating that a precursor of Antarctic Intermediate Water was also part of the Brazil-Malvinas confluence. After another major erosional phase inferred from a seismic unconformity at approximate to 6 Ma, sheeted drifts, mounded drifts, and sediment waves formed at the continental rise during the Pliocene/Pleistocene. These extensive contourite deposits are diagnostic for a steady north setting bottom flow at the depth level of today's Antarctic Bottom Water. Evidence for downslope transport mainly stems from the presence of buried turbidites and canyon-related depocenters. These features can be related to Andean uplift during the Eocene and to the activation of the canyon system during the Pliocene.</t>
  </si>
  <si>
    <t>[Gruetzner, J.; Uenzelmann-Neben, G.] Alfred Wegener Inst, Bremerhaven, Germany; [Franke, D.] Bundesanstalt Geowissensch &amp; Rohstoffe, Hannover, Germany</t>
  </si>
  <si>
    <t>Gruetzner, J (corresponding author), Alfred Wegener Inst, Bremerhaven, Germany.</t>
  </si>
  <si>
    <t>Jens.Gruetzner@awi.de</t>
  </si>
  <si>
    <t>Uenzelmann-Neben, Gabriele/AAI-8618-2020; Franke, Dieter/A-5383-2011</t>
  </si>
  <si>
    <t>Uenzelmann-Neben, Gabriele/0000-0002-0115-5923; Franke, Dieter/0000-0002-1488-026X; Gruetzner, Jens/0000-0001-5445-2393</t>
  </si>
  <si>
    <t>Priority Program SAMPLE (South Atlantic Margin Processes and Links with onshore Evolution) of the Deutsche Forschungsgemeinschaft (DFG) [Ue 49/15]</t>
  </si>
  <si>
    <t>Priority Program SAMPLE (South Atlantic Margin Processes and Links with onshore Evolution) of the Deutsche Forschungsgemeinschaft (DFG)(German Research Foundation (DFG))</t>
  </si>
  <si>
    <t>This research was funded by the Priority Program SAMPLE (South Atlantic Margin Processes and Links with onshore Evolution) of the Deutsche Forschungsgemeinschaft (DFG) under contract Ue 49/15. Reflection seismic data sets used in this publication were provided by courtesy of Bundesanstalt fur Geowissenschaften und Rohstoffe (http://www.bgr.bund.de). Gridded isopachs will be made available through the Pangea database (http://pangaea.de/). We are grateful to two anonymous reviewers for their detailed and helpful comments.</t>
  </si>
  <si>
    <t>10.1002/2015GC006232</t>
  </si>
  <si>
    <t>DY0TD</t>
  </si>
  <si>
    <t>WOS:000384808200010</t>
  </si>
  <si>
    <t>Castillo, P; Fanning, CM; Hervé, F; Lacassie, JP</t>
  </si>
  <si>
    <t>Castillo, Paula; Fanning, C. Mark; Herve, Francisco; Pablo Lacassie, Juan</t>
  </si>
  <si>
    <t>Characterisation and tracing of Permian magmatism in the south-western segment of the Gondwanan margin; U-Pb age, Lu-Hf and O isotopic compositions of detrital zircons from metasedimentary complexes of northern Antarctic Peninsula and western Patagonia</t>
  </si>
  <si>
    <t>SHRIMP detrital zircon ages; Permian; O - Hf isotopes; Trinity Peninsula Group; Duque de York Complex</t>
  </si>
  <si>
    <t>MIERS BLUFF FORMATION; MARIE BYRD LAND; CRUSTAL GROWTH; IN-SITU; METAMORPHIC COMPLEXES; LIVINGSTON ISLAND; PACIFIC MARGIN; YORK COMPLEX; GEOCHRONOLOGY; PROVENANCE</t>
  </si>
  <si>
    <t>Metasedimentary rocks in the Antarctic Peninsula and south-western Patagonia record detrital zircon evidence for significant Permian magmatic events along the Palaeo-Pacific margin of south West Gondwana. However, it is unclear where and how this magmatism formed due to the lack of outcropping Permian igneous sources at similar latitudes. Combined U-Pb, O, and Lu-Hf isotope analyses of detrital zircon grains in Permo-Triassic metasedimentary rocks indicate that the Permian magmatism resulted from the interaction of crust- and mantle-derived sources in an active continental margin. Permian detrital zircons from the Trinity Peninsula Group in the Antarctic Peninsula range from crustal signatures in the northern part (delta O-18 of similar to 8 parts per thousand, initial epsilon(Hf) of similar to-6) to mantle-like values in the south (delta O-18 of similar to 5 parts per thousand, initial epsilon(Hf) of similar to+3). Zircons from the northern domain have isotopic features similar to those from the Patagonian Duque de York Complex. They also share a secondary Ordovician component of ca. 470 Ma. The Middle Jurassic Cape Wallace Beds in Low Island record a ca. 250 Ma igneous source, with stronger crustal signatures (delta O-18 and initial epsilon(Hf) values of 7.5 to 10.8 parts per thousand and 3.2 to -14.2, respectively). In contrast, zircons from the upper Jurassic Miers Bluff Formation on Livingston Island and Cretaceous sediments on James Ross Island have similar Permian U-Pb ages, O and Hf trends to their Trinity Peninsula Group counterparts, suggesting reworking after the late Jurassic. Our results provide evidence for a Permian subduction-related magmatic arc, partly located in Patagonia and extending to West Antarctica. The southerly decrease in 8180 coupled with increasing initial epsilon(Hf) indicate fewer sedimentary components in the magma source and is consistent with a glaciated cold and dry climate. These conditions are comparable with West Antarctica climate settings, located close to the South Pole during the Carboniferous and Permian. (C) 2015 International Association for Gondwana Research. Published by Elsevier B.V. All rights reserved.</t>
  </si>
  <si>
    <t>[Castillo, Paula; Fanning, C. Mark] Australian Natl Univ, Res Sch Earth Sci, Mills Rd, Canberra, ACT 0200, Australia; [Herve, Francisco] Univ Nacl Andres Bello, Escuela Ciencias Tierra, Salvador Sanfuentes 2375, Santiago, Chile; [Herve, Francisco] Univ Chile, Dept Geol, Plaza Ercilla 803, Santiago, Chile; [Pablo Lacassie, Juan] Serv Natl Geol &amp; Mineria, Unidad Geoquim, Av Santa Maria 0104, Santiago, Chile</t>
  </si>
  <si>
    <t>Australian National University; Universidad Andres Bello; Universidad de Chile</t>
  </si>
  <si>
    <t>Castillo, P (corresponding author), Australian Natl Univ, Res Sch Earth Sci, Mills Rd, Canberra, ACT 0200, Australia.</t>
  </si>
  <si>
    <t>paula.castillo@anu.edu.au</t>
  </si>
  <si>
    <t>Fanning, C. Mark/I-6449-2016; Herve, Francisco/HDO-6628-2022</t>
  </si>
  <si>
    <t>Anillo Antartico Project [ACT-105]; ANPCyT-DNA project [PICTO 0114]; CONICET project [PIP 114 00341]</t>
  </si>
  <si>
    <t>Anillo Antartico Project(Comision Nacional de Investigacion Cientifica y Tecnologica (CONICYT)CONICYT PIA/ANILLOS); ANPCyT-DNA project; CONICET project</t>
  </si>
  <si>
    <t>This work was supported by the Anillo Antartico Project (ACT-105). Field work campaigns to the Antarctic Peninsula were made thanks to the Instituto Antartico Chileno (INACH) and the Chilean Army Navy; special thanks to the crews of the Almirante Oscar Viel, Leucoton, Aquiles and Galvarino vessels. We would like to thank Captain Conrado Alvarez for taking us safely to Desolation Island in his yacht Foam; Juan Vargas and Shane Paxon for sample preparation at the U. de Chile and ANU respectively; Bin Fu and Les Kinsley for their assistance with the Hf isotopic data; Thomas Haber for discussions; Dr. E.B Olivero, Ushuaia, Argentina, for sample Re9-1 (supported by PICTO 0114 ANPCyT-DNA y PIP 114 00341 CONICET projects); and Matthew Callaghan for checking the English grammar. Constructive reviews by D. Barbeau and an anonymous referee significantly improved the manuscript.</t>
  </si>
  <si>
    <t>10.1016/j.gr.2015.07.014</t>
  </si>
  <si>
    <t>DX9GZ</t>
  </si>
  <si>
    <t>WOS:000384702900001</t>
  </si>
  <si>
    <t>Konstantinidis, P; Hilton, EJ; Matarese, AC</t>
  </si>
  <si>
    <t>Konstantinidis, P.; Hilton, E. J.; Matarese, A. C.</t>
  </si>
  <si>
    <t>New records of larval stages of the eel cod genus Muraenolepis Gunther 1880 (Gadiformes: Muraenolepididae) from the western Antarctic Peninsula</t>
  </si>
  <si>
    <t>JOURNAL OF FISH BIOLOGY</t>
  </si>
  <si>
    <t>Ichthyoplankton; fish larvae; Gadiformes; Southern Ocean</t>
  </si>
  <si>
    <t>Three newly discovered larval specimens of the genus Muraenolepis collected from the waters of the western Antarctic Peninsula are described. Knowledge of their natural history is sparse and information about their early life history is based on only a few larval stages. Here, the available literature on larval eel cods is reviewed, and the specimens placed in context. (C) 2016 The Fisheries Society of the British Isles</t>
  </si>
  <si>
    <t>[Konstantinidis, P.; Hilton, E. J.] Coll William &amp; Mary, Virginia Inst Marine Sci, Dept Fisheries Sci, 1208 Greate Rd, Gloucester Point, VA 23062 USA; [Matarese, A. C.] Natl Marine Fisheries Serv, Alaska Fisheries Sci Ctr, 7600 Sand Point Way NE, Seattle, WA 98115 USA</t>
  </si>
  <si>
    <t>William &amp; Mary; Virginia Institute of Marine Science; National Oceanic Atmospheric Admin (NOAA) - USA</t>
  </si>
  <si>
    <t>Konstantinidis, P (corresponding author), Coll William &amp; Mary, Virginia Inst Marine Sci, Dept Fisheries Sci, 1208 Greate Rd, Gloucester Point, VA 23062 USA.</t>
  </si>
  <si>
    <t>peterk@vims.edu</t>
  </si>
  <si>
    <t>Hilton, Eric/0000-0003-1742-3467</t>
  </si>
  <si>
    <t>0022-1112</t>
  </si>
  <si>
    <t>1095-8649</t>
  </si>
  <si>
    <t>J FISH BIOL</t>
  </si>
  <si>
    <t>J. Fish Biol.</t>
  </si>
  <si>
    <t>10.1111/jfb.13046</t>
  </si>
  <si>
    <t>DX3XA</t>
  </si>
  <si>
    <t>WOS:000384309300027</t>
  </si>
  <si>
    <t>Suo, YH; Li, SZ; Li, XY; Guo, LL; Wang, YM</t>
  </si>
  <si>
    <t>Suo, Yanhui; Li, Sanzhong; Li, Xiyao; Guo, Lingli; Wang, Yongming</t>
  </si>
  <si>
    <t>Crustal thickness anomalies in the Indian Ocean inferred from gravity analysis</t>
  </si>
  <si>
    <t>GEOLOGICAL JOURNAL</t>
  </si>
  <si>
    <t>Indian Ocean; gravity anomaly; crustal thickness; upper mantle</t>
  </si>
  <si>
    <t>SPREADING RATE; SEISMIC-REFRACTION; KERGUELEN PLATEAU; MANTLE FLOW; RIDGE; ATLANTIC; TEMPERATURE; VOLCANISM; DEPLETION; DYNAMICS</t>
  </si>
  <si>
    <t>Oceanic crustal thickness is a critical parameter for understanding the magmatic, tectonic and hydrothermal processes at mid-ocean ridges. Gravity anomalies can be mapped across the oceans through satellite altimetry, and these data hold valuable information about the nature and spatial variation of oceanic crust. Residual mantle Bouguer anomaly (RMBA) reflects variations in crustal thickness and crustal and mantle densities. It was simply treated as an upper mantle gravity component and a crustal gravity component in our model of a lithospheric depth. The upper mantle gravity component results from variations in mantle temperature, mantle porosity and mantle depletion due to partial melting initiating at depths of 80-100km. The crustal gravity component results from variations in crustal thickness. RMBA contributed by mantle temperature variation of 200K, mantle depletion of 5% and mantle porosity of 5% are 46, 16 and 21mGal, respectively. Upper mantle gravity variations do not exceed 46mGal, and variations in oceanic crustal thickness or deeper mantle effects have to be considered for areas with RMBA variations greater than 46mGal. Assuming a standard RMBA of a reference crust is 0mGal, we partitioned the RMBA in the Indian Ocean into three categories: negative' (less than -46mGal), normal' (between -46 and 46mGal) and positive' (&gt;46mGal), corresponding to thick, normal and thin oceanic crust, respectively. Thick oceanic crustal anomalies are associated with hotspots or plumes and are distributed along hotspot tracks. Prominent thin oceanic crustal anomalies are observed along fracture zones, around Rodriguez Triple Junction (RTJ) and Australian-Antarctic Discordance (AAD). Besides the possible effects of fracture zones, oceanic core complex or some other enigmatic deep mantle factors must be responsible for the positive gravity anomalies and crustal thinning. Copyright (c) 2016 John Wiley &amp; Sons, Ltd.</t>
  </si>
  <si>
    <t>[Suo, Yanhui; Li, Sanzhong; Li, Xiyao; Guo, Lingli; Wang, Yongming] Ocean Univ China, Coll Marine Geosci, Qingdao, Peoples R China; [Suo, Yanhui; Li, Sanzhong; Li, Xiyao; Guo, Lingli; Wang, Yongming] Minist Educ, Key Lab Submarine Geosci &amp; Prospecting Tech, Qingdao, Peoples R China; [Li, Sanzhong] Qingdao Natl Lab Marine Sci &amp; Technol, Lab Marine Geol, Qingdao, Peoples R China</t>
  </si>
  <si>
    <t>Ocean University of China; Laoshan Laboratory</t>
  </si>
  <si>
    <t>Li, SZ (corresponding author), Ocean Univ China, Dept Marine Geol, Coll Marine Geosci, 238 Songling Rd, Qingdao 266100, Peoples R China.</t>
  </si>
  <si>
    <t>sanzhong@ouc.edu.cn</t>
  </si>
  <si>
    <t>Li, Xiyao/B-6799-2016; Li, Sanzhong/F-6111-2013</t>
  </si>
  <si>
    <t>Suo, Yanhui/0000-0002-4070-8930; Li, Sanzhong/0000-0002-3436-2793</t>
  </si>
  <si>
    <t>NSFC [41502185, 41325009]; Young teachers' scientific research fund [201513006]; Taishan Scholar Program; Aoshan Elite Scientist Plan</t>
  </si>
  <si>
    <t>NSFC(National Natural Science Foundation of China (NSFC)); Young teachers' scientific research fund; Taishan Scholar Program; Aoshan Elite Scientist Plan</t>
  </si>
  <si>
    <t>This study was supported by the NSFC projects (grant nos. 41502185 and 41325009), the Young teachers' scientific research fund (no. 201513006), and Taishan Scholar Program and Aoshan Elite Scientist Plan to Prof. Sanzhong Li. We are grateful to Prof. Jian Lin and Dr Jian Zhu of Woods Hole Oceanographic Institution for providing the RMBA data and methods. Most of the figures used in this study were drawn with GMT software (Wessel and Smith, 1995). Many thanks are given to the two anonymous reviewers.</t>
  </si>
  <si>
    <t>0072-1050</t>
  </si>
  <si>
    <t>1099-1034</t>
  </si>
  <si>
    <t>GEOL J</t>
  </si>
  <si>
    <t>Geol. J.</t>
  </si>
  <si>
    <t>10.1002/gj.2786</t>
  </si>
  <si>
    <t>DW3AG</t>
  </si>
  <si>
    <t>WOS:000383513600044</t>
  </si>
  <si>
    <t>Baisden, WT; Keller, ED; Van Hale, R; Frew, RD; Wassenaar, LI</t>
  </si>
  <si>
    <t>Baisden, W. Troy; Keller, Elizabeth D.; Van Hale, Robert; Frew, Russell D.; Wassenaar, Leonard I.</t>
  </si>
  <si>
    <t>Precipitation isoscapes for New Zealand: enhanced temporal detail using precipitation-weighted daily climatology</t>
  </si>
  <si>
    <t>ISOTOPES IN ENVIRONMENTAL AND HEALTH STUDIES</t>
  </si>
  <si>
    <t>IAEA International Symposium on Isotope Hydrology - Revisiting Foundations and Exploring Frontiers</t>
  </si>
  <si>
    <t>MAY 11-15, 2015</t>
  </si>
  <si>
    <t>Int Atom Energy Agcy Headquarters, Vienna, AUSTRIA</t>
  </si>
  <si>
    <t>Int Atom Energy Agcy Headquarters</t>
  </si>
  <si>
    <t>Hydrogen-2; isoscapes; isotope hydrology; New Zealand; oxygen-18; precipitation; spatial depiction</t>
  </si>
  <si>
    <t>ISOTOPE RECORDS; RAINFALL; INTERPOLATION</t>
  </si>
  <si>
    <t>Predictive understanding of precipitation H-2 and O-18 in New Zealand faces unique challenges, including high spatial variability in precipitation amounts, alternation between subtropical and sub-Antarctic precipitation sources, and a compressed latitudinal range of 34 to 47 degrees S. To map the precipitation isotope ratios across New Zealand, three years of integrated monthly precipitation samples were acquired from &gt;50 stations. Conventional mean-annual precipitation H-2 and O-18 maps were produced by regressions using geographic and annual climate variables. Incomplete data and short-term variation in climate and precipitation sources limited the utility of this approach. We overcome these difficulties by calculating precipitation-weighted monthly climate parameters using national 5-km-gridded daily climate data. This data plus geographic variables were regressed to predict H-2, O-18, and d-excess at all sites. The procedure yields statistically-valid predictions of the isotope composition of precipitation (long-term average root mean square error (RMSE) for O-18 = 0.6 parts per thousand; H-2 = 5.5 parts per thousand); and monthly RMSE O-18 = 1.9 parts per thousand, H-2 = 16 parts per thousand. This approach has substantial benefits for studies that require the isotope composition of precipitation during specific time intervals, and may be further improved by comparison to daily and event-based precipitation samples as well as the use of back-trajectory calculations.</t>
  </si>
  <si>
    <t>[Baisden, W. Troy; Keller, Elizabeth D.] GNS Sci, Natl Isotope Ctr, Lower Hutt, New Zealand; [Van Hale, Robert; Frew, Russell D.] Univ Otago, Dept Chem, Dunedin, New Zealand; [Wassenaar, Leonard I.] IAEA, Isotope Hydrol Lab, Vienna, Austria</t>
  </si>
  <si>
    <t>GNS Science - New Zealand; University of Otago; International Atomic Energy Agency</t>
  </si>
  <si>
    <t>Baisden, WT (corresponding author), GNS Sci, Natl Isotope Ctr, Lower Hutt, New Zealand.</t>
  </si>
  <si>
    <t>t.baisden@gns.cri.nz</t>
  </si>
  <si>
    <t>Frew, Russell/I-5591-2012; Baisden, Troy/B-9831-2008; Frew, Russell/HDN-6138-2022; Keller, Elizabeth Diane/GLN-5354-2022; Wassenaar, Leonard Irwin/B-5996-2013; Keller, Elizabeth/N-9428-2019</t>
  </si>
  <si>
    <t>Frew, Russell/0000-0002-6138-2116; Baisden, Troy/0000-0003-1814-1306; Wassenaar, Leonard Irwin/0000-0001-5532-0771; Keller, Elizabeth/0000-0002-9408-9215</t>
  </si>
  <si>
    <t>1025-6016</t>
  </si>
  <si>
    <t>1477-2639</t>
  </si>
  <si>
    <t>ISOT ENVIRON HEALT S</t>
  </si>
  <si>
    <t>Isot. Environ. Health Stud.</t>
  </si>
  <si>
    <t>AUG-OCT</t>
  </si>
  <si>
    <t>4-5</t>
  </si>
  <si>
    <t>10.1080/10256016.2016.1153472</t>
  </si>
  <si>
    <t>Chemistry, Inorganic &amp; Nuclear; Environmental Sciences</t>
  </si>
  <si>
    <t>Chemistry; Environmental Sciences &amp; Ecology</t>
  </si>
  <si>
    <t>DW8RS</t>
  </si>
  <si>
    <t>WOS:000383923800003</t>
  </si>
  <si>
    <t>Ekaykin, AA; Lipenkov, VY; Kozachek, AV; Vladimirova, DO</t>
  </si>
  <si>
    <t>Ekaykin, Alexey A.; Lipenkov, Vladimir Y.; Kozachek, Anna V.; Vladimirova, Diana O.</t>
  </si>
  <si>
    <t>Stable water isotopic composition of the Antarctic subglacial Lake Vostok: implications for understanding the lake's hydrology</t>
  </si>
  <si>
    <t>Antarctica; deuterium excess; hydrogen-2; ice core; isotope fractionation; isotope hydrology; lake vostok; oxygen-18; subglacial lake</t>
  </si>
  <si>
    <t>ICE</t>
  </si>
  <si>
    <t>We estimated the stable isotopic composition of water from the subglacial Lake Vostok using two different sets of samples: (1) water frozen on the drill bit immediately after the first lake unsealing and (2) water frozen in the borehole after the unsealing and re-drilled one year later. The most reliable values of the water isotopic composition are: -59.0 +/- 0.3 parts per thousand for oxygen-18, -455 +/- 1 parts per thousand for deuterium and 17 +/- 1 parts per thousand for d-excess. This result is also confirmed by the modelling of isotopic transformations in the water which froze in the borehole, and by a laboratory experiment simulating this process. A comparison of the newly obtained water isotopic composition with that of the lake ice (-56.2 parts per thousand for oxygen-18, -442.4 parts per thousand for deuterium and 7.2 parts per thousand for d-excess) leads to the conclusion that the lake ice is very likely formed in isotopic equilibrium with water. In turn, this means that ice is formed by a slow freezing without formation of frazil ice crystals and/or water pockets. This conclusion agrees well with the observed physical and chemical properties of the lake's accreted ice. However, our estimate of the water's isotopic composition is only valid for the upper water layer and may not be representative for the deeper layers of the lake, so further investigations are required.</t>
  </si>
  <si>
    <t>[Ekaykin, Alexey A.; Lipenkov, Vladimir Y.; Kozachek, Anna V.; Vladimirova, Diana O.] AARI, St Petersburg, Russia; [Ekaykin, Alexey A.; Vladimirova, Diana O.] St Petersburg State Univ, Inst Earth Sci, St Petersburg, Russia</t>
  </si>
  <si>
    <t>Arctic &amp; Antarctic Research Institute; Saint Petersburg State University</t>
  </si>
  <si>
    <t>Ekaykin, AA (corresponding author), AARI, St Petersburg, Russia.;Ekaykin, AA (corresponding author), St Petersburg State Univ, Inst Earth Sci, St Petersburg, Russia.</t>
  </si>
  <si>
    <t>ekaykin@aari.ru</t>
  </si>
  <si>
    <t>Kozachek, Anna V./Q-4543-2016; Ekaykin, Alexey A./K-9894-2015; Kozachek, Anna V./JCE-4791-2023; Lipenkov, Vladimir/Q-8262-2016</t>
  </si>
  <si>
    <t>Kozachek, Anna V./0000-0002-9704-8064; Vladimirova, Diana/0000-0002-1678-0174; Lipenkov, Vladimir/0000-0003-4221-5440</t>
  </si>
  <si>
    <t>Russian Science Foundation [14-27-00030] Funding Source: Russian Science Foundation</t>
  </si>
  <si>
    <t>Russian Science Foundation(Russian Science Foundation (RSF))</t>
  </si>
  <si>
    <t>10.1080/10256016.2015.1129327</t>
  </si>
  <si>
    <t>WOS:000383923800014</t>
  </si>
  <si>
    <t>Edwards, AE; Johnson, E; Coor, JL; Jagoe, CH; Sachi-Kocher, A; Kenney, WF</t>
  </si>
  <si>
    <t>Edwards, Amy E.; Johnson, Elijah; Coor, Jennifer L.; Jagoe, Charles H.; Sachi-Kocher, Afi; Kenney, William F.</t>
  </si>
  <si>
    <t>HISTORICAL RECORD OF ATMOSPHERIC DEPOSITION OF METALS AND δ15N IN AN OMBROTROPHIC KARST SINKHOLE FEN, SOUTH CAROLINA, USA</t>
  </si>
  <si>
    <t>JOURNAL OF CAVE AND KARST STUDIES</t>
  </si>
  <si>
    <t>ISOTOPE COMPOSITION; MERCURY DEPOSITION; ORGANIC-MATTER; POLLUTION HISTORY; LAKE-SEDIMENTS; WATER; LEAD; CONTAMINATION; CHRONOLOGY; ONTARIO</t>
  </si>
  <si>
    <t>Radiometric Pb-210 dating, metal concentrations [As, Cd, Cr, Cu, Hg, Pb and Zn] and nitrogen-isotope (delta N-15) analyses were conducted on a sediment core from an ombrotrophic karst sinkhole fen in South Carolina, USA, to obtain a historical record of nitrogen signatures and atmospherically deposited metals from increased anthropogenic emissions during the last several decades. Sinkhole fens in carbonate karst terrains are excellent environs for sediment core dating and metal analysis due to the low background metal concentrations in carbonates, as well as the alkaline nature of carbonates and the high organic-matter content in fens, both of which reduce mobility of metals in soils. Metal concentrations were found for the top twenty 1 cm intervals of the core and the bottom at 56 cm. Intervals 21-55 cm were analyzed only for Hg and organic-matter content due to financial constraints. The sinkhole fen in the study is ombrotrophic and receives metal inputs primarily through wet and dry atmospheric deposition, and the 20 cm deep sample had a Pb-210 CRS age of 1954. Metals with significant (p &lt; 0.05) negative correlations with core depth were (negative correlation, sample size): Hg (-0.8948, n = 56), Pb (-0.9308, n = 21), Zn (-0.6299, n = 21), Cd (-0.5023, n = 21), and Cu (-0.5156, n = 21). In view of the low background concentrations of these five metals from limestone found in the sinkhole, atmospheric deposition from anthropogenic emissions is likely the predominant source for these increasing concentrations. As (+0.4431, n = 21) had a significant (p &lt; 0.05) positive correlation with core depth, while Cr (+0.2761, n = 21) was the only metal with no significant correlation with core depth. Although delta N-15 is shown in other studies to deplete upward in sediment cores due to increasing reactive nitrogen emissions, the sinkhole core in this study had no significant correlation (+0.2580, n = 21) between delta N-15 and depth. Total carbon, total nitrogen, total phosphorus, and organic-matter content were also measured in intervals 1-20 and 56 cm and found to have several significant (p &lt; 0.05) correlations with depth, metals, and delta N-15.</t>
  </si>
  <si>
    <t>[Edwards, Amy E.] Hanover Cty Govt, Hanover, VA 23116 USA; [Johnson, Elijah; Jagoe, Charles H.] Florida A&amp;M Univ, Sch Environm, Tallahassee, FL 32307 USA; [Coor, Jennifer L.] US Army, Corps Engineers, Jacksonville, FL 32207 USA; [Sachi-Kocher, Afi] Florida State Univ, Natl High Magnet Field Lab, Tallahassee, FL 32306 USA; [Kenney, William F.] Univ Florida, Land Use &amp; Environm Change Inst, Gainesville, FL 32611 USA</t>
  </si>
  <si>
    <t>State University System of Florida; Florida A&amp;M University; United States Department of Defense; United States Army; U.S. Army Corps of Engineers; State University System of Florida; Florida State University; State University System of Florida; University of Florida</t>
  </si>
  <si>
    <t>Edwards, AE (corresponding author), Hanover Cty Govt, Hanover, VA 23116 USA.</t>
  </si>
  <si>
    <t>aeedwards@hanovercounty.gov</t>
  </si>
  <si>
    <t>National Oceanic and Atmospheric Administration's Education Partnership Program [NA60AAR4810164]; Environmental Cooperative Science Center housed at Florida AM University</t>
  </si>
  <si>
    <t>National Oceanic and Atmospheric Administration's Education Partnership Program; Environmental Cooperative Science Center housed at Florida AM University</t>
  </si>
  <si>
    <t>Funding for the project was provided by the National Oceanic and Atmospheric Administration's Education Partnership Program through a cooperative agreement (NA60AAR4810164) with the Environmental Cooperative Science Center housed at Florida A&amp;M University. The authors would like to thank Valerie-Carter Stone with the South Carolina Department of Parks, Recreation and Tourism for permit N-16-12 to sample the sinkhole in Santee State Park. We also thank Dan Phelps and Harvey Guy Means at the Florida Geological Survey; Steven Petrushak and Dr. Charlotte Sjunneskog at the Florida State University Antarctic Research Facility; Angela Dial at National High Magnetic Field Laboratory; William Burnett at Florida State University Department of Oceanography; Mark Malsick of South Carolina Department of Natural Resources; Henry Porter and Elzbieta Covington at South Carolina Department of Health and Environmental Control; and Christy Crandall at Florida A&amp;M University. The authors would also like to thank Benjamin Schwartz and anonymous reviewers for improving the manuscript.</t>
  </si>
  <si>
    <t>NATL SPELEOLOGICAL SOC</t>
  </si>
  <si>
    <t>HUNTSVILLE</t>
  </si>
  <si>
    <t>2813 CAVE AVE, HUNTSVILLE, AL 35810-4431 USA</t>
  </si>
  <si>
    <t>1090-6924</t>
  </si>
  <si>
    <t>2331-3714</t>
  </si>
  <si>
    <t>J CAVE KARST STUD</t>
  </si>
  <si>
    <t>J. Cave Karst Stud.</t>
  </si>
  <si>
    <t>10.4311/2014ES0109</t>
  </si>
  <si>
    <t>DW7GX</t>
  </si>
  <si>
    <t>WOS:000383820300004</t>
  </si>
  <si>
    <t>Jaikumar, NS; Snapp, SS; Sharkey, TD</t>
  </si>
  <si>
    <t>Jaikumar, Nikhil S.; Snapp, Sieglinde S.; Sharkey, Thomas D.</t>
  </si>
  <si>
    <t>Older Thinopyrum intermedium (Poaceae) plants exhibit superior photosynthetic tolerance to cold stress and greater increases in two photosynthetic enzymes under freezing stress compared with young plants</t>
  </si>
  <si>
    <t>JOURNAL OF EXPERIMENTAL BOTANY</t>
  </si>
  <si>
    <t>Age; chilling; cold; freezing; perennial; photosynthesis; Thinopyrum</t>
  </si>
  <si>
    <t>PHOSPHATE SYNTHASE ACTIVITY; ANTARCTIC VASCULAR PLANTS; GAS-EXCHANGE; LOW-TEMPERATURE; LIMITED PHOTOSYNTHESIS; COLOBANTHUS-QUITENSIS; SHORT-TERM; LEAVES; WINTER; RUBISCO</t>
  </si>
  <si>
    <t>We explore interactive effects of plant age and cold stress on photosynthetic rates and key photosynthetic enzymes in a herbaceous perennial in the field.Effects of plant age on resource acquisition and stress tolerance processes is a largely unstudied subject in herbaceous perennials. In a field experiment, we compared rates of photosynthesis (A), ribulose-1,5-bisphosphate (RuBP) carboxylation capacity (V (Cmax)), maximum electron transport rate (J (max)), and triose phosphate utilization (TPU), as well as concentrations of Rubisco and sucrose-phosphate synthase (SPS) in 5-year-old and 2-year-old intermediate wheatgrass (Thinopyrum intermedium) under both optimal growing conditions and cold stress in early spring and autumn. This species is a relative of wheat undergoing domestication. An additional experiment compared photosynthetic rates in different cohorts at mid-season and under colder conditions. We hypothesized that photosynthetic capacity in older plants would be lower under favorable conditions but higher under cold stress. Our hypothesis was generally supported. Under cold stress, 5-year-old plants exhibited higher A, TPU, and temperature-adjusted V (Cmax) than younger plants, as well as 50% more SPS and 37% more Rubisco. In contrast, at mid-season, photosynthetic capacities in older plants were lower than in younger plants in one experiment, and similar in the other, independent of differences in water status. Both cohorts increased A, temperature-adjusted TPU and J (max), [Rubisco], and [SPS] under cold stress, but changes were greater in older plants. Photosynthetic differences were largest at 1.2 A(0)C in very early spring, where older plants had 200% higher A and maintained up to 17% of their peak photosynthetic capacity. We find evidence of increased cold tolerance in older cohorts of wheatgrass, consistent with a growing body of research in woody perennials.</t>
  </si>
  <si>
    <t>[Jaikumar, Nikhil S.] Univ Illinois, Inst Genom Biol, 1206 West Gregory Dr, Urbana, IL 61821 USA; [Snapp, Sieglinde S.] Michigan State Univ, Program Ecol Evolutionary Biol &amp; Behav, E Lansing, MI 48824 USA; [Snapp, Sieglinde S.] Michigan State Univ, Dept Plant Soil &amp; Microbial Sci, 1066 Bogue St, E Lansing, MI 48824 USA; [Sharkey, Thomas D.] Michigan State Univ, Dept Biochem &amp; Mol Biol, 603 Wilson Rd, E Lansing, MI 48824 USA</t>
  </si>
  <si>
    <t>University of Illinois System; University of Illinois Urbana-Champaign; Michigan State University; Michigan State University; Michigan State University</t>
  </si>
  <si>
    <t>Jaikumar, NS (corresponding author), Univ Illinois, Inst Genom Biol, 1206 West Gregory Dr, Urbana, IL 61821 USA.</t>
  </si>
  <si>
    <t>jaikumar@igb.illinois.edu</t>
  </si>
  <si>
    <t>Sharkey, Thomas/ABF-1317-2020; Snapp, Sieg/GWQ-5774-2022; Sharkey, Thomas D/B-4032-2009</t>
  </si>
  <si>
    <t>Sharkey, Thomas/0000-0002-4423-3223; Snapp, Sieg/0000-0002-9738-0649;</t>
  </si>
  <si>
    <t>USDA Organic Agriculture Research and Extension Initiative (OREI) project on 'Practical Perennials: Partnering with Farmers to Develop a New Type of Wheat Crop'; National Science Foundation-Long-term Ecological Research at the W.K. Kellogg Biological Station; Direct For Biological Sciences; Division Of Environmental Biology [1027253] Funding Source: National Science Foundation</t>
  </si>
  <si>
    <t>USDA Organic Agriculture Research and Extension Initiative (OREI) project on 'Practical Perennials: Partnering with Farmers to Develop a New Type of Wheat Crop'; National Science Foundation-Long-term Ecological Research at the W.K. Kellogg Biological Station; Direct For Biological Sciences; Division Of Environmental Biology(National Science Foundation (NSF)NSF - Directorate for Biological Sciences (BIO))</t>
  </si>
  <si>
    <t>Gracious acknowledgements are due to Lee DeHaan for seed and discussion of yield declines in wheatgrass; to John Green, Rich Price, Camila Marquez, Arreana Jackson, and Mark Freeman for field and lab assistance; to Janet Lewis for assistance with planting: to Wayne Loescher, Bert Cregg, and Stephen Long for equipment; to Danielle Zoellner-Kelly and Dan Kane for editorial assistance; to Doug Stram and Nathan Brouwer for statistical advice; and to Deborah Roach and Christine Sprunger for helpful ideas. The authors acknowledge financial support from the USDA Organic Agriculture Research and Extension Initiative (OREI) project on 'Practical Perennials: Partnering with Farmers to Develop a New Type of Wheat Crop', and from the National Science Foundation-funded Long-term Ecological Research at the W.K. Kellogg Biological Station.</t>
  </si>
  <si>
    <t>0022-0957</t>
  </si>
  <si>
    <t>1460-2431</t>
  </si>
  <si>
    <t>J EXP BOT</t>
  </si>
  <si>
    <t>J. Exp. Bot.</t>
  </si>
  <si>
    <t>10.1093/jxb/erw253</t>
  </si>
  <si>
    <t>DV9BD</t>
  </si>
  <si>
    <t>WOS:000383233400026</t>
  </si>
  <si>
    <t>Santibáñez, PA; McConnell, JR; Priscu, JC</t>
  </si>
  <si>
    <t>Santibanez, Pamela A.; McConnell, Joseph R.; Priscu, John C.</t>
  </si>
  <si>
    <t>A flow cytometric method to measure prokaryotic records in ice cores: an example from the West Antarctic Ice Sheet Divide drilling site</t>
  </si>
  <si>
    <t>ice biology; ice core; microbiology; paleoclimate; prokaryotes</t>
  </si>
  <si>
    <t>NUCLEIC-ACID CONTENT; FREEZE-THAW DAMAGE; ESCHERICHIA-COLI; SYTOX GREEN; MICROBIAL DIVERSITY; DIELECTRIC-BREAKDOWN; BACTERIAL VIABILITY; PLANKTONIC BACTERIA; LAST DEGLACIATION; WARMING VELOCITY</t>
  </si>
  <si>
    <t>Microorganisms were the earliest inhabitants on our planet that occupy nearly every environment, and play a major role in biogeochemical cycles. Despite their global importance, there remains a paucity of data on microbial responses to long-term environmental and climatic changes. Microorganisms are known to be immured in glacial ice, but no high-resolution temporal records of their density exist, owing in large part to the lack of appropriate clean methodology that allows for rapid analysis of samples over depth. We describe a clean and time efficient method that can produce a high-temporal resolution record of prokaryotic density archived in ice cores. The method combines acquisition of discrete samples using a continuous ice-core melting system coupled with flow cytometry (FCM) of DNA-stained samples. Specifically, we evaluate the performance of the FCM measurement technique in terms of specificity, precision, accuracy and minimum detection limits. Examples from the West Antarctic Ice Sheet Divide ice core are included to show the efficacy of the method.</t>
  </si>
  <si>
    <t>[Santibanez, Pamela A.; Priscu, John C.] Montana State Univ, Dept Land Resources &amp; Environm Sci, Bozeman, MT 59717 USA; [McConnell, Joseph R.] Nevada Syst Higher Educ, Desert Res Inst, Reno, NV USA</t>
  </si>
  <si>
    <t>Montana State University System; Montana State University Bozeman; Nevada System of Higher Education (NSHE); Desert Research Institute NSHE</t>
  </si>
  <si>
    <t>Santibáñez, PA (corresponding author), Montana State Univ, Dept Land Resources &amp; Environm Sci, Bozeman, MT 59717 USA.</t>
  </si>
  <si>
    <t>p.santibanez.avila@gmail.com</t>
  </si>
  <si>
    <t>Santibanez, Pamela/HII-2820-2022</t>
  </si>
  <si>
    <t>Santibanez, Pamela/0000-0001-7022-3232</t>
  </si>
  <si>
    <t>US National Science Foundation (NSF) [0440943, 0839075, 0839093]; Chile Fulbright-CONICYT Scholarship; NSF [0230396, 0440817, 0944348, 0944266]; National Science Foundation Division of Polar Programs; Directorate For Geosciences; Division Of Polar Programs [0440943, 0839075, 0230396] Funding Source: National Science Foundation; Directorate For Geosciences; Office of Polar Programs (OPP) [1142166] Funding Source: National Science Foundation; Office of Polar Programs (OPP); Directorate For Geosciences [0944266] Funding Source: National Science Foundation</t>
  </si>
  <si>
    <t>US National Science Foundation (NSF)(National Science Foundation (NSF)); Chile Fulbright-CONICYT Scholarship; NSF(National Science Foundation (NSF)); National Science Foundation Division of Polar Programs(National Science Foundation (NSF)); Directorate For Geosciences; Division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</si>
  <si>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by US National Science Foundation (NSF) grants 0440943, 0839075 and 0839093. P. Santibanez was funded by Chile Fulbright-CONICYT Scholarship. We thank J. D'Adrilli, O. Maselli, M. Sigl, D. Pasteris and others for assistance with ice-core melting and discrete sample collection, M. Skidmore for glacial sediments, C. Foreman and A. Michaud for bacterial isolates and T. Ranalli, T. Vick-Majors, M. Skidmore and A. Chiuchiolo for reading earlier versions of the manuscript. The authors appreciate the support of the WAIS Divide Science Coordination Office at the Desert Research Institute, Reno, NE, USA and University of New Hampshire, USA, for the collection and distribution of the WAIS Divide ice core and related tasks (NSF Grants 0230396, 0440817, 0944348; and 0944266). Kendrick Taylor led the field effort that collected the samples. The National Science Foundation Division of Polar Programs also funded the Ice Drilling Program Office (IDPO) and Ice Drilling Design and Operations (IDDO) group for coring activities; the National Ice Core Laboratory for curation of the core; the Antarctic Support Contractor for logistics support in Antarctica; and the 109th New York Air National Guard for airlift in Antarctica.</t>
  </si>
  <si>
    <t>10.1017/jog.2016.50</t>
  </si>
  <si>
    <t>DW8DG</t>
  </si>
  <si>
    <t>WOS:000383883000004</t>
  </si>
  <si>
    <t>MacDonell, S; Sharp, M; Fitzsimons, S</t>
  </si>
  <si>
    <t>MacDonell, Shelley; Sharp, Martin; Fitzsimons, Sean</t>
  </si>
  <si>
    <t>Cryoconite hole connectivity on the Wright Lower Glacier, McMurdo Dry Valleys, Antarctica</t>
  </si>
  <si>
    <t>cryoconite hole; glacier hydrology; glaciochemistry; supraglacial hydrology</t>
  </si>
  <si>
    <t>CANADA GLACIER; TAYLOR VALLEY; SEA-SALT; SNOW; COMMUNITIES; EVOLUTION; RUNOFF; ICE</t>
  </si>
  <si>
    <t>Cryoconite holes can be important sources and stores of water and nutrients on cold and polythermal glaciers, and they provide a habitat for various forms of biota. Understanding the hydrological connectivity of cryoconite holes may be the key to understanding the transport of nutrients and biological material to the proglacial areas of such glaciers. This paper aims to characterize and explain spatial variability in the connectivity of ice-lidded cryoconite holes on a small, piedmont glacier in the McMurdo Dry Valleys through geochemical analysis of cryoconite hole waters. Solute concentrations in both surface and near-surface ice and cryoconite holes, vary greatly along the glacier centerline, and all sample types displayed similar spatial patterns of variability. Using chloride as a tracer, we estimated variations in cryoconite hole connectivity along the glacier centerline. We found that a previously used mass transfer method did not provide reliable estimates of the time period for which cryoconite hole waters had been isolated from the atmosphere. We attribute this to spatial variability in both the chloride content of the surface ice and surface ablation rates. The approach may, however, be used to qualitatively characterize spatial variations in the hydrological connectivity of the cryoconite holes. These results also suggest that ice-lidded cryoconite holes are never truly isolated from the near-surface drainage system.</t>
  </si>
  <si>
    <t>[MacDonell, Shelley] Univ La Serena, CEAZA, Campus Andres Bello,Raul Bitran 1305, La Serena, Chile; [MacDonell, Shelley; Fitzsimons, Sean] Univ Otago, Dept Geog, POB 56, Dunedin, New Zealand; [Sharp, Martin] Univ Alberta, Dept Earth &amp; Atmospher Sci, Edmonton, AB T6G 2E3, Canada</t>
  </si>
  <si>
    <t>Universidad de La Serena; University of Otago; University of Alberta</t>
  </si>
  <si>
    <t>MacDonell, S (corresponding author), Univ La Serena, CEAZA, Campus Andres Bello,Raul Bitran 1305, La Serena, Chile.;MacDonell, S (corresponding author), Univ Otago, Dept Geog, POB 56, Dunedin, New Zealand.</t>
  </si>
  <si>
    <t>shelley.macdonell@ceaza.cl</t>
  </si>
  <si>
    <t>MacDonell, Shelley/J-2480-2016</t>
  </si>
  <si>
    <t>MacDonell, Shelley/0000-0001-9641-4547</t>
  </si>
  <si>
    <t>University of Otago Postgraduate Scholarship; Sir Robin Irvine Antarctica New Zealand Doctoral Scholarship; University of Otago Postgraduate Publishing Bursary; Canadian Arctic-Antarctic Exchange Program (Natural Resources Canada); NSERC; University of Otago Research Grant</t>
  </si>
  <si>
    <t>University of Otago Postgraduate Scholarship; Sir Robin Irvine Antarctica New Zealand Doctoral Scholarship; University of Otago Postgraduate Publishing Bursary; Canadian Arctic-Antarctic Exchange Program (Natural Resources Canada); NSERC(Natural Sciences and Engineering Research Council of Canada (NSERC)); University of Otago Research Grant</t>
  </si>
  <si>
    <t>Financial assistance for S. M. was provided by a University of Otago Postgraduate Scholarship, the Sir Robin Irvine Antarctica New Zealand Doctoral Scholarship and the University of Otago Postgraduate Publishing Bursary. M. S. acknowledges support from the Canadian Arctic-Antarctic Exchange Program (Natural Resources Canada) and an NSERC Discovery Grant. Financial support for S. F. was provided by a University of Otago Research Grant. Logistical support was provided by Antarctica New Zealand. We are grateful for field assistance provided by Lawrence Kees, Laurel Morrison, Dorothea Stumm and Ben Varkalis and to Tracy Connolly for drawing Fig. 1. Fantastic helicopter support was provided by Helicopters NZ pilot Rob McPhail. We are grateful for insightful comments from the two reviewers.</t>
  </si>
  <si>
    <t>10.1017/jog.2016.62</t>
  </si>
  <si>
    <t>WOS:000383883000008</t>
  </si>
  <si>
    <t>Chang, YC; Fuzisawa, S; Reddy, MV; Kobayashi, H; Yoshida, E; Yajima, Y; Hoshino, T; Choi, D</t>
  </si>
  <si>
    <t>Chang, Young-Cheol; Fuzisawa, Soichiro; Reddy, Motakatla Venkateswar; Kobayashi, Hikari; Yoshida, Eri; Yajima, Yuka; Hoshino, Tamotsu; Choi, DuBok</t>
  </si>
  <si>
    <t>Degradation of Toxic Compounds at Low and Medium Temperature Conditions Using Isolated Fungus</t>
  </si>
  <si>
    <t>CLEAN-SOIL AIR WATER</t>
  </si>
  <si>
    <t>4-Butylphenol; Alkylphenol; Antarctic; Cold regions; Penicillium sp CHY-2</t>
  </si>
  <si>
    <t>BIODEGRADATION; SOIL; BIOREMEDIATION; PHENANTHRENE; SURFACTANTS; REMOVAL; PHENOL; CARBON; PYRENE; WATER</t>
  </si>
  <si>
    <t>In the present study, a fungal strain isolated from the Antarctic soil was identified as Penicillium sp. CHY-2 based on its 5.8S rRNA gene sequence analysis. Furthermore, its biodegradation ability towards 13 different toxic compounds such as 4-butylphenol (4-BP), 4-sec-butylphenol (4-s-BP), 4-tert-butylphenol (4-t-BP), 4-nonylphenol (4-NP), 4-tertoctylphenol (4-t-OP), 4-chlorophenol (4-CP), phenol, bisphenol A (BPA), benzene, toluene, xylene, naphthalene, and phenanthrene at low (4 degrees C) and medium (15 degrees C) temperature conditions was evaluated using high pressure liquid chromatography. Among the 13 compounds, the strain CHY-2 effectively degraded the six compounds i.e., 4-BP, 4-s-BP, 4-t-BP, 4-NP, 4-CP, and phenol at 15 degrees C within one week, and at 4 degrees C within 3weeks. Also CHY-2 effectively degraded the 4-t-OP at 15 degrees C (70%), but not at 4 degrees C (35%). Among different carbon sources tested, glucose was found to be the most suitable and the growth of CHY-2 at 4 degrees C was slower than at 15 degrees C. Addition of Tween 80 increased the growth and degradation ability of CHY-2 towards 4-BP at 4 and 15 degrees C. The metabolites produced during the degradation of 4-BP were identified by gas chromatography-mass spectrometry. Also, bacteria present in the Antarctic soil were determined by denaturing gradient gel electrophoresis and the result showed the presence of Pseudomonas and Syntrophus groups of bacteria.</t>
  </si>
  <si>
    <t>[Chang, Young-Cheol; Fuzisawa, Soichiro; Reddy, Motakatla Venkateswar; Kobayashi, Hikari; Yoshida, Eri] Muroran Inst Technol, Dept Appl Sci, Coll Environm Technol, 27-1 Mizumoto, Muroran, Hokkaido 0508585, Japan; [Yajima, Yuka] Kyoto Univ, Grad Sch Med, Sakyo Ku, Yoshidakonoe Cho, Kyoto, Kyoto, Japan; [Hoshino, Tamotsu] Natl Inst Adv Ind Sci &amp; Technol, Biomass Refinery Res Ctr, Hiroshima, Japan; [Hoshino, Tamotsu] Natl Inst Adv Ind Sci &amp; Technol, Bioprod Res Inst, Toyohira Ku, Sapporo, Hokkaido, Japan; [Choi, DuBok] BK Co R&amp;D Ctr, Biotechnol Lab, Gunsan, South Korea; [Choi, DuBok] Chungbuk Natl Univ, Coll Pharm, Dept Pharm, Cheongju, South Korea</t>
  </si>
  <si>
    <t>Muroran Institute of Technology; Kyoto University; National Institute of Advanced Industrial Science &amp; Technology (AIST); National Institute of Advanced Industrial Science &amp; Technology (AIST); Chungbuk National University</t>
  </si>
  <si>
    <t>Chang, YC (corresponding author), Muroran Inst Technol, Dept Appl Sci, Coll Environm Technol, 27-1 Mizumoto, Muroran, Hokkaido 0508585, Japan.</t>
  </si>
  <si>
    <t>Ychang@mmm.muroran-it.ac.jp</t>
  </si>
  <si>
    <t>HOSHINO, Tamotsu/R-2959-2019; Motakatla, Venkateswer Reddy/AAT-4203-2021; Hoshino, Tamotsu/F-3357-2017; Reddy, M Venkateswar/E-5535-2012; Chang, Young-Cheol/U-4910-2017</t>
  </si>
  <si>
    <t>Motakatla, Venkateswer Reddy/0000-0001-5944-5395; Chang, Young-Cheol/0000-0002-6197-5974</t>
  </si>
  <si>
    <t>Ministry of Education, Culture, Sports, Science and Technology of Japan [26340067]; Grants-in-Aid for Scientific Research [26340067]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</si>
  <si>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</si>
  <si>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This work was supported by a Grant-in-Aid for Scientific Research (No. 26340067) from the Ministry of Education, Culture, Sports, Science and Technology of Japan.</t>
  </si>
  <si>
    <t>1863-0650</t>
  </si>
  <si>
    <t>1863-0669</t>
  </si>
  <si>
    <t>Clean-Soil Air Water</t>
  </si>
  <si>
    <t>10.1002/clen.201500753</t>
  </si>
  <si>
    <t>Green &amp; Sustainable Science &amp; Technology; Environmental Sciences; Marine &amp; Freshwater Biology; Water Resources</t>
  </si>
  <si>
    <t>Science &amp; Technology - Other Topics; Environmental Sciences &amp; Ecology; Marine &amp; Freshwater Biology; Water Resources</t>
  </si>
  <si>
    <t>DV2TS</t>
  </si>
  <si>
    <t>WOS:000382775000010</t>
  </si>
  <si>
    <t>Marson, JM; Mysak, LA; Mata, MM; Wainer, I</t>
  </si>
  <si>
    <t>Marson, Juliana M.; Mysak, Lawrence A.; Mata, Mauricio M.; Wainer, Ilana</t>
  </si>
  <si>
    <t>Evolution of the deep Atlantic water masses since the last glacial maximum based on a transient run of NCAR-CCSM3</t>
  </si>
  <si>
    <t>MOC; Paleoceanography; Meltwater; Modeling climate change; Millennial time scale</t>
  </si>
  <si>
    <t>MERIDIONAL OVERTURNING CIRCULATION; PAST 20,000 YEARS; NORTH-ATLANTIC; THERMOHALINE CIRCULATION; ICE-AGE; INTERGLACIAL PERIOD; OCEAN CIRCULATION; CLIMATE CHANGES; SOUTHERN-OCEAN; LABRADOR SEA</t>
  </si>
  <si>
    <t>During the last deglaciation (from approximately 21 to 11 thousand years ago), the high latitudes of the Atlantic Ocean underwent major changes. Besides the continuous warming, the polar and subpolar ocean surface received a large amount of meltwater from the retracting ice sheets. These changes in temperature and salinity affected deep waters, such as the Antarctic Bottom Water (AABW) and the North Atlantic Deep Water (NADW), which are formed in the Southern Ocean and in the northern North Atlantic, respectively. In this study, we present the evolution of the physical properties and distribution of the AABW and the NADW since the last glacial maximum using the results of a transient simulation with NCAR-CCSM3. In this particular model scenario with a schematic freshwater forcing, we find that modern NADW, with its characteristic salinity maximum at depth, was absent in the beginning of the deglaciation, while its intermediate version-Glacial North Atlantic Intermediate Water (GNAIW)-was being formed. GNAIW was a cold and relatively fresh water mass that dominated intermediate depths between 60 and 20 degrees N. At this time, most of the deep and abyssal Atlantic basin was dominated by AABW. Within the onset of the Bolling-Allerod period, at nearly 15 thousand years ago (ka), GNAIW expanded southwards when the simulated Meridional Overturning Circulation overshoots. The transition between GNAIW and NADW ocurred after that, when AABW was fresh enough to allow NADW to sink deeper in the water column. When the NADW appears (similar to 11 ka), AABW retracts and is constrained to lie near the bottom.</t>
  </si>
  <si>
    <t>[Marson, Juliana M.; Wainer, Ilana] Univ Sao Paulo, Inst Oceanog, Sao Paulo, SP, Brazil; [Mysak, Lawrence A.] McGill Univ, Dept Atmospher &amp; Ocean Sci, Montreal, PQ, Canada; [Mata, Mauricio M.] Univ Fed Rio Grande FURG, Inst Oceanog, Rio Grande, RS, Brazil</t>
  </si>
  <si>
    <t>Universidade de Sao Paulo; McGill University; Universidade Federal do Rio Grande</t>
  </si>
  <si>
    <t>Marson, JM (corresponding author), Univ Sao Paulo, Inst Oceanog, Sao Paulo, SP, Brazil.</t>
  </si>
  <si>
    <t>jmarson@usp.br</t>
  </si>
  <si>
    <t>Marson, Juliana/KFR-2283-2024; Mata, Mauricio M/H-4605-2011; WAINER, ILANA/B-4540-2011</t>
  </si>
  <si>
    <t>Marson, Juliana/0000-0001-5074-7370; WAINER, ILANA/0000-0003-3784-623X</t>
  </si>
  <si>
    <t>Fundacao de Amparo a Pesquisa do Estado de Sao Paulo (FAPESP) [2011/02047-9, 2013/209779]; Fundacao de Amparo a Pesquisa do Estado de Sao Paulo (FAPESP) [11/02047-9] Funding Source: FAPESP</t>
  </si>
  <si>
    <t>Fundacao de Amparo a Pesquisa do Estado de Sao Paulo (FAPESP)(Fundacao de Amparo a Pesquisa do Estado de Sao Paulo (FAPESP)); Fundacao de Amparo a Pesquisa do Estado de Sao Paulo (FAPESP)(Fundacao de Amparo a Pesquisa do Estado de Sao Paulo (FAPESP))</t>
  </si>
  <si>
    <t>This work was carried out when JMM was a visiting graduate student trainee in the Department of Atmospheric and Oceanic Sciences (AOS) at McGill University (December 2013-November 2014). JMM wishes to thank the AOS for their hospitality and office facilities during this period. Helpful discussions with Marcos Tonelli, Rodrigo Kerr, Dr. Jaime Palter, Dr. Peter Gent and Marc-Olivier Brault during the course of this research are also gratefully acknowledged. We thank the editor and reviewers for their comments and suggestions, which greatly improved this paper. This work was supported by the Fundacao de Amparo a Pesquisa do Estado de Sao Paulo (FAPESP) through the Grants 2011/02047-9 and 2013/209779, and is a contribution to INCT-Criosfera. We wish to thank P2C2 program/NSF, Abrupt Change Program/DOE, INCITE program/DOE, NCAR and Bette Otto-Bliesner for making the TraCE-21K simulation available.</t>
  </si>
  <si>
    <t>3-4</t>
  </si>
  <si>
    <t>10.1007/s00382-015-2876-7</t>
  </si>
  <si>
    <t>DU3LE</t>
  </si>
  <si>
    <t>WOS:000382111300013</t>
  </si>
  <si>
    <t>Marfenina, OE; Nikitin, DA; Ivanova, AE</t>
  </si>
  <si>
    <t>Marfenina, O. E.; Nikitin, D. A.; Ivanova, A. E.</t>
  </si>
  <si>
    <t>The Structure of Fungal Biomass and Diversity of Cultivated Micromycetes in Antarctic Soils (Progress and Russkaya Stations)</t>
  </si>
  <si>
    <t>EURASIAN SOIL SCIENCE</t>
  </si>
  <si>
    <t>fungi; biodiversity; biomass; live and dead propagules</t>
  </si>
  <si>
    <t>MICROBIAL BIOMASS; LAND</t>
  </si>
  <si>
    <t>The distribution of the fungal biomass and diversity of cultivated microscopic fungi in the profiles of some soils from East (Progress Station, valleys of the Larsemann Hills oasis) and West (Russkaya Station, the Marie Byrd Land) Antarctica regions were studied. The structure of the biomass (spore/mycelium and live cells/dead cells) was analyzed by fluorescence microscopy with staining using a set of coloring agents: calcofluor white, ethidium bromide, and fluorescein diacetate. The species composition of the cultivated microscopic fungi was determined on Czapek's medium. The fungal biomass in the soils studied is not high (on the average, 0.3 mg/g of soil); the greatest biomass (0.6 mg/g) was found in the soil samples with plant residues. The fungal biomass is mainly (to 70%) represented by small (to 2.5 mu m) spores. About half of the fungal biomass is composed of living cells. There are differences in the distribution of the fungal biomass within the profiles of different primitive soils. In the soil samples taken under mosses and lichens, the maximal biomass was registered in the top soil horizons. In the soils with the peat horizon under stone pavements, the greatest fungal biomass was registered in the subsurface horizons. Thirty-eight species of cultivated microscopic fungi were isolated from the soils studied. Species of the genus Penicillium and Phoma herbarum predominated.</t>
  </si>
  <si>
    <t>[Marfenina, O. E.; Nikitin, D. A.; Ivanova, A. E.] Moscow MV Lomonosov State Univ, Fac Soil Sci, Moscow 119991, Russia</t>
  </si>
  <si>
    <t>Lomonosov Moscow State University</t>
  </si>
  <si>
    <t>Marfenina, OE (corresponding author), Moscow MV Lomonosov State Univ, Fac Soil Sci, Moscow 119991, Russia.</t>
  </si>
  <si>
    <t>marfenina@mail.ru</t>
  </si>
  <si>
    <t>Nikitin, Dmitry/X-1916-2019; Ivanova, Anna/C-7979-2014</t>
  </si>
  <si>
    <t>Ivanova, Anna/0000-0002-0840-4400; Nikitin, Dmitry/0000-0003-1842-1754</t>
  </si>
  <si>
    <t>Russian Science Foundation [14-50-00029]</t>
  </si>
  <si>
    <t>The authors thank N.S. Mergelov and A.V. Lupachev for the samples provided and valuable comments. This study was supported by the Russian Science Foundation, project no. 14-50-00029.</t>
  </si>
  <si>
    <t>PLEIADES HOUSE, 7 W 54 ST, NEW YORK, NY, UNITED STATES</t>
  </si>
  <si>
    <t>1064-2293</t>
  </si>
  <si>
    <t>1556-195X</t>
  </si>
  <si>
    <t>EURASIAN SOIL SCI+</t>
  </si>
  <si>
    <t>Eurasian Soil Sci.</t>
  </si>
  <si>
    <t>10.1134/S106422931608007X</t>
  </si>
  <si>
    <t>DV5LY</t>
  </si>
  <si>
    <t>WOS:000382969900011</t>
  </si>
  <si>
    <t>Cornejo, A; Salgado, F; Caballero, J; Vargas, R; Simirgiotis, M; Areche, C</t>
  </si>
  <si>
    <t>Cornejo, Alberto; Salgado, Francisco; Caballero, Julio; Vargas, Reinaldo; Simirgiotis, Mario; Areche, Carlos</t>
  </si>
  <si>
    <t>Secondary Metabolites in Ramalina terebrata Detected by UHPLC/ESI/MS/MS and Identification of Parietin as Tau Protein Inhibitor</t>
  </si>
  <si>
    <t>INTERNATIONAL JOURNAL OF MOLECULAR SCIENCES</t>
  </si>
  <si>
    <t>Alzheimer's disease; docking; Ramalina; tau protein; lichens; parietin; UHPLC/MS</t>
  </si>
  <si>
    <t>PAIRED HELICAL FILAMENTS; BIOLOGICAL EVALUATION; LIQUID-CHROMATOGRAPHY; PHENOLIC-COMPOUNDS; MOLECULAR DOCKING; ATACAMA DESERT; USNIC ACID; AGGREGATION; RESOLUTION; BINDING</t>
  </si>
  <si>
    <t>Liquid chromatography coupled with mass spectrometry is an outstanding methodology for fast analysis of phenolic compounds in biological samples. Twenty two compounds were quickly and accurately identified in the methanolic extract of the Antarctic lichen Ramalina terebrata for the first time using ultra high pressure liquid chromatography coupled with photodiode array detector and high resolution mass spectrometry (UHPLC-PDA-Q/Orbitrap/MS/MS). In addition, the extract and the four compounds isolated from this species were tested for the inhibitory activity of tau protein aggregation, which is a protein involved in Alzheimer's disease (AD). All compounds showed null activity with the exception of parietin, which it was able to inhibit aggregation process of tau in a concentration range between 3 mu g/mL (10 mu M) to 28 mu g/mL (100 mu M). In addition, we show how parietin interact with tau (306)VQIVYK(311) hexapeptide inside of the microtubule binding domain (4R) with the help of molecular docking experiments. Finally, the constituents present in the methanolic extract could possibly contribute to the established anti-aggregation activity for this extract and this in-depth analysis of the chemical composition of R. terebrata could guide further research into its medicinal properties and potential uses.</t>
  </si>
  <si>
    <t>[Cornejo, Alberto] Univ Andres Bello, Escuela Tecnol Med, Fac Med, Sazie 2315, Santiago 8370092, Chile; [Salgado, Francisco; Areche, Carlos] Univ Chile, Fac Ciencias, Dept Quim, Santiago 8320000, Chile; [Caballero, Julio] Univ Talca, Fac Ingn, Ctr Bioinformat &amp; Simulac Mol, 2 Norte 685,Casilla 721, Talca 3460000, Chile; [Vargas, Reinaldo] Univ Metropolitana Ciencias Educ, Dept Biol, Avda Jose Pedro Alessandri 774, Santiago 8320000, Chile; [Simirgiotis, Mario] Univ Austral Chile, Fac Ciencias, Inst Farm, Lab Prod Nat, Casilla 567, Valdivia 5090000, Chile</t>
  </si>
  <si>
    <t>Universidad Andres Bello; Universidad de Chile; Universidad de Talca; Universidad Metropolitana de Ciencias de la Educacion (UMCE); Universidad Austral de Chile</t>
  </si>
  <si>
    <t>Cornejo, A (corresponding author), Univ Andres Bello, Escuela Tecnol Med, Fac Med, Sazie 2315, Santiago 8370092, Chile.;Areche, C (corresponding author), Univ Chile, Fac Ciencias, Dept Quim, Santiago 8320000, Chile.</t>
  </si>
  <si>
    <t>alberto.cornejo@unab.cl; fsalgado@ug.uchile.cl; jcaballero@utalca.cl; reinaldo.vargas@umce.cl; mario.simirgiotis@gmail.com; areche@uchile.cl</t>
  </si>
  <si>
    <t>Areche, Carlos/I-2461-2013; Caballero, Julio/G-3654-2014; Cornejo, Alberto/AAE-7978-2022; Simirgiotis Aguero, Mario/P-3871-2017</t>
  </si>
  <si>
    <t>Areche, Carlos/0000-0001-5246-1368; Caballero, Julio/0000-0003-0182-1444; Vargas Castillo, Reinaldo/0000-0003-0064-831X; Cornejo, Alberto/0000-0003-0837-4130; Simirgiotis Aguero, Mario/0000-0003-4552-3123</t>
  </si>
  <si>
    <t>INACH [RT 13-13, MT 03-14]; FONDECYT [1130141]; Fondequip [EQM140002]</t>
  </si>
  <si>
    <t>INACH; FONDECYT(Comision Nacional de Investigacion Cientifica y Tecnologica (CONICYT)CONICYT FONDECYT); Fondequip</t>
  </si>
  <si>
    <t>This work was supported by grants from the INACH RT 13-13 to Alberto Cornejo and Carlos Areche, and INACH MT 03-14 to Francisco Salgado. Julio Caballero acknowledge funds of FONDECYT Regular # 1130141. Mario Simirgiotis acknowledge Fondequip (grant EQM140002) for the funding to purchase the UHPLC/Orbitrap/ESI/MS/MS equipment.</t>
  </si>
  <si>
    <t>1422-0067</t>
  </si>
  <si>
    <t>INT J MOL SCI</t>
  </si>
  <si>
    <t>Int. J. Mol. Sci.</t>
  </si>
  <si>
    <t>10.3390/ijms17081303</t>
  </si>
  <si>
    <t>Biochemistry &amp; Molecular Biology; Chemistry, Multidisciplinary</t>
  </si>
  <si>
    <t>DU6PU</t>
  </si>
  <si>
    <t>WOS:000382337900115</t>
  </si>
  <si>
    <t>Downes, SM; Hogg, AM; Griffies, SM; Samuels, BL</t>
  </si>
  <si>
    <t>Downes, Stephanie M.; Hogg, Andrew McC.; Griffies, Stephen M.; Samuels, Bonita L.</t>
  </si>
  <si>
    <t>The Transient Response of Southern Ocean Circulation to Geothermal Heating in a Global Climate Model</t>
  </si>
  <si>
    <t>ANTARCTIC CIRCUMPOLAR CURRENT; MERIDIONAL OVERTURNING CIRCULATION; SEA-ICE; WATER MASSES; BOTTOM WATER; ABYSSAL; FLUX; FLOW; SENSITIVITY; TRANSPORT</t>
  </si>
  <si>
    <t>Model and observational studies have concluded that geothermal heating significantly alters the global overturning circulation and the properties of the widely distributed Antarctic Bottom Water. Here two distinct geothermal heat flux datasets are tested under different experimental designs in a fully coupled model that mimics the control run of a typical Coupled Model Intercomparison Project (CMIP) climate model. The regional analysis herein reveals that bottom temperature and transport changes, due to the inclusion of geothermal heating, are propagated throughout the water column, most prominently in the Southern Ocean, with the background density structure and major circulation pathways acting as drivers of these changes. While geothermal heating enhances Southern Ocean abyssal overturning circulation by 20%-50%, upwelling of warmer deep waters and cooling of upper ocean waters within the Antarctic Circumpolar Current (ACC) region decrease its transport by 3-5 Sv (1 Sv = 10(6) m(3) s (1)). The transient responses in regional bottom temperature increases exceed 0.1 degrees C. The large-scale features that are shown to transport anomalies far from their geothermal source all exist in the Southern Ocean. Such features include steeply sloping isopycnals, weak abyssal stratification, voluminous southward flowing deep waters and exported bottom waters, the ACC, and the polar gyres. Recently the Southern Ocean has been identified as a prime region for deep ocean warming; geothermal heating should be included in climate models to ensure accurate representation of these abyssal temperature changes.</t>
  </si>
  <si>
    <t>[Downes, Stephanie M.; Hogg, Andrew McC.] Australian Natl Univ, Res Sch Earth Sci, Acton, ACT, Australia; [Downes, Stephanie M.; Hogg, Andrew McC.] Australian Natl Univ, ARC Ctr Excellence Climate Syst Sci, Acton, ACT, Australia; [Downes, Stephanie M.] Univ Tasmania, Antarctic Climate &amp; Ecosyst Cooperat Res Ctr, Private Bag 80, Hobart, Tas 7001, Australia; [Griffies, Stephen M.; Samuels, Bonita L.] NOAA, Geophys Fluid Dynam Lab, Princeton, NJ USA</t>
  </si>
  <si>
    <t>Australian National University; Australian National University; University of Tasmania; Antarctic Climate &amp; Ecosystems Cooperative Research Centre (ACE CRC); National Oceanic Atmospheric Admin (NOAA) - USA</t>
  </si>
  <si>
    <t>Downes, SM (corresponding author), Univ Tasmania, Antarctic Climate &amp; Ecosyst Cooperat Res Ctr, Private Bag 80, Hobart, Tas 7001, Australia.</t>
  </si>
  <si>
    <t>s.downes@utas.edu.au</t>
  </si>
  <si>
    <t>Hogg, Andy McC./A-7553-2011; Downes, Stephanie/A-1424-2012; Hogg, Andy/AAZ-8733-2021; Griffies, Stephen Matthew/N-9144-2019</t>
  </si>
  <si>
    <t>Hogg, Andy McC./0000-0001-5898-7635; Hogg, Andy/0000-0001-5898-7635; Griffies, Stephen Matthew/0000-0002-3711-236X</t>
  </si>
  <si>
    <t>ARC Centre of Excellence for Climate System Science [CE110001028]; Australian Government's Business Cooperative Research Centres Programme through the Antarctic Climate and Ecosystems Cooperative Research Centre (ACE CRC); Australian Research Council [FT120100842]; Australian Commonwealth Government; Australian Research Council [FT120100842] Funding Source: Australian Research Council</t>
  </si>
  <si>
    <t>ARC Centre of Excellence for Climate System Science(Australian Research Council); Australian Government's Business Cooperative Research Centres Programme through the Antarctic Climate and Ecosystems Cooperative Research Centre (ACE CRC)(Australian GovernmentDepartment of Industry, Innovation and ScienceCooperative Research Centres (CRC) Programme); Australian Research Council(Australian Research Council); Australian Commonwealth Government(Australian Government); Australian Research Council(Australian Research Council)</t>
  </si>
  <si>
    <t>We are grateful for constructive comments by Carolina Dufour and Adele Morrison on earlier versions of the manuscript, and by Ali Mashayek and two anonymous reviewers. We thank Stephen Rintoul for discussion relating to the observed Southern Ocean dynamics and circulation pathways, and Rhodri Davies for providing the Davies and Davies (2010) dataset and associated discussion. SMD was primarily supported by the ARC Centre of Excellence for Climate System Science (Grant CE110001028), and also supported by the Australian Government's Business Cooperative Research Centres Programme through the Antarctic Climate and Ecosystems Cooperative Research Centre (ACE CRC). AMH was supported by an Australian Research Council Future Fellowship FT120100842. This research was undertaken on the NCI National Facility in Canberra, Australia, which is supported by the Australian Commonwealth Government.</t>
  </si>
  <si>
    <t>10.1175/JCLI-D-15-0458.1</t>
  </si>
  <si>
    <t>DT1DB</t>
  </si>
  <si>
    <t>WOS:000381220800001</t>
  </si>
  <si>
    <t>Kong, J; Yao, YB; Liu, L; Zhai, CZ; Wang, ZM</t>
  </si>
  <si>
    <t>Kong, Jian; Yao, Yibin; Liu, Lei; Zhai, Changzhi; Wang, Zemin</t>
  </si>
  <si>
    <t>A new computerized ionosphere tomography model using the mapping function and an application to the study of seismic-ionosphere disturbance</t>
  </si>
  <si>
    <t>JOURNAL OF GEODESY</t>
  </si>
  <si>
    <t>Mapping function; Computerized ionosphere tomography; Kalman filtering; Seismic-ionosphere disturbance; TEC variation sequence; Electric field effect</t>
  </si>
  <si>
    <t>ELECTRON-DENSITY; TOHOKU EARTHQUAKE; RECONSTRUCTION; ANOMALIES</t>
  </si>
  <si>
    <t>A new algorithm for ionosphere tomography using the mapping function is proposed in this paper. First, the newsolution splits the integration process into four layers along the observation ray, and then, the single-layer model (SLM) is applied to each integration part using a mapping function. Next, the model parameters are estimated layer by layer with the Kalman filtering method by introducing the scale factor (SF). to solve the ill-posed problem. Finally, the inversed images of different layers are combined into the final CIT image. We utilized simulated data from 23 IGS GPS stations around Europe to verify the estimation accuracy of the new algorithm; the results show that the new CIT model has better accuracy than the SLMin dense data areas and the CIT residuals are more closely grouped. The stability of the new algorithm is discussed by analyzing model accuracy under different error levels (the max errors are 5TECU, 10TECU, 15TECU, respectively). In addition, the key preset parameter, SF., which is given by the International Reference Ionosphere model (IRI2012). The experiment is designed to test the sensitivity of the new algorithm to SF variations. The results show that the IRI2012 is capable of providing initial SF values. Also in this paper, the seismic-ionosphere disturbance (SID) of the 2011 Japan earthquake is studied using the new CIT algorithm. Combined with the TEC time sequence of Sat. 15, we find that the SID occurrence time and reaction area are highly related to the main shock time and epicenter. According to CIT images, there is a clear vertical electron density upward movement (from the 150-km layer to the 450-km layer) during this SID event; however, the peak value areas in the different layers were different, which means that the horizontal movement velocity is not consistent among the layers. The potential physical triggering mechanism is also discussed in this paper. Compared with the SLM, the RMS of the new CIT model is improved by 16.78%, while the CIT model could provide the three-dimensional variation in the ionosphere.</t>
  </si>
  <si>
    <t>[Kong, Jian; Wang, Zemin] Wuhan Univ, Chinese Antarctic Ctr Surveying &amp; Mapping, Wuhan 430079, Peoples R China; [Yao, Yibin; Liu, Lei; Zhai, Changzhi] Wuhan Univ, Sch Geodesy &amp; Geomat, Wuhan 430079, Peoples R China</t>
  </si>
  <si>
    <t>Yao, YB (corresponding author), Wuhan Univ, Sch Geodesy &amp; Geomat, Wuhan 430079, Peoples R China.</t>
  </si>
  <si>
    <t>ybyao@whu.edu.cn</t>
  </si>
  <si>
    <t>Zhai, Changzhi/JQW-2878-2023; Lei, Liu/I-3503-2018; ZeMin, Wang/AAU-3422-2020; Yao, Yibin/AAM-9653-2020; lei, liu/HTR-5486-2023</t>
  </si>
  <si>
    <t>Lei, Liu/0000-0002-1040-6026; Yao, Yibin/0000-0002-7723-4601;</t>
  </si>
  <si>
    <t>0949-7714</t>
  </si>
  <si>
    <t>1432-1394</t>
  </si>
  <si>
    <t>J GEODESY</t>
  </si>
  <si>
    <t>J. Geodesy</t>
  </si>
  <si>
    <t>10.1007/s00190-016-0906-9</t>
  </si>
  <si>
    <t>Geochemistry &amp; Geophysics; Remote Sensing</t>
  </si>
  <si>
    <t>DU3TN</t>
  </si>
  <si>
    <t>WOS:000382135200005</t>
  </si>
  <si>
    <t>Riquelme-Bugueño, R; Gómez-Gutiérrez, J; Escribano, R; Ruz, P; Hidalgo, P; Schneider, W</t>
  </si>
  <si>
    <t>Riquelme-Bugueno, Ramiro; Gomez-Gutierrez, Jaime; Escribano, Ruben; Ruz, Paula; Hidalgo, Pamela; Schneider, Wolfgang</t>
  </si>
  <si>
    <t>First measurements of euphausiid growth rates in the northern Humboldt Current (23°S)</t>
  </si>
  <si>
    <t>REVISTA DE BIOLOGIA MARINA Y OCEANOGRAFIA</t>
  </si>
  <si>
    <t>Euphausia mucronata; intermolt period; Bahia Mejillones; Southeastern Pacific; Chile</t>
  </si>
  <si>
    <t>CENTRAL-SOUTHERN CHILE; ANTARCTIC KRILL; BODY SHRINKAGE; SUPERBA; PACIFICA; TEMPERATURE; CRUSTACEAN; MUCRONATA</t>
  </si>
  <si>
    <t>One hundred and five juveniles and adults of Euphausia mucronata were incubated in order to estimate their daily growth rates (DGR) using the standard instantaneous growth rate method. From 77 krill that survived after 2 days of incubation under laboratory conditions, 70 individuals molted (35.1% males, 64.9% females). E. mucronata mean intermolt period was 5.2 days (range = 4-9 d) with mean DGR of 0.01 mm d(-1) for males and -0.04 mm d(-1) for females. Overall mean DGR was -0.02 mm d(-1). DGRs were positive (31%), zero (12%) and negative (57%). DGR&lt;0 evidenced body shrinking process suggesting that environmental conditions in austral autumn 2010 were unfavorable for the krill population. However, because females had DGR&lt;0 values more frequently than males it is probable that females also used part of their energy on gonad development rather than body growth.</t>
  </si>
  <si>
    <t>[Riquelme-Bugueno, Ramiro] Univ Concepcion, Fac Ciencias Nat &amp; Oceanog, Dept Zool, CP 160-C, Concepcion, Chile; [Riquelme-Bugueno, Ramiro; Escribano, Ruben; Ruz, Paula; Hidalgo, Pamela; Schneider, Wolfgang] Univ Concepcion, Inst Milenio Oceanog, Concepcion, Chile; [Gomez-Gutierrez, Jaime] Inst Politecn Nacl, Ctr Interdisciplinario Ciencias Marinas, Dept Plancton &amp; Ecol Marina, La Paz 23096, Baja California, Mexico; [Escribano, Ruben; Hidalgo, Pamela; Schneider, Wolfgang] Univ Concepcion, Fac Ciencias Nat &amp; Oceanog, Dept Oceanog, CP 160-C, Concepcion, Chile; [Ruz, Paula] Univ Concepcion, Fac Ciencias Nat &amp; Oceanog, Programa Doctorado Oceanog, CP 160-C, Concepcion, Chile</t>
  </si>
  <si>
    <t>Universidad de Concepcion; Universidad de Concepcion; Instituto Politecnico Nacional - Mexico; Universidad de Concepcion; Universidad de Concepcion</t>
  </si>
  <si>
    <t>Riquelme-Bugueño, R (corresponding author), Univ Concepcion, Fac Ciencias Nat &amp; Oceanog, Dept Zool, CP 160-C, Concepcion, Chile.;Riquelme-Bugueño, R (corresponding author), Univ Concepcion, Inst Milenio Oceanog, Concepcion, Chile.</t>
  </si>
  <si>
    <t>Riquelme, Ramiro/L-4706-2016; Escribano, Ruben/IAN-0878-2023; Ruz-Moreno, Paula M./AAZ-6693-2021</t>
  </si>
  <si>
    <t>Riquelme, Ramiro/0000-0002-2245-6485; Ruz-Moreno, Paula M./0000-0001-5167-2999; Escribano, Ruben/0000-0002-9843-7723; Hidalgo, Pamela/0000-0002-5872-7574</t>
  </si>
  <si>
    <t>FONDECYT [1080037, 3130387]; CONICYT [21080484, 24110048]; CONACyT [CB-2012-178615-01]; SNI; COFAA-IPN; EDI-IPN grants; [2012-0006]</t>
  </si>
  <si>
    <t>FONDECYT(Comision Nacional de Investigacion Cientifica y Tecnologica (CONICYT)CONICYT FONDECYT); CONICYT(Comision Nacional de Investigacion Cientifica y Tecnologica (CONICYT)); CONACyT(Consejo Nacional de Ciencia y Tecnologia (CONACyT)); SNI; COFAA-IPN; EDI-IPN grants;</t>
  </si>
  <si>
    <t>This study was funded by FONDECYT 1080037 grant (R.E.). R.R-B was supported by the CONICYT 21080484, 24110048 scholarships and, J.G-G was supported by CONACyT (CB-2012-178615-01), SNI, COFAA-IPN, and EDI-IPN grants. Additional support was provided by FONDECYT 3130387 (R.R-B) and USA 2012-0006 grant (P.H.). This study is a contribution of the Instituto Milenio de Oceanografia (IC120019).</t>
  </si>
  <si>
    <t>UNIV VALPARAISO</t>
  </si>
  <si>
    <t>FACULTAD CIENCIAS MAR RECURSOS NATURALES, CASILLA 5080 - RENACA, VINA DEL MAR, 00000, CHILE</t>
  </si>
  <si>
    <t>0717-3326</t>
  </si>
  <si>
    <t>0718-1957</t>
  </si>
  <si>
    <t>REV BIOL MAR OCEANOG</t>
  </si>
  <si>
    <t>Rev. Biol. Mar. Oceanogr.</t>
  </si>
  <si>
    <t>10.4067/S0718-19572016000200020</t>
  </si>
  <si>
    <t>DU3ZL</t>
  </si>
  <si>
    <t>WOS:000382151100020</t>
  </si>
  <si>
    <t>Voet, G; Alford, MH; Girton, JB; Carter, GS; Mickett, JB; Klymak, JM</t>
  </si>
  <si>
    <t>Voet, Gunnar; Alford, Matthew H.; Girton, James B.; Carter, Glenn S.; Mickett, John B.; Klymak, Jody M.</t>
  </si>
  <si>
    <t>Warming and Weakening of the Abyssal Flow through Samoan Passage</t>
  </si>
  <si>
    <t>PACIFIC-OCEAN; WATER; TRANSPORT; HEAT</t>
  </si>
  <si>
    <t>The abyssal flow of water through the Samoan Passage accounts for the majority of the bottom water renewal in the North Pacific, thereby making it an important element of the meridional overturning circulation. Here the authors report recent measurements of the flow of dense waters of Antarctic and North Atlantic origin through the Samoan Passage. A 15-month long moored time series of velocity and temperature of the abyssal flow was recorded between 2012 and 2013. This allows for an update of the only prior volume transport time series from the Samoan Passage from WOCE moored measurements between 1992 and 1994. While highly variable on multiple time scales, the overall pattern of the abyssal flow through the Samoan Passage was remarkably steady. The time-mean northward volume transport of about 5.4 Sv (1 Sv = 10(6) m(3) s(-1)) in 2012/13 was reduced compared to 6.0 Sv measured between 1992 and 1994. This volume transport reduction is significant within 68% confidence limits (60.4 Sv) but not at 95% confidence limits (+/-0.6 Sv). In agreement with recent studies of the abyssal Pacific, the bottom flow through the Samoan Passage warmed significantly on average by 1 x 10(-38)Cyr(-1) over the past two decades, as observed both in moored and shipboard hydrographic observations. While the warming reflects the recently observed increasing role of the deep oceans for heat uptake, decreasing flow through Samoan Passage may indicate a future weakening of this trend for the abyssal North Pacific.</t>
  </si>
  <si>
    <t>[Voet, Gunnar; Alford, Matthew H.] Univ Calif San Diego, Scripps Inst Oceanog, 8851 Shellback Way, La Jolla, CA 92093 USA; [Girton, James B.; Mickett, John B.] Univ Washington, Appl Phys Lab, Seattle, WA 98105 USA; [Carter, Glenn S.] Univ Hawaii Manoa, Honolulu, HI 96822 USA; [Klymak, Jody M.] Univ Victoria, Victoria, BC, Canada</t>
  </si>
  <si>
    <t>University of California System; University of California San Diego; Scripps Institution of Oceanography; University of Washington; University of Washington Seattle; University of Hawaii System; University of Hawaii Manoa; University of Victoria</t>
  </si>
  <si>
    <t>Voet, G (corresponding author), Univ Calif San Diego, Scripps Inst Oceanog, 8851 Shellback Way, La Jolla, CA 92093 USA.</t>
  </si>
  <si>
    <t>gvoet@ucsd.edu</t>
  </si>
  <si>
    <t>Voet, Gunnar/GRO-4087-2022; Klymak, Jody M/A-3041-2008</t>
  </si>
  <si>
    <t>Voet, Gunnar/0000-0003-1975-186X; Klymak, Jody M/0000-0003-4612-8600</t>
  </si>
  <si>
    <t>National Science Foundation [OCE-1029268, OCE-1029483]; Division Of Ocean Sciences; Directorate For Geosciences [1029483] Funding Source: National Science Foundation; Division Of Ocean Sciences; Directorate For Geosciences [1029268] Funding Source: National Science Foundation</t>
  </si>
  <si>
    <t>National Science Foundation(National Science Foundation (NSF)); Division Of Ocean Sciences; Directorate For Geosciences(National Science Foundation (NSF)NSF - Directorate for Geosciences (GEO)); Division Of Ocean Sciences; Directorate For Geosciences(National Science Foundation (NSF)NSF - Directorate for Geosciences (GEO))</t>
  </si>
  <si>
    <t>We thank Eric Boget for his exemplary assistance in designing, deploying, and recovering the moorings; Keith Magness, Trina Litchendorf, Andrew Cookson, Zoe Parsons, Andy Pickering, Kelly Pearson, Janna Kohler, Tessa Tafua, Deepika Goundar, Samuel Fletcher, Tahmeena Aslam, Thomas Decloedt, Alofa Aleta, and Vaatele Tauinaola for their assistance in making the measurements; and the captains and crews of the R/V Revelle and R/V Thompson for their skill in handling and operating the vessels, without which these measurements would not have been possible. Daniel Rudnick kindly provided previous mooring data. Sarah Purkey provided helpful comments on an earlier version of this manuscript. Two anonymous reviewers provided valuable comments that helped to improve this study. This work was funded by the National Science Foundation under Grants OCE-1029268 and OCE-1029483.</t>
  </si>
  <si>
    <t>10.1175/JPO-D-16-0063.1</t>
  </si>
  <si>
    <t>DS5CV</t>
  </si>
  <si>
    <t>WOS:000380799200008</t>
  </si>
  <si>
    <t>Colesie, C; Green, TGA; Raggio, J; Büdel, B</t>
  </si>
  <si>
    <t>Colesie, Claudia; Green, T. G. Allan; Raggio, Jose; Buedel, Burkhard</t>
  </si>
  <si>
    <t>Summer activity patterns of Antarctic and high alpine lichen-dominated biological soil crusts-Similar but different?</t>
  </si>
  <si>
    <t>ARCTIC ANTARCTIC AND ALPINE RESEARCH</t>
  </si>
  <si>
    <t>CO2 EXCHANGE; PHYSIOLOGICAL INVESTIGATIONS; WATER RELATIONS; HOHE TAUERN; PHOTOSYNTHESIS; CRYPTOGAMS; FIELD; SNOW; CYANOBACTERIAL; FLUORESCENCE</t>
  </si>
  <si>
    <t>Biological soil crusts (BSCs) are small-scale communities of lichens, mosses, algae, and cyanobacteria that cover much of the surface area in regions where vascular plant growth is restricted due to harsh environmental conditions, such as perpetually ice-free areas in terrestrial Antarctic environments and alpine areas above the tree line. To our knowledge, none of the available studies provides a direct Antarctic-alpine comparison of BSC activity periods and the water use, both key traits to understand their physiological behavior and therefore related growth and fitness. Here, activity patterns and water relations were studied at two sites, one in continental Antarctica (Garwood Valley 78 degrees S) and one in the High Alps of Austria (Hochtor, Grossglockner 2350m). BSCs in continental Antarctica were only rarely active, and if so, then during melt after snowfalls and by fog. In the Austrian Alps, BSCs were continuously active and additionally activated by rainfall, fog, and dew. Consequently, high alpine BSCs can be expected to have much higher photosynthetic productivity supporting higher growth rates than the same functional vegetation unit has in continental Antarctica.</t>
  </si>
  <si>
    <t>[Colesie, Claudia] Univ Kaiserslautern, Dept Plant Ecol &amp; Systemat, Erwin Schroclingerstr 13, D-67663 Kaiserslautern, Germany; [Green, T. G. Allan; Raggio, Jose] Univ Complutense, Fac Farm, Dept Biol Vegetal 2, E-28040 Madrid, Spain; [Green, T. G. Allan; Buedel, Burkhard] Univ Waikato, Dept Biol Sci, Private Bag 3105, Hamilton 3240, New Zealand</t>
  </si>
  <si>
    <t>University of Kaiserslautern; Complutense University of Madrid; University of Waikato</t>
  </si>
  <si>
    <t>Colesie, C (corresponding author), Univ Kaiserslautern, Dept Plant Ecol &amp; Systemat, Erwin Schroclingerstr 13, D-67663 Kaiserslautern, Germany.</t>
  </si>
  <si>
    <t>claudia.colesie@biologie.uni-kl.de</t>
  </si>
  <si>
    <t>Colesie, Claudia/H-4258-2015; Raggio, Jose/H-4167-2015</t>
  </si>
  <si>
    <t>Colesie, Claudia/0000-0003-1136-0290; Raggio, Jose/0000-0002-5344-1112</t>
  </si>
  <si>
    <t>New Zealand Foundation for Research Science and Technology (Understanding, valuing and protecting Antarctica's unique terrestrial ecosystems: predicting biocomplexity in Dry Valley ecosystems) [UOWX0710]; ERA Net BiodivERsA program , Improved appreciation of the functioning and importance of biological soil crusts in Europe: the Soil Crust International Project (SCIN) as part of BiodivERsA joint call</t>
  </si>
  <si>
    <t>New Zealand Foundation for Research Science and Technology (Understanding, valuing and protecting Antarctica's unique terrestrial ecosystems: predicting biocomplexity in Dry Valley ecosystems); ERA Net BiodivERsA program , Improved appreciation of the functioning and importance of biological soil crusts in Europe: the Soil Crust International Project (SCIN) as part of BiodivERsA joint call</t>
  </si>
  <si>
    <t>This research is part of the New Zealand Terrestrial Antarctic Biocomplexity Survey (NZTABS) and was supported by the New Zealand Foundation for Research Science and Technology (Grant UOWX0710, Understanding, valuing and protecting Antarctica's unique terrestrial ecosystems: predicting biocomplexity in Dry Valley ecosystems). Antarctica New Zealand is thanked for providing logistics both for the research in Antarctica and movements to Antarctica. Permits: sampling, entry into protected areas and equipment deployment were approved by the New Zealand authorities. Part of the research was funded by the ERA Net BiodivERsA program, Improved appreciation of the functioning and importance of biological soil crusts in Europe: the Soil Crust International Project (SCIN) as part of the 2010-2011 BiodivERsA joint call. Hans Reichenberger, Laura Williams, Martin Schaaf, and Katharina Schneider are thanked for field and lab assistance.</t>
  </si>
  <si>
    <t>INST ARCTIC ALPINE RES</t>
  </si>
  <si>
    <t>UNIV COLORADO, BOULDER, CO 80309 USA</t>
  </si>
  <si>
    <t>1523-0430</t>
  </si>
  <si>
    <t>1938-4246</t>
  </si>
  <si>
    <t>ARCT ANTARCT ALP RES</t>
  </si>
  <si>
    <t>Arct. Antarct. Alp. Res.</t>
  </si>
  <si>
    <t>10.1657/AAAR0015-047</t>
  </si>
  <si>
    <t>Environmental Sciences; Geography, Physical</t>
  </si>
  <si>
    <t>DV3DH</t>
  </si>
  <si>
    <t>WOS:000382800700001</t>
  </si>
  <si>
    <t>Ylisirniö, AL; Allén, A</t>
  </si>
  <si>
    <t>Ylisirnio, Anna-Liisa; Allen, Anna</t>
  </si>
  <si>
    <t>Plant communities of Fennoscandian subarctic mountain ecosystems 60 years after human disturbance</t>
  </si>
  <si>
    <t>NATURAL REGENERATION; TUNDRA VEGETATION; STRATEGIES; REPRODUCTION; RESPONSES; PATTERNS; RECOVERY; IMPACTS; LAPLAND; GROWTH</t>
  </si>
  <si>
    <t>We studied the vegetation cover of 60-year-old military sites in the subarctic mountain area in northwestern Finnish Lapland, comparing the vegetation of observation posts in the barren mountain and camps in the mountain birch zone to the undisturbed control sites. These kinds of old disturbance areas give us valuable information about resilience and recovery of vegetation in a fragile subarctic environment and allow us to follow up and predict changes under changing climate. Vegetation of the disturbed sites had not recovered to the initial condition in 60 years; the recovery was slower in the mountain birch zone where the intensity of disturbance had been higher. The coverage of dwarf shrubs, especially Empetrum hermafroditum and Vaccinium myrtillus, was lower at the military sites as compared to the controls; instead, increased coverage of some graminoids was observed in the observation posts and the transition zones of camps. At the most disturbed patches, cryptogams were still prevailing. The results confirm the observations of earlier studies that rather than ecological recovery, the long-term development of vegetation in disturbance areas in high latitudes shows a shift to functionally different plant communities.</t>
  </si>
  <si>
    <t>[Ylisirnio, Anna-Liisa] Univ Lapland, Arctic Ctr, POB 122, Rovaniemi 96101, Finland; [Allen, Anna] Storsvangen 11 B 28, Helsinki 00200, Finland</t>
  </si>
  <si>
    <t>University of Lapland</t>
  </si>
  <si>
    <t>Ylisirniö, AL (corresponding author), Univ Lapland, Arctic Ctr, POB 122, Rovaniemi 96101, Finland.</t>
  </si>
  <si>
    <t>anna-liisa.ylisirnio@ulapland.fi</t>
  </si>
  <si>
    <t>Ylisirniö, Anna-Liisa/L-4444-2013</t>
  </si>
  <si>
    <t>European Regional Development Fund Northern Finland, operational programme [CCI 2007 FI 162 PO 002]</t>
  </si>
  <si>
    <t>European Regional Development Fund Northern Finland, operational programme</t>
  </si>
  <si>
    <t>We are grateful to KariViertola for his help with the figures, and to the associate editor and two anonymous reviewers for their valuable comments. The research has been supported financially by the European Regional Development Fund Northern Finland, operational programme project CCI 2007 FI 162 PO 002.</t>
  </si>
  <si>
    <t>10.1657/AAAR0015-068</t>
  </si>
  <si>
    <t>WOS:000382800700003</t>
  </si>
  <si>
    <t>Minor, MA; Babenko, AB; Ermilov, SG; Khaustov, AA; Makarova, OL</t>
  </si>
  <si>
    <t>Minor, M. A.; Babenko, A. B.; Ermilov, S. G.; Khaustov, A. A.; Makarova, O. L.</t>
  </si>
  <si>
    <t>Effects of cushion plants on high-altitude soil microarthropod communities: cushions increase abundance and diversity of mites (Acari), but not springtails (Collembola)</t>
  </si>
  <si>
    <t>EXPERIMENTAL TEMPERATURE ELEVATION; NEW-ZEALAND PASTURE; KING GEORGE ISLAND; FREEZE-THAW CYCLES; INVERTEBRATE FAUNA; ORIBATID MITES; LITTER DECOMPOSITION; COLD TOLERANCE; EARTH HUMMOCKS; PEAT SOILS</t>
  </si>
  <si>
    <t>Cushion plants in alpine ecosystems act as nurse species, which modify and alleviate environmental conditions and positively influence the diversity and abundance of other organisms. Soil fauna in alpine environments should benefit from nurse plant facilitation, but this has not been investigated. We compared diversity, abundance, and community structure of soil microarthropods (Collembola, Oribatida, Mesostigmata, Prostigmata, Endeostigmata, and Astigmata) under cushion plants and in adjacent open microsites in high altitude patterned ground landscapes in New Zealand. We investigated how cushion plants influence environmental factors, and how environmental factors and species traits contribute to microarthropod community structure. The results show that cushion plants are a key in maintaining the biodiversity of soil microarthropods in the high alpine. Cushion plants maintain higher moisture and organic matter content in the soil, provide productive and structurally complex habitat, and mitigate disturbance. Abundance and species richness of Oribatida, Mesostigmata, and Prostigmata were higher under cushion plants. In contrast, abundance of Collembola was higher in open micro sites, while their species richness similar in and out of cushions. Oribatida assemblages were dominated by small asexual species, indicating a disturbed environment. Oribatida community structure was significantly related to the microhabitat in two out of three mountain ranges. Collembola assemblages were similar in and out of cushions. Higher soil moisture and organic matter content under cushion plants were significant in explaining patterns in microarthropod assemblages, although high percentage of variability was not explained by environmental variables. There was no effect of cushions on soil temperatures. Species identity of the cushion plant did not influence abundance, species richness, or community assemblages of mites and springtails; however, some species were associated with either Dracophyllum or Raoulia cushions.</t>
  </si>
  <si>
    <t>[Minor, M. A.] Massey Univ, Inst Agr &amp; Environm, PB 11222, Palmerston North, New Zealand; [Babenko, A. B.; Makarova, O. L.] Russian Acad Sci, Severtsov Inst Ecol &amp; Evolut, Leninsky Pr 33, Moscow 119071, Russia; [Ermilov, S. G.; Khaustov, A. A.] Tyumen State Univ, Ul Selmakova 10, Tyumen 625003, Russia</t>
  </si>
  <si>
    <t>Massey University; Russian Academy of Sciences; Saratov Scientific Center of the Russian Academy of Sciences; Severtsov Institute of Ecology &amp; Evolution; Tyumen State University</t>
  </si>
  <si>
    <t>Minor, MA (corresponding author), Massey Univ, Inst Agr &amp; Environm, PB 11222, Palmerston North, New Zealand.</t>
  </si>
  <si>
    <t>M.A.Minor@massey.ac.nz</t>
  </si>
  <si>
    <t>Khaustov, Alexander/S-1303-2016; Babenko, Anatoly B./I-6367-2013</t>
  </si>
  <si>
    <t>Khaustov, Alexander/0000-0002-0306-112X; Babenko, Anatoly B./0000-0002-6077-0619; Makarova, Olga Lvowna/0000-0002-1820-2511</t>
  </si>
  <si>
    <t>Massey University Research Fund</t>
  </si>
  <si>
    <t>We are grateful to Dr. Alastair Robertson (Institute of Agriculture &amp; Environment, Massey University, New Zealand) for help with fieldwork, the staff of the Snow Farm (Cardrona, New Zealand) for facilitating access to Pisa Range sites, and the New Zealand Department of Conservation for sampling permit (national authorization #38116-GEO). The project was supported by the Massey University Research Fund.</t>
  </si>
  <si>
    <t>10.1657/AAAR0015-064</t>
  </si>
  <si>
    <t>WOS:000382800700004</t>
  </si>
  <si>
    <t>Mortensen, LO; Moshoj, C; Forchhammer, MC</t>
  </si>
  <si>
    <t>Mortensen, Lars O.; Moshoj, Charlotte; Forchhammer, Mads C.</t>
  </si>
  <si>
    <t>Density and climate influence seasonal population dynamics in an Arctic ungulate</t>
  </si>
  <si>
    <t>NORTHEAST GREENLAND; OVIBOS-MOSCHATUS; MUSKOXEN; TRENDS; ECOSYSTEM</t>
  </si>
  <si>
    <t>The locally migratory behavior of the high arctic muskox (Ovibos muschatus) is a central component of the breeding and winter survival strategies applied to cope with the highly seasonal arctic climate. However, altered climate regimes affecting plant growth are likely to affect local migration dynamics of the muskox. In this study, we apply long-term local-scale data on the seasonal distribution of muskoxen in the Zackenberg Valley, Northeast Greenland, to assess the degree of climatic influence on local seasonal muskox dynamics. Specifically, we analyze how seasonal climate (temperature, snow cover), forage availability (length of growth season), and the number of adult females available per male (operational sex ratio) influence changes in the seasonal density dependence, abundance, and immigration rate of muskoxen into the valley. The results suggested summer temperature as the major controlling factor in the seasonal, local-scale migration of muskoxen at Zackenberg. Specifically, higher summer temperatures, defined as the cumulative average daily positive degrees in June, July, and August, resulted in decreased density dependence and, consequently, increase in the seasonal abundance of muskox in the valley. Additionally, a longer growth season was found to increase the seasonal abundance of muskox in the Zackenberg Valley. In contrast, changes in spring snow cover displayed no direct relation to the seasonal immigration rate. Our study suggests that access to high-quality forage is important for the short-term, local scale population dynamics of muskoxen in Northeast Greenland.</t>
  </si>
  <si>
    <t>[Mortensen, Lars O.] Tech Univ Denmark, Natl Inst Aquat Resources, Jaegersborg Alle 1, DK-2920 Charlottenlund, Denmark; [Moshoj, Charlotte] Roskilde Univ, Dept Environm Social &amp; Spatial Change, Univ Vej 1, DK-4000 Roskilde, Denmark; [Mortensen, Lars O.; Moshoj, Charlotte] Roskilde Univ, Dept Biosci, Frederikssundsvej 399, DK-4000 Roskilde, Denmark; [Forchhammer, Mads C.] Penn State Univ, Polar Ctr, 325 Mueller, University Pk, PA 16802 USA; [Forchhammer, Mads C.] Univ Copenhagen, Nat Hist Museum Denmark, CMEC, Univ Parken 15, DK-2100 Copenhagen, Denmark; [Forchhammer, Mads C.] Univ Copenhagen, Geol Museum, Greenland Perspect, Oster Voldgade 5-7, DK-1350 Copenhagen, Denmark; [Forchhammer, Mads C.] Univ Ctr Svalbard, Dept Arctic Biol, POB 156, N-9171 Longyearbyen, Svalbard, Norway</t>
  </si>
  <si>
    <t>Technical University of Denmark; Roskilde University; Roskilde University; Pennsylvania Commonwealth System of Higher Education (PCSHE); Pennsylvania State University; Pennsylvania State University - University Park; University of Copenhagen; University of Copenhagen; University Centre Svalbard (UNIS)</t>
  </si>
  <si>
    <t>Mortensen, LO (corresponding author), Tech Univ Denmark, Natl Inst Aquat Resources, Jaegersborg Alle 1, DK-2920 Charlottenlund, Denmark.;Mortensen, LO (corresponding author), Roskilde Univ, Dept Biosci, Frederikssundsvej 399, DK-4000 Roskilde, Denmark.</t>
  </si>
  <si>
    <t>laomo@aqua.dtu.dk</t>
  </si>
  <si>
    <t>Nummer2, CMEC/HKE-1900-2023; Mortensen, Lars O/HLW-4574-2023</t>
  </si>
  <si>
    <t>Moshoj, Charlotte/0000-0002-6656-7232</t>
  </si>
  <si>
    <t>ECOGLOBE initiative at Aarhus University</t>
  </si>
  <si>
    <t>This work was funded by the ECOGLOBE initiative at Aarhus University, and data are derived from the Zackenberg Ecological Research Operations. We greatly appreciate the data assistance given from Niels Martin Schmidt, Lars Hoist Hansen, and Jannik Hansen.</t>
  </si>
  <si>
    <t>10.1657/AAAR0015-052</t>
  </si>
  <si>
    <t>WOS:000382800700006</t>
  </si>
  <si>
    <t>Hågvar, S; Ohlson, M; Brittain, JE</t>
  </si>
  <si>
    <t>Hagvar, Sigmund; Ohlson, Mikael; Brittain, John E.</t>
  </si>
  <si>
    <t>A melting glacier feeds aquatic and terrestrial invertebrates with ancient carbon and supports early succession</t>
  </si>
  <si>
    <t>ALPINE GLACIER; ORGANIC-MATTER; AERIAL DISPERSAL; SOUTH NORWAY; ICE SHEETS; FORELAND; COMMUNITIES; RETREAT; SPIDERS; WEB</t>
  </si>
  <si>
    <t>More than 5000-yr-old organic material was released by a melting glacier in central southern Norway. The ancient carbon was bioavailable and supported early food chains. This was shown through high radiocarbon age in living aquatic and terrestrial invertebrates. Young ponds acted as biological oases, where ancient carbon was assimilated by larvae of various Diptera: mainly Chironomidae, but also Tipulidae and Limoniidae. Within ponds, even predatory diving beetles had a high radiocarbon age.Adult chironomid midges with a radiocarbon age of 1040 yr transported ancient carbon to terrestrial predators among beetles, spiders, and harvestmen. Ancient carbon was also assimilated by chironomid larvae downstream in the glacier-fed river, and radiocarbon dating of chironomid larvae from glacial rivers will thus be an easy way to check whether a given glacier releases bioavailable ancient carbon. Our study indicates that the ancient organic particles were very small.We refer to studies from other countries showing that glaciers collect and release ancient carbon in the form of tiny, long-transported and biodegradable aerosol particles, which stem from the incomplete combustion of radiocarbon depleted fossil fuels. All our results would fit with this mechanism.</t>
  </si>
  <si>
    <t>[Hagvar, Sigmund; Ohlson, Mikael; Brittain, John E.] Norwegian Univ Life Sci, Dept Ecol &amp; Nat Resource Management, POB 5003, N-1432 As, Norway; [Brittain, John E.] Univ Oslo, Nat Hist Museum, POB 1172 Blindern, N-0318 Oslo, Norway</t>
  </si>
  <si>
    <t>Norwegian University of Life Sciences; University of Oslo</t>
  </si>
  <si>
    <t>Hågvar, S (corresponding author), Norwegian Univ Life Sci, Dept Ecol &amp; Nat Resource Management, POB 5003, N-1432 As, Norway.</t>
  </si>
  <si>
    <t>sigmund.hagvar@nmbu.no</t>
  </si>
  <si>
    <t>Ohlson, Mikael/0000-0003-0237-149X</t>
  </si>
  <si>
    <t>10.1657/AAAR0016-027</t>
  </si>
  <si>
    <t>WOS:000382800700008</t>
  </si>
  <si>
    <t>Wen, R; Tian, LD; Liu, FJ; Qu, DM</t>
  </si>
  <si>
    <t>Wen, Rong; Tian, Lide; Liu, Fengjing; Qu, Dongmei</t>
  </si>
  <si>
    <t>Lake water isotope variation linked with the in-lake water cycle of the alpine Bangong Co, arid western Tibetan Plateau</t>
  </si>
  <si>
    <t>STABLE ISOTOPES; NAM-CO; ENVIRONMENTAL-CHANGES; LACUSTRINE CORE; CLIMATE-CHANGE; MASS-BALANCE; BASIN; LEVEL; PRECIPITATION; OXYGEN</t>
  </si>
  <si>
    <t>Water isotopes play an important role in the study of the alpine lake water budget and the hydrological cycle in the arid, far western Tibetan Plateau. These isotope records, derived from well-preserved sediments, are believed to reflect climatic and environmental changes. Using two years of delta O-18 and delta D data from precipitation, river water, underground water, and lake water at the long alpine lake Bangong (LBG), together with local meteorological observations in the arid western Tibetan Plateau, this study reveals that the delta O-18 in the lake is over 10 parts per thousand more enriched than that in the local precipitation due to evaporation of the lake water. Spatial changes in both the lake water delta O-18 and d-excess (= delta D - 8 * delta O-18) are apparent, ranging from similar to-4.9 parts per thousand to +0.9 parts per thousand for delta O-18, and -13.22%o to -30.85%0 for d-excess, respectively, from east to west of the lakes. Simulation with the Craig-Gordon model shows that the isotopes in alpine inland lake water are controlled to a great extent by local relative humidity. Using a modified partly mixed isotope fractionation model, we rebuilt the spatial change of the evaporation/inflow (E/I) ratios from east to west of the lake. A quantitative estimation shows that the E/I ratio of the lake water increases from 0.73 similar to 0.83 in the eastern part and 0.90 similar to 0.93 in the western part of LBG. We also found that by assuming a full development of kinetic fractionation of the environmental vapor isotopes, our simulation result matched the observed spatial change for both delta O-18 and d-excess, confirming the strong inland evaporation enrichment in the northern part of the plateau. This research may increase our understanding of inland water movement in the alpine Tibetan lakes, and also will improve our understanding of the lake sediment isotope record.</t>
  </si>
  <si>
    <t>[Wen, Rong; Tian, Lide; Qu, Dongmei] Chinese Acad Sci, Inst Tibetan Plateau Res, Key Lab Tibetan Environm Changes &amp; Land Surface P, Bldg 3,Courtyard 16,Lin Cui Rd, Beijing 100101, Peoples R China; [Wen, Rong] Univ Chinese Acad Sci, 19 A Yuquan Rd, Beijing 100049, Peoples R China; [Tian, Lide] CAS Ctr Excellence Tibetan Plateau Earth Sci, Bldg 3,Courtyard 16,Lin Cui Rd, Beijing 100101, Peoples R China; [Liu, Fengjing] Lincoln Univ, Dept Agr &amp; Environm Sci, 820 Chestnut St, Jefferson City, MO 65101 USA; [Liu, Fengjing] Lincoln Univ, Cooperat Res Program, 820 Chestnut St, Jefferson City, MO 65101 USA</t>
  </si>
  <si>
    <t>Chinese Academy of Sciences; Institute of Tibetan Plateau Research, CAS; Chinese Academy of Sciences; University of Chinese Academy of Sciences, CAS; Lincoln University - Missouri; Lincoln University - Missouri</t>
  </si>
  <si>
    <t>Wen, R (corresponding author), Chinese Acad Sci, Inst Tibetan Plateau Res, Key Lab Tibetan Environm Changes &amp; Land Surface P, Bldg 3,Courtyard 16,Lin Cui Rd, Beijing 100101, Peoples R China.;Wen, R (corresponding author), Univ Chinese Acad Sci, 19 A Yuquan Rd, Beijing 100049, Peoples R China.</t>
  </si>
  <si>
    <t>wenrong@itpcas.ac.cn</t>
  </si>
  <si>
    <t>Liu, Fengjing/AFB-2641-2022</t>
  </si>
  <si>
    <t>National Natural Science Foundation of China [91437110, 41371086]; Chinese Academy of Sciences [XDB03030100]</t>
  </si>
  <si>
    <t>National Natural Science Foundation of China(National Natural Science Foundation of China (NSFC)); Chinese Academy of Sciences(Chinese Academy of Sciences)</t>
  </si>
  <si>
    <t>This research was supported by the National Natural Science Foundation of China (Grant Nos. 91437110 and 41371086) and Chinese Academy of Sciences (Grant No. XDB03030100).We thank Dr. Anne Jennings and two anonymous reviewers for their comments and suggestions.</t>
  </si>
  <si>
    <t>10.1657/AAAR0015-028</t>
  </si>
  <si>
    <t>WOS:000382800700009</t>
  </si>
  <si>
    <t>Gonçalves-Araujo, R; de Souza, MS; Mendes, CRB; Tavano, VM; Garcia, CAE</t>
  </si>
  <si>
    <t>Goncalves-Araujo, Rafael; de Souza, Marcio Silva; Borges Mendes, Carlos Rafael; Tavano, Virginia Maria; Garcia, Carlos A. E.</t>
  </si>
  <si>
    <t>Seasonal change of phytoplankton (spring vs. summer) in the southern Patagonian shelf</t>
  </si>
  <si>
    <t>Southern Patagonian shelf; Phytoplankton community; Water column structure; Nutrient concentrations; Seasonal variability</t>
  </si>
  <si>
    <t>BRAZIL-MALVINAS CONFLUENCE; PLANKTON COMMUNITIES; OPTICAL-PROPERTIES; CONTINENTAL-SHELF; CHLOROPHYLL-A; CARBON; OCEAN; VARIABILITY; VOLUME; BREAK</t>
  </si>
  <si>
    <t>As part of the Patagonian Experiment (PATEX) project two sequential seasons (spring/summer 2007-2008) were sampled in the southern Patagonian shelf, when physical-chemical-biological (phytoplankton) data were collected. Phytoplankton biomass and community composition were assessed through both microscopic and high-performance liquid chromatography/chemical taxonomy (HPLC/CHEMTAX) techniques and related to both in situ and satellite data at spatial and seasonal scales. Phytoplankton seasonal variation was clearly modulated by water column thermohaline structure and nutrient dynamics [mainly dissolved inorganic nitrogen (DIN) and silicate]. The spring phytoplankton community showed elevated biomass and was dominated by diatoms [mainly Corethron pennatum and small ( &lt;20 mu m) cells of Thalassiosira spp.], associated with a deeper and more weakly stratified upper mixed layer depth (UMLD) and relatively low nutrient concentrations, which were probably a result of consumption by the diatom bloom. In contrast, the phytoplankton community in summer presented lower biomass and was mainly dominated by haptophytes (primarily Emiliania huxleyi and Phaeocystis antarctica) and dinoflagellates, associated with shallower and well-stratified upper mixed layers with higher nutrient concentrations, likely due to lateral advection of nutrient-rich waters from the Malvinas Current. The gradual establishment of a strongly stratified and shallow UMLD as season progressed, was an important factor leading to the replacement of the spring diatom community by a dominance of calcifying organisms, as shown in remote sensing imagery and confirmed by microscopic examination. Furthermore, in spring, phaeopigments a (degradation products of chlorophyll a) relative to chlorophyll a, were twice that of summer, indicating the diatom bloom was under higher grazing pressure. (C) 2016 Elsevier Ltd. All rights reserved.</t>
  </si>
  <si>
    <t>[Goncalves-Araujo, Rafael; de Souza, Marcio Silva; Borges Mendes, Carlos Rafael; Tavano, Virginia Maria; Garcia, Carlos A. E.] Univ Fed Rio Grande FURG, Inst Oceanog, Av Italia,Km 8, BR-96201900 Rio Grande, RS, Brazil; [Goncalves-Araujo, Rafael] Alfred Wegener Inst Helmholtz Zentrum Polar &amp; Mee, Climate Sci, Phys Oceanog Polar Seas, Bussestr 24,F-402, D-27570 Bremerhaven, Germany</t>
  </si>
  <si>
    <t>Universidade Federal do Rio Grande; Helmholtz Association; Alfred Wegener Institute, Helmholtz Centre for Polar &amp; Marine Research</t>
  </si>
  <si>
    <t>Gonçalves-Araujo, R (corresponding author), Univ Fed Rio Grande FURG, Inst Oceanog, Av Italia,Km 8, BR-96201900 Rio Grande, RS, Brazil.;Gonçalves-Araujo, R (corresponding author), Alfred Wegener Inst Helmholtz Zentrum Polar &amp; Mee, Climate Sci, Phys Oceanog Polar Seas, Bussestr 24,F-402, D-27570 Bremerhaven, Germany.</t>
  </si>
  <si>
    <t>rafael.goncalves.araujo@awi.de</t>
  </si>
  <si>
    <t>Mendes, Carlos/I-1520-2012; Mendes, Carlos/GVU-7596-2022; Gonçalves-Araujo, Rafael/F-8285-2014; Garcia, Carlos A. E./K-7382-2012; Mendes, Carlos/AAD-6504-2021; de Souza, Márcio Silva/AAR-5757-2021; Tavano, Virginia/C-5241-2013</t>
  </si>
  <si>
    <t>Mendes, Carlos/0000-0001-6875-8860; Mendes, Carlos/0000-0001-6875-8860; Gonçalves-Araujo, Rafael/0000-0001-8344-8326; de Souza, Márcio Silva/0000-0003-1572-9307; Tavano, Virginia/0000-0003-0039-8111</t>
  </si>
  <si>
    <t>Brazilian National Council for Scientific and Technological Development (CNPq) [520189/2006-0]; Coordination for Improvement of Higher Level Personnel (CAPES); Ministry of Science and Technology (MCT); Brazilian Ministry of Environment (MMA); CNPq; CAPES; DAAD (German Academic Exchange Service)</t>
  </si>
  <si>
    <t>Brazilian National Council for Scientific and Technological Development (CNPq)(Conselho Nacional de Desenvolvimento Cientifico e Tecnologico (CNPQ)); Coordination for Improvement of Higher Level Personnel (CAPES)(Coordenacao de Aperfeicoamento de Pessoal de Nivel Superior (CAPES)); Ministry of Science and Technology (MCT); Brazilian Ministry of Environment (MMA); CNPq(Conselho Nacional de Desenvolvimento Cientifico e Tecnologico (CNPQ)); CAPES(Coordenacao de Aperfeicoamento de Pessoal de Nivel Superior (CAPES)); DAAD (German Academic Exchange Service)(Deutscher Akademischer Austausch Dienst (DAAD))</t>
  </si>
  <si>
    <t>The authors thank the crew of the Brazilian Navy RV Ary Rongel for their assistance during the field sampling. We also acknowledge the Servicio de Hidrografia Naval (Argentina) for their cooperation in obtaining clearance for carrying out field work within Argentinean EEZ. The cruises 'PATEX IV and V' were conducted under the umbrella of the project 'Southern Ocean Studies for Understanding Climate Changes Issues' (SOS-CLIMATE), a Brazilian contribution to the International Polar Year. Laboratory facilities were provided by the Center of Oceanography of FCUL (Lisbon, Portugal) for HPLC analyses, and by the Laboratorio de Fitoplancton e Microorganismos Marinhos (Institute of Oceanography, FURG, Brazil) for microscopic analyses. We are grateful to Simon Wright, from the Australian Antarctic Division, for providing a copy of the CHEMTAX software v.1.95. The authors thank Ricardo C. Pollery for performing the nutrient analysis. This work was supported by financial resources from the Brazilian National Council for Scientific and Technological Development (CNPq, grant 520189/2006-0), the Coordination for Improvement of Higher Level Personnel (CAPES), the Ministry of Science and Technology (MCT) and the Brazilian Ministry of Environment (MMA) to the Brazilian Antarctic Program (PROANTAR). R. Goncalves-Araujo was funded by an M.Sc. grant from CNPq and is currently funded by a Ph.D. fellowship from CAPES in collaboration with the DAAD (German Academic Exchange Service). M.S. de Souza and C.R. Mendes were granted with Ph.D. fellowships from CAPES. V.M. Tavano is researcher granted with science fellowship from CNPq. M.S. de Souza is now receiving a research fellowship from CAPES.</t>
  </si>
  <si>
    <t>10.1016/j.csr.2016.03.023</t>
  </si>
  <si>
    <t>DU6TG</t>
  </si>
  <si>
    <t>WOS:000382346900013</t>
  </si>
  <si>
    <t>Ahn, DH; Kang, S; Park, H</t>
  </si>
  <si>
    <t>Ahn, Do-Hwan; Kang, Seunghyun; Park, Hyun</t>
  </si>
  <si>
    <t>Transcriptome analysis of immune response genes induced by pathogen agonists in the Antarctic bullhead notothen Notothenia coriiceps</t>
  </si>
  <si>
    <t>Antarctic fish; Notothenioid; Immune response; RNA-seq; Tumor necrosis factor</t>
  </si>
  <si>
    <t>TROUT ONCORHYNCHUS-MYKISS; TOLL-LIKE RECEPTORS; I GENOMIC REGION; RAINBOW-TROUT; MHC; TELEOST; FISH; EXPRESSION; EVOLUTION; INNATE</t>
  </si>
  <si>
    <t>Fish are a representative population of lower vertebrates that serve as an essential link to early vertebrate evolution, and this has fueled academic interest in studying ancient vertebrate immune defense mechanisms in teleosts. Notothenia coriiceps, a typical Antarctic notothenioid teleost, has evolved to adapt to the cold and thermally stable Antarctic sea. In this study, we examined adaptive signaling pathways and immune responses to bacterial and viral pathogenic exposure in N. coriiceps. Using RNA sequencing, we investigated transcriptional differences in the liver tissues of N. coriiceps challenged with two pathogen-mimicking agonists, a bacterial ligand (heat-killed Escherichia coli, HKEB) and a viral ligand (polyinosinic:polycytidylic acid, Poly I:C). We found that 567 unique genes were up-regulated two-fold in the HKEB-exposed group, whereas 392 unique genes, including 124 immune-relevant genes, were up regulated two-fold in the Poly I:C-exposed group. A KEGG pathway analysis of the 124 immune relevant genes revealed that they exhibited major features of antigen processing and presentation bacterial ligand exposure, but they were down-regulated after viral ligand exposure. A quantitative real time RT-PCR analysis revealed that TNF alpha and TNF2, major inducers of apoptosis, were highly up regulated after exposure to the viral ligand but not the bacterial ligand. The results suggest that the bacterial and viral ligands up-regulate inducers of different immune mechanisms in N. coriiceps liver tissue. N. coriiceps has an immune response defense strategy that uses antigen presentation against bacterial infection, but it may use a different defense, such as TNF-mediated apoptosis, against viral infection. The specific immune responses of N. coriiceps may be adaptations to the Antarctic environment and pathogens. These results will help define the characteristics of Antarctic fish and increase our understanding of their immune response mechanisms. (C) 2016 Elsevier Ltd. All rights reserved.</t>
  </si>
  <si>
    <t>[Ahn, Do-Hwan; Kang, Seunghyun; Park, Hyun] Korea Polar Res Inst, Div Polar Life Sci, Inchon 21990, South Korea; [Park, Hyun] Univ Sci &amp; Technol, Polar Sci, Daejeon 34113, South Korea</t>
  </si>
  <si>
    <t>Korea Polar Research Institute (KOPRI); University of Science &amp; Technology (UST)</t>
  </si>
  <si>
    <t>Park, H (corresponding author), Korea Polar Res Inst, Div Polar Life Sci, Inchon 21990, South Korea.</t>
  </si>
  <si>
    <t>hpark@kopri.re.kr</t>
  </si>
  <si>
    <t>Antarctic organisms: Cold adaptation mechanism and its application grant - Korea Polar Research Institute (KOPRI) [PE16070]</t>
  </si>
  <si>
    <t>Antarctic organisms: Cold adaptation mechanism and its application grant - Korea Polar Research Institute (KOPRI)</t>
  </si>
  <si>
    <t>This work was supported by an Antarctic organisms: Cold adaptation mechanism and its application grant (PE16070) funded by the Korea Polar Research Institute (KOPRI).</t>
  </si>
  <si>
    <t>10.1016/j.fsi.2016.06.004</t>
  </si>
  <si>
    <t>DT5QF</t>
  </si>
  <si>
    <t>WOS:000381537000032</t>
  </si>
  <si>
    <t>Su, XL; Shum, CK; Kuo, C; Yi, YC</t>
  </si>
  <si>
    <t>Su, Xiaoli; Shum, C. -K.; Kuo, Chungyen; Yi, Yuchan</t>
  </si>
  <si>
    <t>Improved Envisat Altimetry Ice Sheet Elevation Change Data Processing Algorithms Using Repeat-Track Analysis</t>
  </si>
  <si>
    <t>Continental ice sheets; elevation change; Envisat altimetry; radar backscatters; repeat-track analysis</t>
  </si>
  <si>
    <t>RADAR ALTIMETRY; SATELLITE RADAR; MASS-BALANCE; VOLUME</t>
  </si>
  <si>
    <t>Repeat-track analysis is commonly utilized to generate elevation change time series from satellite radar altimetry over ice sheets. It requires surface gradient (SG) correction due primarily to orbital drifts and radar-related empirical corrections caused by radar scatters from ice surface and potential subsurface. In this letter, two approaches, namely, the use of a digital elevation model (DEM) and the modified repeat-track analysis, which uses the accumulated Envisat altimetry profiles, are applied to correct the SG over both Greenland ice sheet (GrIS) and Antarctic ice sheet (AIS). By comparing the root mean square (rms) of elevation change time series after SG correction, the percentage of data (rms &lt; 1 m) obtained by using modified repeat-track analysis is found to be 85% and 88% for the GrIS and AIS, respectively, as opposed to 45% and 44% if the DEM method is used. Furthermore, three cases are studied to assess empirical corrections for elevation retrieved from both ice-1 and ice-2 algorithms over the AIS. We conclude that the modified repeat-track analysis is more effective to remove topographic induced error. For the ice-2 algorithm, waveform shape parameters are needed in addition to applying corrections from changes in backscatter coefficients. The trend of elevation changes from the ice-1 algorithm with only backscatter analysis agrees with that from the ice-2 algorithm with corrections from backscatter coefficient changes and waveform shape parameters. This study could provide a potential data processing recipe for generating improved satellite radar altimetry elevation time series over ice sheets.</t>
  </si>
  <si>
    <t>[Su, Xiaoli; Shum, C. -K.; Yi, Yuchan] Ohio State Univ, Sch Earth Sci, Div Geodet Sci, Columbus, OH 43210 USA; [Shum, C. -K.] Chinese Acad Sci, Inst Geodesy &amp; Geophys, State Key Lab Geodesy &amp; Earths Dynam, Wuhan 430074, Peoples R China; [Kuo, Chungyen] Natl Cheng Kung Univ, Dept Geomat, Tainan 70101, Taiwan</t>
  </si>
  <si>
    <t>University System of Ohio; Ohio State University; Chinese Academy of Sciences; Innovation Academy for Precision Measurement Science &amp; Technology, CAS; National Cheng Kung University</t>
  </si>
  <si>
    <t>Su, XL (corresponding author), Ohio State Univ, Sch Earth Sci, Div Geodet Sci, Columbus, OH 43210 USA.</t>
  </si>
  <si>
    <t>su.282@osu.edu; ckshum@osu.edu; kuo70@mail.ncku.edu.tw; yi.3@osu.edu</t>
  </si>
  <si>
    <t>Su, Xiaoli/0000-0003-0817-1122; Shum, C K/0000-0001-9378-4067</t>
  </si>
  <si>
    <t>National Aeronautics and Space Administration [NNX10AG31G, NNX11AR47G, NNX13AQ89G, NNX13AP92G]; Natural Science Foundation of China [41374020]; Headquarters of University Advancement at National Cheng Kung University, Taiwan</t>
  </si>
  <si>
    <t>National Aeronautics and Space Administration(National Aeronautics &amp; Space Administration (NASA)); Natural Science Foundation of China(National Natural Science Foundation of China (NSFC)); Headquarters of University Advancement at National Cheng Kung University, Taiwan</t>
  </si>
  <si>
    <t>This work was supported by grants from the National Aeronautics and Space Administration's Cryosphere Program (NNX10AG31G, NNX11AR47G, NNX13AQ89G, and NNX13AP92G) and from the Natural Science Foundation of China (41374020). The work of C. Kuo was supported in part by the Headquarters of University Advancement at National Cheng Kung University, Taiwan.</t>
  </si>
  <si>
    <t>10.1109/LGRS.2016.2567486</t>
  </si>
  <si>
    <t>DV1LR</t>
  </si>
  <si>
    <t>WOS:000382683100013</t>
  </si>
  <si>
    <t>Lago, V; Wijffels, SE; Durack, PJ; Church, JA; Bindoff, NL; Marsland, SJ</t>
  </si>
  <si>
    <t>Lago, Veronique; Wijffels, Susan E.; Durack, Paul J.; Church, John A.; Bindoff, Nathaniel L.; Marsland, Simon J.</t>
  </si>
  <si>
    <t>Simulating the Role of Surface Forcing on Observed Multidecadal Upper-Ocean Salinity Changes</t>
  </si>
  <si>
    <t>FRESH-WATER; INTERMEDIATE WATERS; HYDROLOGICAL CYCLE; ATLANTIC-OCEAN; NORTH-ATLANTIC; WORLD OCEAN; PACIFIC; TRENDS; LAYER</t>
  </si>
  <si>
    <t>The ocean's surface salinity field has changed over the observed record, driven by an intensification of the water cycle in response to global warming. However, the origin and causes of the coincident subsurface salinity changes are not fully understood. The relationship between imposed surface salinity and temperature changes and their corresponding subsurface changes is investigated using idealized ocean model experiments. The ocean's surface has warmed by about 0.5 degrees C (50 yr)(-1) while the surface salinity pattern has amplified by about 8% per 50 years. The idealized experiments are constructed for a 50-yr period, allowing a qualitative comparison to the observed salinity and temperature changes previously reported. The comparison suggests that changes in both modeled surface salinity and temperature are required to replicate the three-dimensional pattern of observed salinity change. The results also show that the effects of surface changes in temperature and salinity act linearly on the changes in subsurface salinity. Surface salinity pattern amplification appears to be the leading driver of subsurface salinity change on depth surfaces; however, surface warming is also required to replicate the observed patterns of change on density surfaces. This is the result of isopycnal migration modified by the ocean surface warming, which produces significant salinity changes on density surfaces.</t>
  </si>
  <si>
    <t>[Lago, Veronique; Wijffels, Susan E.; Durack, Paul J.; Church, John A.; Bindoff, Nathaniel L.] CSIRO Oceans &amp; Atmosphere, Ctr Australian Weather &amp; Climate Res, Hobart, Tas, Australia; [Lago, Veronique; Bindoff, Nathaniel L.] Univ Tasmania, Inst Marine &amp; Antarct Studies, Hobart, Tas, Australia; [Durack, Paul J.] Lawrence Livermore Natl Lab, Program Climate Model Diag &amp; Intercomparison, Livermore, CA USA; [Bindoff, Nathaniel L.] Antarctic Climate &amp; Ecosystems Cooperat Res Ctr, Hobart, Tas, Australia; [Marsland, Simon J.] CSIRO Oceans &amp; Atmosphere Flagship, Ctr Australian Weather &amp; Climate Res, Aspendale, Vic, Australia</t>
  </si>
  <si>
    <t>Commonwealth Scientific &amp; Industrial Research Organisation (CSIRO); University of Tasmania; United States Department of Energy (DOE); Lawrence Livermore National Laboratory; Commonwealth Scientific &amp; Industrial Research Organisation (CSIRO)</t>
  </si>
  <si>
    <t>Lago, V (corresponding author), CSIRO Marine &amp; Atmospher Res, GPO Box 1538, Hobart, Tas 7001, Australia.</t>
  </si>
  <si>
    <t>veronique.lago@csiro.au</t>
  </si>
  <si>
    <t>Bindoff, Nathaniel Lee/IVV-0333-2023; Bindoff, Nathaniel Lee/C-8050-2011; Church, John A/A-1541-2012; Wijffels, Susan E/I-8215-2012; Marsland, Simon J/A-1453-2012; Durack, Paul James/A-8758-2010</t>
  </si>
  <si>
    <t>Bindoff, Nathaniel Lee/0000-0001-5662-9519; Bindoff, Nathaniel Lee/0000-0001-5662-9519; Church, John A/0000-0002-7037-8194; Marsland, Simon J/0000-0002-5664-5276; Durack, Paul James/0000-0003-2835-1438; Wijffels, Susan/0000-0002-4717-0811</t>
  </si>
  <si>
    <t>Australian Government Department of Environment; Bureau of Meteorology; CSIRO; University of Tasmania; Centre of Excellence for Climate System Science; [DE-AC52-07NA27344]</t>
  </si>
  <si>
    <t>Australian Government Department of Environment(Australian Government); Bureau of Meteorology(Bureau of Meteorology - Australia); CSIRO(Commonwealth Scientific &amp; Industrial Research Organisation (CSIRO)); University of Tasmania; Centre of Excellence for Climate System Science;</t>
  </si>
  <si>
    <t>The work of V.L., S.E.W., J.A.C., and S.J.M. is supported by the Australian Government Department of Environment, the Bureau of Meteorology, and CSIRO through the Australian Climate Change Science Program. This research was undertaken with the assistance of resources provided at the NCI National Facility systems at the Australian National University through the National Computational Merit Allocation Scheme supported by the Australian government. The work of P.J.D. from Lawrence Livermore National Laboratory is a contribution to the U.S. Department of Energy, Office of Science, Climate and Environmental Sciences Division, Regional and Global Climate Modeling Program under Contract DE-AC52-07NA27344. The work of V.L. and N.L.B. from the Institute of Marine and Antarctic Studies is supported by the University of Tasmania and the Centre of Excellence for Climate System Science.</t>
  </si>
  <si>
    <t>10.1175/JCLI-D-15-0519.1</t>
  </si>
  <si>
    <t>DS4PR</t>
  </si>
  <si>
    <t>Green Submitted, Green Accepted, hybrid</t>
  </si>
  <si>
    <t>WOS:000380763500013</t>
  </si>
  <si>
    <t>Dornburg, A; Eytan, RI; Federman, S; Pennington, JN; Stewart, AL; Jones, CD; Near, TJ</t>
  </si>
  <si>
    <t>Dornburg, Alex; Eytan, Ron I.; Federman, Sarah; Pennington, Jillian N.; Stewart, Andrew L.; Jones, Christopher D.; Near, Thomas J.</t>
  </si>
  <si>
    <t>Molecular data support the existence of two species of the Antarctic fish genus Cryodraco (Channichthyidae)</t>
  </si>
  <si>
    <t>Notothenioidei; Pelagic larval dispersal; Species delimitation; Icefish</t>
  </si>
  <si>
    <t>MULTILOCUS GENOTYPE DATA; POPULATION-STRUCTURE; ROSS SEA; HAPLOTYPE RECONSTRUCTION; STATISTICAL-METHOD; NOTOTHENIOID FISH; SEQUENCE DATA; DNA BARCODES; R-PACKAGE; INFERENCE</t>
  </si>
  <si>
    <t>Antarctic notothenioids represent one of the few strongly supported examples of adaptive radiation in marine fishes. The extent of population connectivity and structure is unknown for many species, thereby limiting our understanding of the factors that underlie speciation dynamics in this radiation. Here, we assess the population structure of the widespread species Cryodraco antarcticus and its sister species Cryodraco atkinsoni, whose taxonomic status is currently debated. Combining both population genetic and phylogenetic approaches to species delimitation, we provide evidence that C. atkinsoni is a distinct species. Our analyses show that C. atkinsoni and C. antarcticus are recently diverged sister lineages, and the two species differ with regard to patterns of population structure. A systematic and accurate account of species diversity is a critical prerequisite for investigations into the complex processes that underlie the history of speciation in the notothenioid adaptive radiation.</t>
  </si>
  <si>
    <t>[Dornburg, Alex] North Carolina Museum Nat Sci, Ichthyol Unit, 11 West Jones St, Raleigh, NC 27601 USA; [Eytan, Ron I.] Texas A&amp;M Univ, Dept Marine Biol, Galveston, TX 77553 USA; [Federman, Sarah; Near, Thomas J.] Yale Univ, Dept Ecol &amp; Evolutionary Biol, New Haven, CT 06520 USA; [Pennington, Jillian N.] Yale Univ, Ezra Stiles Coll, New Haven, CT 06520 USA; [Stewart, Andrew L.] Museum New Zealand Te Papa Tongarewa, POB 467, Wellington, New Zealand; [Jones, Christopher D.] NOAA, Antarctic Ecosyst Res Div, Southwest Fisheries Sci Ctr, Natl Marine Fisheries Serv, La Jolla, CA 92037 USA; [Near, Thomas J.] Yale Univ, Peabody Museum Nat Hist, New Haven, CT 06520 USA</t>
  </si>
  <si>
    <t>Texas A&amp;M University System; Yale University; Yale University; National Oceanic Atmospheric Admin (NOAA) - USA; Yale University</t>
  </si>
  <si>
    <t>Dornburg, A (corresponding author), North Carolina Museum Nat Sci, Ichthyol Unit, 11 West Jones St, Raleigh, NC 27601 USA.</t>
  </si>
  <si>
    <t>Stewart, Andrew/HGC-0709-2022; Near, Thomas J./K-1204-2012; Dornburg, Alex/CAF-1206-2022</t>
  </si>
  <si>
    <t>Near, Thomas J./0000-0002-7398-6670; Stewart, Andrew/0000-0001-8354-3032; Dornburg, Alex/0000-0003-0863-2283</t>
  </si>
  <si>
    <t>New Zealand Government; NSF [PLR-1341661]; Office of Polar Programs (OPP); Directorate For Geosciences [1341661] Funding Source: National Science Foundation</t>
  </si>
  <si>
    <t>New Zealand Government; NSF(National Science Foundation (NSF)); Office of Polar Programs (OPP); Directorate For Geosciences(National Science Foundation (NSF)NSF - Directorate for Geosciences (GEO))</t>
  </si>
  <si>
    <t>Fieldwork was facilitated through the United States Antarctic Marine Living Resources Program and the officers and crew of the RV Yuzhmorgeologia, the 2004 ICEFISH cruise aboard the RVIB Nathaniel B. Palmer, and the 2008 IPY/CAML expedition aboard the RV Tangaroa funded by the New Zealand Government. Specimens and data collected by and made available through the New Zealand International Polar Year-Census of Antarctic Marine Life Project are gratefully acknowledged. Field and laboratory support was provided by H. W. Detrich, J. Kendrick, K.-H. Kock, K. L. Kuhn, and J. A. Moore. This research was funded from a NSF grant awarded to T.J.N. (PLR-1341661). All sequence alignment and analysis files used in this study have been archived on Zenodo (DOI:10.5281/zenodo.35673).</t>
  </si>
  <si>
    <t>10.1007/s00300-015-1859-9</t>
  </si>
  <si>
    <t>WOS:000381405400002</t>
  </si>
  <si>
    <t>Casaux, R; Barrera-Oro, E</t>
  </si>
  <si>
    <t>Casaux, Ricardo; Barrera-Oro, Esteban</t>
  </si>
  <si>
    <t>Linking population trends of Antarctic shag (Phalacrocorax bransfieldensis) and fish at Nelson Island, South Shetland Islands (Antarctica)</t>
  </si>
  <si>
    <t>Antarctic shag; Inshore fish; Notothenioids; Population trends; South Shetland Islands</t>
  </si>
  <si>
    <t>FJORD NOTOTHENIA-ROSSII; MARINE FOOD-WEB; GOBIONOTOTHEN-GIBBERIFRONS; CALIFORNIA CURRENT; DANCO COAST; POTTER COVE; DIET; PENINSULA; CORIICEPS; ABUNDANCE</t>
  </si>
  <si>
    <t>This study aims to provide consistent information to explain the steady declining trend in the number of breeding pairs of Antarctic shag Phalacrocorax bransfieldensis in two colonies on Nelson Island, South Shetland Islands, southern Atlantic sector of Antarctica, which was observed during the 1990s up to the mid 2000s over an overall monitoring period of over two decades. It addresses correspondence between long-term population trends of inshore demersal fish and inshore-feeding Antarctic shags of this area, where an intensive commercial fishery for shag prey once operated. The analysis also includes comparable information on diet (by examination of regurgitated pellets), foraging patterns, and breeding output of shags from the Danco Coast, western Antarctic Peninsula, an area where no commercial finfish fishery has ever existed. Integral study of these parameters there showed that, in Antarctic shags, low breeding success and high foraging effort might imply low recruitment and high adult mortality, respectively, with both factors adversely affecting the population trends of this bird. In line with these premises, the declining trend observed in shag colonies on the South Shetland Islands appears to have been influenced by the concomitant decrease in abundance of two of their main prey, the nototheniids Notothenia rossii and Gobionotothen gibberifrons, due to intensive industrial fishing in the area in the late 1970s. In comparison, no such pattern occurred for the Danco Coast colonies.</t>
  </si>
  <si>
    <t>[Casaux, Ricardo] UNPSJB, CONICET, CIEMEP, Roca 780, RA-9200 Esquel, Chubut, Argentina; [Casaux, Ricardo; Barrera-Oro, Esteban] Inst Antartico Argentino, Balcarce 290, RA-1064 Buenos Aires, DF, Argentina; [Casaux, Ricardo; Barrera-Oro, Esteban] Consejo Nacl Invest Cient &amp; Tecn, Ave Rivadavia 1917, RA-1033 Buenos Aires, DF, Argentina; [Barrera-Oro, Esteban] Museo Argentino Ciencias Nat Bernardino Rivadavia, Angel Gallardo 470, RA-1405 Buenos Aires, DF, Argentina</t>
  </si>
  <si>
    <t>Consejo Nacional de Investigaciones Cientificas y Tecnicas (CONICET); Instituto Antartico Argentino; Consejo Nacional de Investigaciones Cientificas y Tecnicas (CONICET); Museo Argentino de Ciencias Naturales Bernardino Rivadavia (MACN)</t>
  </si>
  <si>
    <t>Casaux, R (corresponding author), UNPSJB, CONICET, CIEMEP, Roca 780, RA-9200 Esquel, Chubut, Argentina.;Casaux, R (corresponding author), Inst Antartico Argentino, Balcarce 290, RA-1064 Buenos Aires, DF, Argentina.;Casaux, R (corresponding author), Consejo Nacl Invest Cient &amp; Tecn, Ave Rivadavia 1917, RA-1033 Buenos Aires, DF, Argentina.</t>
  </si>
  <si>
    <t>pipocasaux@infovia.com.ar; ebarreraoro@dna.gov.ar</t>
  </si>
  <si>
    <t>10.1007/s00300-015-1850-5</t>
  </si>
  <si>
    <t>WOS:000381405400011</t>
  </si>
  <si>
    <t>Olech, M; Slaby, A</t>
  </si>
  <si>
    <t>Olech, Maria; Slaby, Agnieszka</t>
  </si>
  <si>
    <t>Changes in the lichen biota of the Lions Rump area, King George Island, Antarctica, over the last 20 years</t>
  </si>
  <si>
    <t>Lichen biota; Biodiversity; ASPA No. 151; Climate change; Maritime Antarctica</t>
  </si>
  <si>
    <t>CLIMATE-CHANGE; PENINSULA; ASCOMYCOTA</t>
  </si>
  <si>
    <t>Climate changes observed in recent years in the maritime Antarctic have affected the tundra vegetation, including plant communities in which lichens are a dominant component. The results of comparative studies (1988 and 1990 vs. 2007 and 2008) on the dynamics of the lichen biota within the Antarctic Specially Protected Area No. 151 (King George Island, Antarctica) minimally influenced by human impact, are presented. This long-term experiment is aimed at determining the trends and rate of changes on lichen biota induced by climate warming and rapid deglaciation. The most significant changes affecting the lichen biota have taken place in the forefield of a glacier and on the young moraines where in the second period of studies three species (Polyblastia gothica, Thelenella kerguelena, Thelocarpon cyaneum) were not refound. There was also a reduction in the number of other sites for some species (e.g. Leptogium puberulum, Staurothelle gelida) caused by substrate desiccation. On the other hand, there was an increase in the range of pioneering species (e.g. Bacidia chrysocolla, Caloplaca johnstonii, Candelariella aurella, Lecanora dispersa) on young moraines recently uncovered by the retreating glacier. The smallest changes were observed on the cliff rocks near penguin colonies.</t>
  </si>
  <si>
    <t>[Olech, Maria; Slaby, Agnieszka] Jagiellonian Univ, Inst Bot, Dept Polar Res &amp; Documentat, Kopernika 27, PL-31501 Krakow, Poland; [Olech, Maria] Polish Acad Sci, Inst Biochem &amp; Biophys, Dept Antarctic Biol, Ustrzycka 10-12, PL-02141 Warsaw, Poland</t>
  </si>
  <si>
    <t>Jagiellonian University; Polish Academy of Sciences; Institute of Biochemistry &amp; Biophysics - Polish Academy of Sciences</t>
  </si>
  <si>
    <t>Slaby, A (corresponding author), Jagiellonian Univ, Inst Bot, Dept Polar Res &amp; Documentat, Kopernika 27, PL-31501 Krakow, Poland.</t>
  </si>
  <si>
    <t>a.slaby@uj.edu.pl</t>
  </si>
  <si>
    <t>10.1007/s00300-015-1863-0</t>
  </si>
  <si>
    <t>WOS:000381405400012</t>
  </si>
  <si>
    <t>Böggemann, M; Dietz, A</t>
  </si>
  <si>
    <t>Boeggemann, Markus; Dietz, Adrian</t>
  </si>
  <si>
    <t>Glyceriformia (Annelida) from the deep sea of the Atlantic sector of the Southern Ocean</t>
  </si>
  <si>
    <t>Polychaetes; Glyceridae; Goniadidae; Southern Ocean; South Atlantic Ocean; Deep Sea</t>
  </si>
  <si>
    <t>The faunas living in the vast deep sea regions around the Antarctic are very poorly known. This is especially true for the biodiversity of polychaetes inhabiting these remote areas. Therefore, we report new morphological data of Glyceriformia from the ANDEEP cruises to the South Atlantic Ocean and the Southern Ocean. Based on benthos samples from three expeditions aboard R/V POLARSTERN, two species of Glyceridae (Glycera capitata, G. diva) and four species of Goniadidae (Bathyglycinde sibogana, B. stepaniantsae, Goniada maculata, Progoniada regularis) were studied. Furthermore, new morphological details (especially for the previously unknown tail) for the rarely found taxon B. stepaniantsae are given. The distribution patterns of the different taxa demonstrated that some species have a high dispersal capability and show an extended level of eurybathy, whereas other species are restricted to the deep sea.</t>
  </si>
  <si>
    <t>[Boeggemann, Markus; Dietz, Adrian] Univ Vechta, Dept Biol 2, Driverstr 22, D-49377 Vechta, Germany</t>
  </si>
  <si>
    <t>Böggemann, M (corresponding author), Univ Vechta, Dept Biol 2, Driverstr 22, D-49377 Vechta, Germany.</t>
  </si>
  <si>
    <t>markus.boeggemann@uni-vechta.de</t>
  </si>
  <si>
    <t>10.1007/s00300-015-1864-z</t>
  </si>
  <si>
    <t>WOS:000381405400013</t>
  </si>
  <si>
    <t>Saldías, GS; Largier, JL; Mendes, R; Perez-Santos, I; Vargas, CA; Sobarzo, M</t>
  </si>
  <si>
    <t>Saldias, Gonzalo S.; Largier, John L.; Mendes, Renato; Perez-Santos, Ivan; Vargas, Cristian A.; Sobarzo, Marcus</t>
  </si>
  <si>
    <t>Satellite-measured interannual variability of turbid river plumes off central-southern Chile: Spatial patterns and the influence of climate variability</t>
  </si>
  <si>
    <t>PROGRESS IN OCEANOGRAPHY</t>
  </si>
  <si>
    <t>PARTICULATE ORGANIC-CARBON; COASTAL UPWELLING SYSTEM; STORMWATER RUNOFF PLUMES; SMALL MOUNTAINOUS RIVERS; OCEAN COLOR; CONTINENTAL-SHELF; FRESH-WATER; ATMOSPHERIC CORRECTION; CALIFORNIA BIGHT; CHESAPEAKE BAY</t>
  </si>
  <si>
    <t>Ocean color imagery from MODIS (Moderate Resolution Imaging Spectroradiometer) onboard the Aqua platform is used to characterize the interannual variability of turbid river plumes off central-southern Chile. Emphasis is placed on the influence of climate fluctuations, namely El Nino Southern Oscillation (ENSO), the Pacific Decadal Oscillation (PDO), and the Antarctic Oscillation (AAO). Additional satellite data on wind, boat-based hydrographic profiles, and regional climate indices are used to identify the influence of climate variability on the generation of anomalous turbid river plumes. The evolution of salinity at a coastal station on the 90 m isobath between the Itata and Biobio Rivers shows a freshwater surface layer with salinity &lt;32.5 and 5-10 m thick during major plume events in 2002, 2005 and 2006. Surface salinity minima are correlated with peaks in turbidy from the normalized water leaving radiance at 555 nm (nLw(555)), both representing turbid river plumes. EOF analysis reveals that major turbid plume events occurred primarily during warm phases of the ENSO and PDO, and negative phases of the AAO, when storm tracks are further north. Anomalously large turbid plumes extend long distances offshore (similar to 70-80 km), and individual plumes coalesce into a continuous plume along the coast that covers the entire continental shelf. Season-specific correlation analyses reveal an increased influence of the AAO on river plumes south of Punta Lavapie in spring-summer (negative correlation). North of this major cape, ENSO and PDO indices have a dominant influence on plumes with positive correlations with the nLw(555) signal in winter (and negative in summer). We discuss the biogeochemical implications of plume events and the importance of long-term and high-resolution ocean color observations for studying the temporal evolution of river plumes. (C) 2016 Elsevier Ltd. All rights reserved.</t>
  </si>
  <si>
    <t>[Saldias, Gonzalo S.] Oregon State Univ, Coll Earth Ocean &amp; Atmospher Sci, Corvallis, OR 97331 USA; [Largier, John L.] Univ Calif Davis, Bodega Marine Lab, Bodega Bay, CA USA; [Mendes, Renato] Univ Aveiro, Dept Phys, CESAM, Aveiro, Portugal; [Perez-Santos, Ivan] Univ Lagos, Ctr I Mar, Puerto Montt, Chile; [Vargas, Cristian A.] Univ Concepcion, Lab Funcionamiento Ecosistemas Acuat, Ctr Ciencias Ambientales EULA Chile, Concepcion, Chile; [Sobarzo, Marcus] Univ Concepcion, Dept Oceanog, Concepcion, Chile; [Sobarzo, Marcus] Univ Concepcion, Interdisciplinary Ctr Aquaculture Res INCAR, Concepcion, Chile</t>
  </si>
  <si>
    <t>Oregon State University; University of California System; University of California Davis; Universidade de Aveiro; Universidad de Los Lagos; Universidad de Concepcion; Universidad de Concepcion; Universidad de Concepcion</t>
  </si>
  <si>
    <t>Saldías, GS (corresponding author), Oregon State Univ, Coll Earth Ocean &amp; Atmospher Sci, Corvallis, OR 97331 USA.</t>
  </si>
  <si>
    <t>gsaldias@coas.oregonstate.edu</t>
  </si>
  <si>
    <t>Sobarzo, Marcus/CAF-8457-2022; Saldías, Gonzalo S/C-3577-2016; Largier, John/KHZ-2681-2024; Mendes, Renato/AAW-8775-2021; Perez, Ivan/B-9321-2018</t>
  </si>
  <si>
    <t>Mendes, Renato/0000-0002-2964-9757; Perez, Ivan/0000-0001-5804-9761; Vargas, Cristian A./0000-0002-1486-3611; , Ivan Perez-Santos/0000-0002-0184-1122; Sobarzo, Marcus/0000-0001-8756-5191</t>
  </si>
  <si>
    <t>Fulbright; National Commission for Scientific and Technological Research (CONICYT-Becas Chile) scholarship; Portuguese Science Foundation [SFRH/BD/79555/2011]; FONDECYT [11140161, 1130254, 1130648]; COPAS SUR-AUSTRAL Grant [PFB-31 /2007]; Millennium Nucleus Center for the Study of Multiple-drivers on Marine Socio-Ecological Systems (MUSELS) [MINECON NC120086]; Millennium Institute of Oceanography (IMO) [IC 120019]; Red Doctoral REDOC.CTA, MINEDUC project at Universidad de Concepcion [UCO1202]; Interdisciplinary Center for Aquaculture Research (INCAR); Fundação para a Ciência e a Tecnologia [SFRH/BD/79555/2011] Funding Source: FCT</t>
  </si>
  <si>
    <t>Fulbright; National Commission for Scientific and Technological Research (CONICYT-Becas Chile) scholarship; Portuguese Science Foundation(Fundacao para a Ciencia e a Tecnologia (FCT)); FONDECYT(Comision Nacional de Investigacion Cientifica y Tecnologica (CONICYT)CONICYT FONDECYT); COPAS SUR-AUSTRAL Grant(Comision Nacional de Investigacion Cientifica y Tecnologica (CONICYT)CONICYT PIA/BASAL); Millennium Nucleus Center for the Study of Multiple-drivers on Marine Socio-Ecological Systems (MUSELS); Millennium Institute of Oceanography (IMO); Red Doctoral REDOC.CTA, MINEDUC project at Universidad de Concepcion; Interdisciplinary Center for Aquaculture Research (INCAR); Fundação para a Ciência e a Tecnologia(Fundacao para a Ciencia e a Tecnologia (FCT))</t>
  </si>
  <si>
    <t>The Ocean Biology Processing Group (Code 614.2) at the GSFC, Greenbelt, MD 20771, makes possible the distribution of MODIS L1 files. The hydrographic data used in Fig. 4 were kindly provided by the Center for Oceanographic Research in the eastern South Pacific (FONDAP-COPAS). The first author (GSS) is supported by a Fulbright and The National Commission for Scientific and Technological Research (CONICYT-Becas Chile) scholarship. RM is supported by the Portuguese Science Foundation through a doctoral grant (SFRH/BD/79555/2011). IP-S is supported by the FONDECYT Grant 11140161 and COPAS SUR-AUSTRAL Grant PFB-31 /2007. The FONDECYT Grant 1130254, the Millennium Nucleus Center for the Study of Multiple-drivers on Marine Socio-Ecological Systems (MUSELS) MINECON NC120086, and the Millennium Institute of Oceanography (IMO) IC 120019 funded CAV during the final stage of the manuscript preparation. CAV is also supported by Red Doctoral REDOC.CTA, MINEDUC project UCO1202 at Universidad de Concepcion. MS was funded by the Interdisciplinary Center for Aquaculture Research (INCAR) and by FONDECYT Grant 1130648. Finally, thanks to four anonymous reviewers for providing constructive comments that improved considerably this manuscript.</t>
  </si>
  <si>
    <t>0079-6611</t>
  </si>
  <si>
    <t>PROG OCEANOGR</t>
  </si>
  <si>
    <t>Prog. Oceanogr.</t>
  </si>
  <si>
    <t>10.1016/j.pocean.2016.07.007</t>
  </si>
  <si>
    <t>DU6RH</t>
  </si>
  <si>
    <t>WOS:000382341800013</t>
  </si>
  <si>
    <t>Lee, H; Ji, Y; Han, H</t>
  </si>
  <si>
    <t>Lee, Hoonyol; Ji, Younghun; Han, Hyangsun</t>
  </si>
  <si>
    <t>Experiments on a Ground-Based Tomographic Synthetic Aperture Radar</t>
  </si>
  <si>
    <t>SAR; tomography; ground-based; GB-SAR; GB-TomoSAR</t>
  </si>
  <si>
    <t>SAR TOMOGRAPHY</t>
  </si>
  <si>
    <t>This paper presents the development and experiment of three-dimensional image formation by using a ground-based tomographic synthetic aperture radar (GB-TomoSAR) system. GB-TomoSAR formulates two-dimensional synthetic aperture by the motion of antennae, both in azimuth and vertical directions. After range compression, three-dimensional image focusing is performed by applying Deramp-FFT (Fast Fourier Transform) algorithms, both in azimuth and vertical directions. Geometric and radiometric calibrations were applied to make an image cube, which is then projected into range-azimuth and range-vertical cross-sections for visualization. An experiment with a C-band GB-TomoSAR system with a scan length of 2.49 m and 1.86 m in azimuth and vertical-direction, respectively, shows distinctive three-dimensional radar backscattering of stable buildings and roads with resolutions similar to the theoretical values. Unstable objects such as trees and moving cars generate severe noise due to decorrelation during the eight-hour image-acquisition time.</t>
  </si>
  <si>
    <t>[Lee, Hoonyol; Ji, Younghun; Han, Hyangsun] Kangwon Natl Univ, Div Geol &amp; Geophys, Chunchon 24341, Kangwon Do, South Korea; [Han, Hyangsun] Korea Polar Res Inst KOPRI, Div Polar Ocean Environm, Inchon 21990, South Korea</t>
  </si>
  <si>
    <t>Kangwon National University; Korea Polar Research Institute (KOPRI)</t>
  </si>
  <si>
    <t>Han, H (corresponding author), Kangwon Natl Univ, Div Geol &amp; Geophys, Chunchon 24341, Kangwon Do, South Korea.;Han, H (corresponding author), Korea Polar Res Inst KOPRI, Div Polar Ocean Environm, Inchon 21990, South Korea.</t>
  </si>
  <si>
    <t>hoonyol@kangwon.ac.kr; jyh89@kangwon.ac.kr; hyangsun@kopri.re.kr</t>
  </si>
  <si>
    <t>Han, Hyangsun/AAE-7670-2022</t>
  </si>
  <si>
    <t>Han, Hyangsun/0000-0002-0414-519X; Lee, Hoonyol/0000-0002-5980-8640</t>
  </si>
  <si>
    <t>National Research Foundation of Korea [NRF-2013M1A3A3A02041853, NRF-2013R1A1A2008062]; Kangwon National University; Korea Polar Research Institute (KOPRI) under project 'SaTellite remote sensing on west Antarctic ocean Research (STAR) [PE16040]</t>
  </si>
  <si>
    <t>National Research Foundation of Korea(National Research Foundation of Korea); Kangwon National University; Korea Polar Research Institute (KOPRI) under project 'SaTellite remote sensing on west Antarctic ocean Research (STAR)(Korea Polar Research Institute of Marine Research Placement (KOPRI))</t>
  </si>
  <si>
    <t>This research was supported by the National Research Foundation of Korea under Grant NRF-2013M1A3A3A02041853 and NRF-2013R1A1A2008062, by a research grant of Kangwon National University in 2014, and also by the Korea Polar Research Institute (KOPRI) under the project titled 'SaTellite remote sensing on west Antarctic ocean Research (STAR) (PE16040)'.</t>
  </si>
  <si>
    <t>10.3390/rs8080667</t>
  </si>
  <si>
    <t>DU8JI</t>
  </si>
  <si>
    <t>WOS:000382458700054</t>
  </si>
  <si>
    <t>Li, MM; Zhao, CF; Zhao, Y; Wang, ZX; Shi, LJ</t>
  </si>
  <si>
    <t>Li, Mingming; Zhao, Chaofang; Zhao, Yong; Wang, Zhixiong; Shi, Lijian</t>
  </si>
  <si>
    <t>Polar Sea Ice Monitoring Using HY-2A Scatterometer Measurements</t>
  </si>
  <si>
    <t>HY-2A/SCAT; sea ice extent; sea ice type; Arctic; Antarctic</t>
  </si>
  <si>
    <t>BAND SCATTEROMETER; EDGE; QUIKSCAT; EXTENT; ALGORITHM; MICROWAVE</t>
  </si>
  <si>
    <t>A sea ice detection algorithm based on Fisher's linear discriminant analysis is developed to segment sea ice and open water for the Ku-band scatterometer onboard the China's Hai Yang 2A Satellite (HY-2A/SCAT). Residual classification errors are reduced through image erosion/dilation techniques and sea ice growth/retreat constraint methods. The arctic sea-ice-type classification is estimated via a time-dependent threshold derived from the annual backscatter trends based on previous HY-2A/SCAT derived sea ice extent. The extent and edge of the sea ice obtained in this study is compared with the Special Sensor Microwave Imager/Sounder (SSMIS) sea ice concentration data and the Sentinel-1 SAR imagery for verification, respectively. Meanwhile, the classified sea ice type is compared with a multi-sensor sea ice type product based on data from the Advanced Scatterometer (ASCAT) and SSMIS. Results show that HY-2A/SCAT is powerful in providing sea ice extent and type information, while differences in the sensitivities of active/passive products are found. In addition, HY-2A/SCAT derived sea ice products are also proved to be valuable complements for existing polar sea ice data products.</t>
  </si>
  <si>
    <t>[Li, Mingming; Zhao, Chaofang; Zhao, Yong; Wang, Zhixiong] Ocean Univ China, Coll Informat Sci &amp; Engn, Dept Marine Technol, Qingdao 266100, Peoples R China; [Zhao, Chaofang] Qingdao Natl Lab Marine Sci &amp; Technol, Lab Reg Oceanog &amp; Numer Modeling, Qingdao 266100, Peoples R China; [Shi, Lijian] State Ocean Adm, Natl Satellite Ocean Applicat Serv, Beijing 100081, Peoples R China; [Shi, Lijian] State Ocean Adm, Key Lab Space Ocean Remote Sensing &amp; Applicat, Beijing 100081, Peoples R China</t>
  </si>
  <si>
    <t>Ocean University of China; Laoshan Laboratory; National Satellite Ocean Application Service</t>
  </si>
  <si>
    <t>Li, MM; Zhao, CF (corresponding author), Ocean Univ China, Coll Informat Sci &amp; Engn, Dept Marine Technol, Qingdao 266100, Peoples R China.;Zhao, CF (corresponding author), Qingdao Natl Lab Marine Sci &amp; Technol, Lab Reg Oceanog &amp; Numer Modeling, Qingdao 266100, Peoples R China.</t>
  </si>
  <si>
    <t>orsi2014@126.com; zhaocf@ouc.edu.cn; zhao.alcide@gmail.com; ylwzx2007@163.com; shilj@mail.nsoas.org.cn</t>
  </si>
  <si>
    <t>ZHAO, Alcide/ABF-8937-2020</t>
  </si>
  <si>
    <t>ZHAO, Alcide/0000-0002-8300-5872; Mingming, Li/0000-0001-8918-0658</t>
  </si>
  <si>
    <t>Shandong Joint Fund for Marine Science Research Center [U1406404]; HY-2 Satellite application system-Sea Ice monitoring subsystem [OUC20150286]; International Science and Technology Cooperation Project of China [2011DFA22260]; Open Research Fund of Key Laboratory of Digital Earth Science, Institute of Remote Sensing and Digital Earth, Chinese Academy of Sciences [2014LDE009]</t>
  </si>
  <si>
    <t>Shandong Joint Fund for Marine Science Research Center; HY-2 Satellite application system-Sea Ice monitoring subsystem; International Science and Technology Cooperation Project of China; Open Research Fund of Key Laboratory of Digital Earth Science, Institute of Remote Sensing and Digital Earth, Chinese Academy of Sciences</t>
  </si>
  <si>
    <t>The authors are grateful to the Chinese Maritime Satellite Application Center, NSIDC and Polar View Website for providing the research data sets. This work is supported by the Shandong Joint Fund for Marine Science Research Center (No. U1406404), the HY-2 Satellite application system-Sea Ice monitoring subsystem (No. OUC20150286), International Science and Technology Cooperation Project of China (contract No. 2011DFA22260) and Open Research Fund of Key Laboratory of Digital Earth Science, Institute of Remote Sensing and Digital Earth, Chinese Academy of Sciences (contract No. 2014LDE009). The authors also thank the anonymous reviewers for their helpful comments.</t>
  </si>
  <si>
    <t>10.3390/rs8080688</t>
  </si>
  <si>
    <t>WOS:000382458700074</t>
  </si>
  <si>
    <t>Qian, Y; Kan, FW; Sarawit, AT; Lou, Z; Cheng, JQ; Wang, HR; Zuo, YX; Yang, J</t>
  </si>
  <si>
    <t>Qian, Yuan; Kan, Frank W.; Sarawit, Andrew T.; Lou, Zheng; Cheng, Jing-Quan; Wang, Hai-Ren; Zuo, Ying-Xi; Yang, Ji</t>
  </si>
  <si>
    <t>Conceptual Design of the Aluminum Reflector Antenna for DATES</t>
  </si>
  <si>
    <t>RESEARCH IN ASTRONOMY AND ASTROPHYSICS</t>
  </si>
  <si>
    <t>methods: analytical; methods: numerical; telescopes; techniques: radar astronomy</t>
  </si>
  <si>
    <t>DOME; ANTARCTICA; TELESCOPE</t>
  </si>
  <si>
    <t>DATES, a 5 m telescope for terahertz exploration, was proposed for acquiring observations at Dome A, Antarctica. In order to observe the terahertz spectrum, it is necessary to maintain high surface accuracy in the the antenna when it is exposed to Antarctic weather conditions. Structural analysis shows that both machined aluminum and carbon fiber reinforced plastic (CFRP) panels can meet surface accuracy requirements. In this paper, one design concept based on aluminum panels is introduced. This includes panel layout, details on panel support, design of a CFRP backup structure, and detailed finite element analysis. Modal, gravity and thermal analysis are all performed and surface deformations of the main reflector are evaluated for all load cases. At the end of the paper, the manufacture of a prototype panel is also described. Based on these results, we found that using smaller aluminum reflector panels has the potential to meet the surface requirements in the harsh Dome A environment.</t>
  </si>
  <si>
    <t>[Qian, Yuan; Lou, Zheng; Cheng, Jing-Quan; Wang, Hai-Ren; Zuo, Ying-Xi; Yang, Ji] Chinese Acad Sci, Purple Mt Observ, Nanjing 210008, Jiangsu, Peoples R China; [Qian, Yuan; Lou, Zheng; Cheng, Jing-Quan; Wang, Hai-Ren; Zuo, Ying-Xi; Yang, Ji] Chinese Acad Sci, Key Lab Radio Astron, Nanjing 210008, Jiangsu, Peoples R China; [Kan, Frank W.; Sarawit, Andrew T.] Simpson Gumpertz &amp; Heger Inc, Waltham, MA 02453 USA</t>
  </si>
  <si>
    <t>Chinese Academy of Sciences; Nanjing Institute of Astronomical Optics &amp; Technology, NAOC, CAS; Purple Mountain Observatory, CAS; Chinese Academy of Sciences; Simpson Gumpertz &amp; Heger Inc.</t>
  </si>
  <si>
    <t>Qian, Y (corresponding author), Chinese Acad Sci, Purple Mt Observ, Nanjing 210008, Jiangsu, Peoples R China.;Qian, Y (corresponding author), Chinese Acad Sci, Key Lab Radio Astron, Nanjing 210008, Jiangsu, Peoples R China.</t>
  </si>
  <si>
    <t>yuanqian@pmo.ac.cn</t>
  </si>
  <si>
    <t>Wang, Hairen/H-9052-2018</t>
  </si>
  <si>
    <t>National Natural Science Foundation of China (NSFC) [11190014, 11503093, 11403109, 11373073]; Natural Science Foundation of Jiangsu Province [BK20141042]</t>
  </si>
  <si>
    <t>National Natural Science Foundation of China (NSFC)(National Natural Science Foundation of China (NSFC)); Natural Science Foundation of Jiangsu Province(Natural Science Foundation of Jiangsu Province)</t>
  </si>
  <si>
    <t>The authors have benefitted from many stimulating discussions with Steve Padin, Scott Paine, Jiasheng Huang, Qizhou Zhang and Zhong Wang. This work has been supported by the National Natural Science Foundation of China (NSFC, Grant Nos. 11190014, 11503093, 11403109 and 11373073) and the Natural Science Foundation of Jiangsu Province (Grant No. BK20141042).</t>
  </si>
  <si>
    <t>NATL ASTRONOMICAL OBSERVATORIES, CHIN ACAD SCIENCES</t>
  </si>
  <si>
    <t>20A DATUN RD, CHAOYANG, BEIJING, 100012, PEOPLES R CHINA</t>
  </si>
  <si>
    <t>1674-4527</t>
  </si>
  <si>
    <t>RES ASTRON ASTROPHYS</t>
  </si>
  <si>
    <t>Res. Astron. Astrophys.</t>
  </si>
  <si>
    <t>U50</t>
  </si>
  <si>
    <t>10.1088/1674-4527/16/8/123</t>
  </si>
  <si>
    <t>DT9OR</t>
  </si>
  <si>
    <t>WOS:000381832700006</t>
  </si>
  <si>
    <t>Zhang, LL; Yan, XM; Sun, C; Hu, DX</t>
  </si>
  <si>
    <t>Zhang LinLin; Yan XiaoMei; Sun Che; Hu DunXin</t>
  </si>
  <si>
    <t>Variability of Antarctic Intermediate Water south of Australia and its relationship with frontal waves</t>
  </si>
  <si>
    <t>SCIENCE CHINA-EARTH SCIENCES</t>
  </si>
  <si>
    <t>Antarctic Intermediate Water (AAIW); Stream-coordinates; Frontal wave; EOF</t>
  </si>
  <si>
    <t>GRAVEST EMPIRICAL MODE; OCEAN; TOPEX/POSEIDON; CIRCULATION; SALINITY</t>
  </si>
  <si>
    <t>A streamfunction EOF method is applied to a time series of hydrographic sections in the Southern Ocean south of Australia to study water mass variations. Results show that there are large thermohaline variations north of the Subantarctic Front ( SAF) at 300-1500 dbar level, indicating upwelling and downwelling of the Antarctic Intermediate Water ( AAIW) along isopycnal surfaces. Based on the latest altimeter product, Absolute Dynamic Topography, a mechanism due to frontal wave propagation is proposed to explain this phenomenon, and an index for frontal waves is defined. When the frontal wave is in positive ( negative) phase, the SAF flows northeastward ( southeastward) with the fresh AAIW downwelling ( upwelling). Such mesoscale processes greatly enhance cross-frontal exchanges of water masses. Spectral analysis shows that frontal waves in the Southern Ocean south of Australia are dominated by a period of about 130 days with a phase speed of 4 cm/s and a wavelength of 450 km.</t>
  </si>
  <si>
    <t>[Zhang LinLin; Yan XiaoMei; Sun Che; Hu DunXin] Chinese Acad Sci, Inst Oceanol, Qingdao 266071, Peoples R China; [Zhang LinLin; Yan XiaoMei; Sun Che; Hu DunXin] Chinese Acad Sci, Key Lab Ocean Circulat &amp; Waves, Qingdao 266071, Peoples R China; [Zhang LinLin; Yan XiaoMei; Sun Che; Hu DunXin] Qingdao Natl Lab Marine Sci &amp; Technol, Lab Ocean &amp; Climate Dynam, Qingdao 266071, Peoples R China</t>
  </si>
  <si>
    <t>Chinese Academy of Sciences; Institute of Oceanology, CAS; Chinese Academy of Sciences; Laoshan Laboratory</t>
  </si>
  <si>
    <t>Zhang, LL (corresponding author), Chinese Acad Sci, Inst Oceanol, Qingdao 266071, Peoples R China.;Zhang, LL (corresponding author), Chinese Acad Sci, Key Lab Ocean Circulat &amp; Waves, Qingdao 266071, Peoples R China.;Zhang, LL (corresponding author), Qingdao Natl Lab Marine Sci &amp; Technol, Lab Ocean &amp; Climate Dynam, Qingdao 266071, Peoples R China.</t>
  </si>
  <si>
    <t>zhanglinlin@qdio.ac.cn</t>
  </si>
  <si>
    <t>Zhang, Linlin/I-4970-2014</t>
  </si>
  <si>
    <t>Zhang, Linlin/0000-0003-0247-7710; Hu, Dunxin/0000-0002-9285-8287</t>
  </si>
  <si>
    <t>National Natural Science Foundation of China [41006114]; National Science and Technology Major Project [2012YQ12003907]; National Key Basic Research Program of China [2012CB417401, 2013CB956202]; CAS Strategic Priority Research Program [XDA11010101]; NSFC-Shandong Joint Fund for Marine Science Research Center [U1406401]</t>
  </si>
  <si>
    <t>National Natural Science Foundation of China(National Natural Science Foundation of China (NSFC)); National Science and Technology Major Project; National Key Basic Research Program of China(National Basic Research Program of China); CAS Strategic Priority Research Program; NSFC-Shandong Joint Fund for Marine Science Research Center</t>
  </si>
  <si>
    <t>The authors would like to express their sincere thanks to the two anonymous reviewers for their insightful and constructive comments. This work was supported by the National Natural Science Foundation of China (Grant No. 41006114), the National Science and Technology Major Project (Grant No. 2012YQ12003907), the National Key Basic Research Program of China (Grant Nos. 2012CB417401 and 2013CB956202), the CAS Strategic Priority Research Program (Grant No. XDA11010101), and the NSFC-Shandong Joint Fund for Marine Science Research Center (Grant No. U1406401).</t>
  </si>
  <si>
    <t>1674-7313</t>
  </si>
  <si>
    <t>1869-1897</t>
  </si>
  <si>
    <t>SCI CHINA EARTH SCI</t>
  </si>
  <si>
    <t>Sci. China-Earth Sci.</t>
  </si>
  <si>
    <t>10.1007/s11430-015-0179-5</t>
  </si>
  <si>
    <t>DS3JZ</t>
  </si>
  <si>
    <t>WOS:000380680400015</t>
  </si>
  <si>
    <t>Smellie, JL; Walker, AJ; McGarvie, DW; Burgess, R</t>
  </si>
  <si>
    <t>Smellie, J. L.; Walker, A. J.; McGarvie, D. W.; Burgess, R.</t>
  </si>
  <si>
    <t>Complex circular subsidence structures in tephra deposited on large blocks of ice: Varoa tuff cone, Oraefajokull, Iceland</t>
  </si>
  <si>
    <t>BULLETIN OF VOLCANOLOGY</t>
  </si>
  <si>
    <t>Ice-melt subsidence; Lapilli tuff; Tuff cone; Hofsfjall; Subglacial; Jokulhlaup; Kettle hole; Eemian; Holocene</t>
  </si>
  <si>
    <t>NORTH MENAN BUTTE; ANALOG MODELS; CENTRAL VOLCANO; JEJU ISLAND; COLLAPSE; CALDERA; JOKULHLAUP; ERUPTION; ORIGIN; STRATOVOLCANO</t>
  </si>
  <si>
    <t>Several broadly circular structures up to 16 m in diameter, into which higher strata have sagged and locally collapsed, are present in a tephra outcrop on southwest Oraefajokull, southern Iceland. The tephra was sourced in a nearby basaltic tuff cone at Varoa. The structures have not previously been described in tuff cones, and they probably formed by the melting out of large buried blocks of ice emplaced during a preceding jokulhlaup that may have been triggered by a subglacial eruption within the Oraefajokull ice cap. They are named ice-melt subsidence structures, and they are analogous to kettle holes that are commonly found in proglacial sandurs and some lahars sourced in ice-clad volcanoes. The internal structure is better exposed in the Varda examples because of an absence of fluvial infilling and reworking, and erosion of the outcrop to reveal the deeper geometry. The ice-melt subsidence structures at Varda are a proxy for buried ice. They are the only known evidence for a subglacial eruption and associated jkulhlaup that created the ice blocks. The recognition of such structures elsewhere will be useful in reconstructing more complete regional volcanic histories as well as for identifying ice-proximal settings during palaeoenvironmental investigations.</t>
  </si>
  <si>
    <t>[Smellie, J. L.] Univ Leicester, Dept Geol, Leicester LE1 7RH, Leics, England; [Walker, A. J.; Burgess, R.] Univ Manchester, Sch Earth Atmospher &amp; Environm Sci, Manchester M13 9PL, Lancs, England; [McGarvie, D. W.] Open Univ, Dept Earth Sci, Milton Keynes MK7 6AA, Bucks, England</t>
  </si>
  <si>
    <t>University of Leicester; University of Manchester; Open University - UK</t>
  </si>
  <si>
    <t>Smellie, JL (corresponding author), Univ Leicester, Dept Geol, Leicester LE1 7RH, Leics, England.</t>
  </si>
  <si>
    <t>jls55@le.ac.uk</t>
  </si>
  <si>
    <t>Burgess, Ray/A-5767-2009; McGarvie, Dave/HQZ-8907-2023</t>
  </si>
  <si>
    <t>Burgess, Ray/0000-0001-7674-8718;</t>
  </si>
  <si>
    <t>British Antarctic Survey; Manchester University; Open University; NERC</t>
  </si>
  <si>
    <t>British Antarctic Survey; Manchester University; Open University; NERC(UK Research &amp; Innovation (UKRI)Natural Environment Research Council (NERC))</t>
  </si>
  <si>
    <t>The authors are very grateful to Andy Russell for discussions and permission to publish his images of ice blocks and kettle holes associated with eruptions on Iceland; to Ben Brock and Mike Branney for observations of tephra resting on ice and snow; and for financial contributions to the fieldwork provided by the British Antarctic Survey (JLS), Manchester University (AJW, RB) and the Open University (DWM). AJW gratefully acknowledges the receipt of a NERC studentship in support of her contribution to this study. Thanks are also extended to Mike Branney and an anonymous reviewer for their exceptionally thorough comments on the text, which improved the paper.</t>
  </si>
  <si>
    <t>0258-8900</t>
  </si>
  <si>
    <t>1432-0819</t>
  </si>
  <si>
    <t>B VOLCANOL</t>
  </si>
  <si>
    <t>Bull. Volcanol.</t>
  </si>
  <si>
    <t>10.1007/s00445-016-1048-x</t>
  </si>
  <si>
    <t>DU2BM</t>
  </si>
  <si>
    <t>WOS:000382015800004</t>
  </si>
  <si>
    <t>Huth, TJ; Place, SP</t>
  </si>
  <si>
    <t>Huth, Troy J.; Place, Sean P.</t>
  </si>
  <si>
    <t>RNA-seq reveals a diminished acclimation response to the combined effects of ocean acidification and elevated seawater temperature in Pagothenia borchgrevinki</t>
  </si>
  <si>
    <t>Ocean acidification; Thermal stress; Cellular stress response; Notothenioid; Gene expression</t>
  </si>
  <si>
    <t>FISH TREMATOMUS-BERNACCHII; TUMOR-NECROSIS-FACTOR; ANTARCTIC FISH; GENE-EXPRESSION; HEAT-STRESS; GILLICHTHYS-MIRABILIS; THERMAL-ACCLIMATION; NOTOTHENIOID FISH; WATER TEMPERATURE; OXIDATIVE DAMAGE</t>
  </si>
  <si>
    <t>Purpose: The IPCC has reasserted the strong influence of anthropogenic CO2 contributions on global climate change and highlighted the polar-regions as highly vulnerable. With these predictions the cold adapted fauna endemic to the Southern Ocean, which is dominated by fishes of the sub-order Notothenioidei, will face considerable challenges in the near future. Recent physiological studies have demonstrated that the synergistic stressors of elevated temperature and ocean acidification have a considerable, although variable, impact on notothenioid fishes. The present study explored the transcriptomic response of Pagothenia borchgrevinki to increased temperatures and pCO(2) after 7, 28 and 56 days of acclimation. We compared this response to short term studies assessing heat stress alone and foretell the potential impacts of these stressors on P. borchgrevinki's ability to survive a changing Southern Ocean. Results: P. borchgrevinki did demonstrate a coordinated stress response to the dual-stressor condition, and even indicated that some level of inducible heat shock response may be conserved in this notothenioid species. However, the stress response of P. borchgrevinki was considerably less robust than that observed previously in the closely related notothenioid, Trematomus bernacchii, and varied considerably when compared across different acclimation time-points. Furthermore, the molecular response of these fish under multiple stressors displayed distinct differences compared to their response to short term heat stress alone. Conclusions: When exposed to increased sea surface temperatures, combined with ocean acidification, P. borchgrevinki demonstrated a coordinated stress response that has already peaked by 7 days of acclimation and quickly diminished over time. However, this response is less dramatic than other closely related notothenioids under identical conditions, supporting previous research suggesting that this notothenioid species is less sensitive to environmental variation. (C) 2016 Elsevier B.V. All rights reserved.</t>
  </si>
  <si>
    <t>[Place, Sean P.] Sonoma State Univ, Dept Biol, Rohnert Pk, CA 94928 USA; [Huth, Troy J.] Univ South Carolina, Dept Biol Sci, Columbia, SC 29208 USA</t>
  </si>
  <si>
    <t>California State University System; Sonoma State University; University of South Carolina System; University of South Carolina Columbia</t>
  </si>
  <si>
    <t>Place, SP (corresponding author), Sonoma State Univ, Dept Biol, Rohnert Pk, CA 94928 USA.</t>
  </si>
  <si>
    <t>hutht@email.sc.edu; places@sonoma.edu</t>
  </si>
  <si>
    <t>National Science Foundation [DBI-0959894]; National Science Foundation (NSF) [PLR-1040495, PLR-1447291]; Office of Polar Programs (OPP); Directorate For Geosciences [1447291] Funding Source: National Science Foundation</t>
  </si>
  <si>
    <t>National Science Foundation(National Science Foundation (NSF)); National Science Foundation (NSF)(National Science Foundation (NSF)); Office of Polar Programs (OPP); Directorate For Geosciences(National Science Foundation (NSF)NSF - Directorate for Geosciences (GEO))</t>
  </si>
  <si>
    <t>This work used the computational resources of the Data Intensive Academic Grid (DIAG), National Science Foundation funded MRI-R2 project #DBI-0959894.; This research was supported by National Science Foundation (NSF) Grants PLR-1040495 and PLR-1447291 to SPP.</t>
  </si>
  <si>
    <t>10.1016/j.margen.2016.02.004</t>
  </si>
  <si>
    <t>DU5SO</t>
  </si>
  <si>
    <t>WOS:000382271800019</t>
  </si>
  <si>
    <t>Rudy, MD; Kainz, MJ; Graeve, M; Colombo, SM; Arts, MT</t>
  </si>
  <si>
    <t>Rudy, Martina D.; Kainz, Martin J.; Graeve, Martin; Colombo, Stefanie M.; Arts, Michael T.</t>
  </si>
  <si>
    <t>Handling and Storage Procedures Have Variable Effects on Fatty Acid Content in Fishes with Different Lipid Quantities</t>
  </si>
  <si>
    <t>SALMON SALMO-SALAR; FRESH-WATER FISH; -20 DEGREES-C; GRAVIMETRIC-DETERMINATION; MERLUCCIUS-HUBBSI; FROZEN STORAGE; DARK MUSCLE; FILLETS; MARINE; STABILITY</t>
  </si>
  <si>
    <t>It is commonly assumed that the most accurate data on fatty acid (FA) contents are obtained when samples are analyzed immediately after collection. For logistical reasons, however, this is not always feasible and samples are often kept on ice or frozen at various temperatures and for diverse time periods. We quantified temporal changes of selected FA (mu g FAME per mg tissue dry weight) from 6 fish species subjected to 2 handling and 3 storage methods and compared them to FA contents from muscle tissue samples that were processed immediately. The following species were investigated: Common Carp (Cyprinus carpio), Freshwater Drum (Aplodinotus grunniens), Channel Catfish (Ictalurus punctatus), Antarctic Eelpout (Pachycara brachycephalum), Rainbow Trout (Oncorhynchus mykiss) and Arctic Charr (Salvelinus alpinus). The impact of storage method and duration of storage on FA contents were species-specific, but not FA-specific. There was no advantage in using nitrogen gas for tissue samples held on ice for 1 week; however, holding tissue samples on ice for 1 week resulted in a loss of FA in Charr. In addition, most FA in Trout and Charr decreased in quantity after being stored between 3 and 6 hours on ice. Freezer storage temperature (-80 or -20 degrees C) also had a significant effect on FA contents in some species. Generally, we recommend that species with high total lipid content (e.g. Charr and Trout) should be treated with extra caution to avoid changes in FA contents, with time on ice and time spent in a freezer emerging as significant factors that changed FA contents.</t>
  </si>
  <si>
    <t>[Rudy, Martina D.; Arts, Michael T.] Environm &amp; Climate Change Canada, Natl Water Res Inst, 867 Lakeshore Rd, Burlington, ON, Canada; [Kainz, Martin J.] WasserCluster Biol Stn Lunz, Dr Carl Kupelwieser Promenade 5, Lunz Am See, Austria; [Graeve, Martin] Helmholtz Ctr Polar &amp; Marine Res, Alfred Wegener Inst, Handelshafen 12, Bremerhaven, Germany; [Colombo, Stefanie M.; Arts, Michael T.] Ryerson Univ, Dept Biol &amp; Chem, 350 Victoria St, Toronto, ON, Canada</t>
  </si>
  <si>
    <t>Environment &amp; Climate Change Canada; National Water Research Institute; Helmholtz Association; Alfred Wegener Institute, Helmholtz Centre for Polar &amp; Marine Research; Toronto Metropolitan University</t>
  </si>
  <si>
    <t>Arts, MT (corresponding author), Environm &amp; Climate Change Canada, Natl Water Res Inst, 867 Lakeshore Rd, Burlington, ON, Canada.;Arts, MT (corresponding author), Ryerson Univ, Dept Biol &amp; Chem, 350 Victoria St, Toronto, ON, Canada.</t>
  </si>
  <si>
    <t>michael.arts@ryerson.ca</t>
  </si>
  <si>
    <t>Colombo, Stefanie/ABD-4750-2020; Kainz, Martin/AAG-6268-2021; Arts, Michael/H-4973-2012; Graeve, Martin/B-5751-2017</t>
  </si>
  <si>
    <t>Colombo, Stefanie/0000-0003-1828-7145; Kainz, Martin/0000-0002-2388-1504; Arts, Michael/0000-0002-2335-4317; Graeve, Martin/0000-0002-2294-1915</t>
  </si>
  <si>
    <t>Natural Sciences and Engineering Research Council of Canada [04537-2014]</t>
  </si>
  <si>
    <t>Natural Sciences and Engineering Research Council of Canada(Natural Sciences and Engineering Research Council of Canada (NSERC)CGIAR)</t>
  </si>
  <si>
    <t>Funding was provided to MTA by the Natural Sciences and Engineering Research Council of Canada (Grant #04537-2014).</t>
  </si>
  <si>
    <t>e0160497</t>
  </si>
  <si>
    <t>10.1371/journal.pone.0160497</t>
  </si>
  <si>
    <t>DS9NO</t>
  </si>
  <si>
    <t>WOS:000381110300053</t>
  </si>
  <si>
    <t>Mieczan, T; Adamczuk, M</t>
  </si>
  <si>
    <t>Mieczan, Tomasz; Adamczuk, Malgorzata</t>
  </si>
  <si>
    <t>Ecology of ciliates in microbial mats in small ponds: relationship to environmental parameters (King George Island, Maritime Antarctica)</t>
  </si>
  <si>
    <t>ANNALES ZOOLOGICI FENNICI</t>
  </si>
  <si>
    <t>SILVER CARBONATE METHOD; SPECIES ASSEMBLAGES; ICE SHELF; PROTOZOA; LAKES; COMMUNITIES; PLANKTON; ECOSYSTEMS; CILIOPHORA; BIOFILMS</t>
  </si>
  <si>
    <t>The objective of the study was to investigate the taxonomic structure and spatial distribution of ciliate communities, and to identify the environmental factors determining the taxonomic structure of the assemblages. Additionally, we compared ciliate communities inhabiting ponds on King George Island (Antarctica) with those on other islands of the maritime Antarctic. The taxonomic richness, abundance and biomass of ciliates in microbial mats varied among ponds increasing with their eutrophication level. As the level of eutrophication increased, there was a decrease in the abundance of predatory and omnivorous ciliates and a decrease in that of algivorous taxa. The canonical correspondence analyses of the spatial distribution of ciliates showed that all environmental variables together explained 76% of the total variance. The Monte Carlo permutation test showed that dissolved orthophosphates, nitrate and total organic carbon had the most significant effect on the distribution of ciliates. The proportions of individual functional groups of ciliates varied among ponds. The proportion of heterotrophic taxa increased with the trophic state of the ponds, while the proportion of mixotrophic taxa decreased.</t>
  </si>
  <si>
    <t>[Mieczan, Tomasz; Adamczuk, Malgorzata] Univ Life Sci, Dept Hydrobiol, Dobrzanskiego 37, PL-20262 Lublin, Poland</t>
  </si>
  <si>
    <t>Mieczan, T (corresponding author), Univ Life Sci, Dept Hydrobiol, Dobrzanskiego 37, PL-20262 Lublin, Poland.</t>
  </si>
  <si>
    <t>tomasz.mieczan@up.lublin.pl</t>
  </si>
  <si>
    <t>Adamczuk, Malgorzata/0000-0003-3599-2006; Mieczan, Tomasz/0000-0003-2839-1798</t>
  </si>
  <si>
    <t>FINNISH ZOOLOGICAL BOTANICAL PUBLISHING BOARD</t>
  </si>
  <si>
    <t>UNIV HELSINKI</t>
  </si>
  <si>
    <t>P O BOX 26, FI-00014 UNIV HELSINKI, FINLAND</t>
  </si>
  <si>
    <t>0003-455X</t>
  </si>
  <si>
    <t>1797-2450</t>
  </si>
  <si>
    <t>ANN ZOOL FENN</t>
  </si>
  <si>
    <t>Ann. Zool. Fenn.</t>
  </si>
  <si>
    <t>10.5735/086.053.0409</t>
  </si>
  <si>
    <t>Ecology; Zoology</t>
  </si>
  <si>
    <t>Environmental Sciences &amp; Ecology; Zoology</t>
  </si>
  <si>
    <t>DU0NO</t>
  </si>
  <si>
    <t>WOS:000381902000008</t>
  </si>
  <si>
    <t>Liu, QC; Sun, HP; Xu, JQ; Chen, XD; Zhang, MM; He, QQ</t>
  </si>
  <si>
    <t>Liu Qing-Chao; Sun He-Ping; Xu Jian-Qiao; Chen Xiao-Dong; Zhang Miao-Miao; He Qian-Qian</t>
  </si>
  <si>
    <t>The research of ocean tide loading effects on gravity and ambient noise at Zhongshan and Syowa station in Antarctic</t>
  </si>
  <si>
    <t>Zhongshan station; Syowa station; Gravity tidal parameters; Ocean tide loading; Amibent noise</t>
  </si>
  <si>
    <t>SUPERCONDUCTING GRAVIMETERS; EARTH; MODEL</t>
  </si>
  <si>
    <t>By using tidal gravity observations obtained by LCR-ET21 gravimeter at Zhongshan station and GWR058 instrument at Syowa station in Antarctic, we have studied the ocean tide loading (OTL) effects with the 3 latest global ocean models (Dtu10, Eot11A, HAM11A) and ambient noise. The results show that the amplitude residuals of O-1 and M-2 decrease from 13.83% and 20.55% to 5.32% and 5.95% at Zhongshan station and decrease from 10.84% and 21.52% to 1.91% and 3.40% at Syowa station after the OTL correction on gravity with the average of 3 ocean tide models. This indicates the effectiveness of the OTL correction. Using FFT transformation with Hanning window, we obtain the Seismic Noise Magnitude (SNM) in seismic band, which values are 1.574 (Zhongshan) and 1.289 (Syowa), respectively. However, in tidal band, the ambient noises at Zhongshan station are one order higher than Syowa station, mainly caused by the different instruments and the local environment of the station. Our results can provide effective reference for further use of gravity data of the Antarctic to study the local environment and the global dynamics.</t>
  </si>
  <si>
    <t>[Liu Qing-Chao; Sun He-Ping; Xu Jian-Qiao; Chen Xiao-Dong; Zhang Miao-Miao; He Qian-Qian] Chinese Acad Sci, Inst Geodesy &amp; Geophys, State Key Lab Geodesy &amp; Earths Dynam, Wuhan 430077, Peoples R China; [Liu Qing-Chao; Zhang Miao-Miao; He Qian-Qian] Univ Chinese Acad Sci, Beijing 100049, Peoples R China</t>
  </si>
  <si>
    <t>Chinese Academy of Sciences; Innovation Academy for Precision Measurement Science &amp; Technology, CAS; Chinese Academy of Sciences; University of Chinese Academy of Sciences, CAS</t>
  </si>
  <si>
    <t>Liu, QC (corresponding author), Chinese Acad Sci, Inst Geodesy &amp; Geophys, State Key Lab Geodesy &amp; Earths Dynam, Wuhan 430077, Peoples R China.;Liu, QC (corresponding author), Univ Chinese Acad Sci, Beijing 100049, Peoples R China.</t>
  </si>
  <si>
    <t>liuqch1990@163.com</t>
  </si>
  <si>
    <t>Zhang, Miao/JXY-8985-2024; sun, he/IYJ-6174-2023</t>
  </si>
  <si>
    <t>10.6038/cjg20160805</t>
  </si>
  <si>
    <t>DT0IE</t>
  </si>
  <si>
    <t>WOS:000381166400005</t>
  </si>
  <si>
    <t>Ma, C; Li, F; Zhang, SK; Lei, JT; E, DC; Hao, WF; Zhang, QC</t>
  </si>
  <si>
    <t>Ma Chao; Li Fei; Zhang Sheng-Kai; Lei Jin-Tao; E Dong-Chen; Hao Wei-Feng; Zhang Qing-Chuan</t>
  </si>
  <si>
    <t>The coordinate time series analysis of continuous GPS stations in the Antarctic Peninsula with consideration of common mode error</t>
  </si>
  <si>
    <t>Antarctic Peninsula; GPS; Time series; Common mode errors</t>
  </si>
  <si>
    <t>The spatially and temporally correlated common mode errors (CME) are the dominant error sources in daily GPS solutions in the regional CGPS network. Spatial filtering is an effective way to improve the precision of coordinate time series for regional CGPS networks by reducing these errors. The data of 11 GPS stations from 2010 to 2014 in Antarctic Peninsula are processed with GAMIT/GLOBK10.5 software. The set of individually estimated daily positions then make up the position time series for every stations. Three filtering approaches including stacking, principal component analysis (PCA) and Karhunen-Loeve expansion (KLE) were applied to daily coordinate time series of Antarctic Peninsula GPS network from 2010 to 2014. The first two principal components in PCA and KLE were used as common modes. The filtering results show that all of the three methods can effectively extract the common mode errors in the Antarctic Peninsula, but the results of PCA are much better than those of stacking, and slightly better than those of KLE. We demonstrate that spatial filtering can effectively reduce the amplitude and power of the residual time series and effectively reduce the errors of linear term and periodic term in coordinate time series, so as to improve the accuracy of their estimations. The spectrum results of common mode errors from PCA analysis show that 9.4-day and 13.7-day period signals in the vertical component might be related to the ocean tide model used in the analysis.</t>
  </si>
  <si>
    <t>[Ma Chao; Li Fei; Zhang Sheng-Kai; Lei Jin-Tao; E Dong-Chen; Hao Wei-Feng; Zhang Qing-Chuan] Wuhan Univ, Chinese Antarctic Ctr Surveying &amp; Mapping, Wuhan 430079, Peoples R China; [Li Fei] Wuhan Univ, State Key Lab Informat Engn Surveying Mapping &amp; R, Wuhan 430079, Peoples R China</t>
  </si>
  <si>
    <t>Zhang, SK (corresponding author), Wuhan Univ, Chinese Antarctic Ctr Surveying &amp; Mapping, Wuhan 430079, Peoples R China.</t>
  </si>
  <si>
    <t>mac1207@whu.edu.cn; zskai@whu.edu.cn</t>
  </si>
  <si>
    <t>LEI, Jintao/HHZ-6471-2022</t>
  </si>
  <si>
    <t>10.6038/cjg20160806</t>
  </si>
  <si>
    <t>WOS:000381166400006</t>
  </si>
  <si>
    <t>Lavers, JL; Oppel, S; Bond, AL</t>
  </si>
  <si>
    <t>Lavers, Jennifer L.; Oppel, Steffen; Bond, Alexander L.</t>
  </si>
  <si>
    <t>Factors influencing the detection of beach plastic debris</t>
  </si>
  <si>
    <t>Detection probability; Marine debris; Observer effect; Plastic pollution; Beach clean-up</t>
  </si>
  <si>
    <t>BINOMIAL MIXTURE-MODELS; MONITORING PROGRAMS; ESTIMATING ABUNDANCE; HIERARCHICAL-MODELS; MARINE-ENVIRONMENT; OCCUPANCY MODELS; BIRD COUNTS; ACCUMULATION; LITTER; MICROPLASTICS</t>
  </si>
  <si>
    <t>Marine plastic pollution is a global problem with considerable ecological and economic consequences. Quantifying the amount of plastic in the ocean has been facilitated by surveys of accumulated plastic on beaches, but existing monitoring programmes assume the proportion of plastic detected during beach surveys is constant across time and space. Here we use a multi-observer experiment to assess what proportion of small plastic fragments is missed routinely by observers, and what factors influence the detection probability of different types of plastic. Detection probability across the various types of plastic ranged from 60 to 100%, and varied considerably by observer, observer experience, and biological material present on the beach that could be confused with plastic. Blue fragments had the highest detection probability, while white fragments had the lowest. We recommend long-term monitoring programmes adopt survey designs accounting for imperfect detection or at least assess the proportion of fragments missed by observers. (C) 2016 Elsevier Ltd. All rights reserved.</t>
  </si>
  <si>
    <t>[Lavers, Jennifer L.; Oppel, Steffen; Bond, Alexander L.] Royal Soc Protect Birds, RSPB Ctr Conservat Sci, Sandy SG19 2DL, Beds, England; [Lavers, Jennifer L.] Univ Tasmania, Inst Marine &amp; Antarctic Studies, 20 Castray Esplanade, Battery Point, Tas 7004, Australia</t>
  </si>
  <si>
    <t>Royal Society for Protection of Birds; University of Tasmania</t>
  </si>
  <si>
    <t>Lavers, JL (corresponding author), Univ Tasmania, Inst Marine &amp; Antarctic Studies, 20 Castray Esplanade, Battery Point, Tas 7004, Australia.</t>
  </si>
  <si>
    <t>Jennifer.Lavers@utas.edu.au</t>
  </si>
  <si>
    <t>Lavers, Jennifer/O-4831-2017; Lavers, Jennifer/IWM-5417-2023; Bond, Alexander L/A-3786-2010; Oppel, Steffen/H-2771-2019</t>
  </si>
  <si>
    <t>Lavers, Jennifer/0000-0001-7596-6588; Oppel, Steffen/0000-0002-8220-3789; Bond, Alexander/0000-0003-2125-7238</t>
  </si>
  <si>
    <t>10.1016/j.marenvres.2016.06.009</t>
  </si>
  <si>
    <t>DT0IU</t>
  </si>
  <si>
    <t>WOS:000381168000025</t>
  </si>
  <si>
    <t>Polymeropoulos, ET; Elliott, NG; Frappell, PB</t>
  </si>
  <si>
    <t>Polymeropoulos, Elias. T.; Elliott, Nicholas G.; Frappell, Peter B.</t>
  </si>
  <si>
    <t>The maternal effect of differences in egg size influence metabolic rate and hypoxia induced hatching in Atlantic salmon eggs: implications for respiratory gas exchange across the egg capsule</t>
  </si>
  <si>
    <t>ONCORHYNCHUS-MYKISS EMBRYOS; DISSOLVED-OXYGEN REQUIREMENTS; RAINBOW-TROUT; YOLK-SAC; SALAR L; BOUNDARY-LAYER; AVAILABILITY; EVOLUTION; EXPOSURE; ALEVINS</t>
  </si>
  <si>
    <t>The maternal effect of fish egg size has profound implications for oxygen transfer across the egg shell surface, and therefore metabolism, especially under adverse environmental conditions like hypoxia. We found that metabolic rate ((M) over dotO(2)) of Atlantic salmon alevins was higher than of eggs in normoxia and hypoxia. Equally, the (M) over dotO(2) of smaller eggs from maiden spawners was lower than that of larger eggs from repeat spawners. Critical partial pressure of oxygen (PO2) for hatching was lower in eggs from repeat spawners. Generally, the PO2 within the egg capsule was lower for a given ambient PO2 and decreased further with hypoxia, and the internal PO2 was higher, the bigger the volume of the egg. Therefore, we conclude that the egg capsule poses a major barrier to oxygen exchange for the mature embryo that is more severe in eggs from maiden spawners than in eggs from repeat spawners. This was corroborated by a more advantageous egg surface area to (M) over dotO(2) ratio in eggs from repeat spawners. These findings challenge the bigger is worse during incubation hypothesis.</t>
  </si>
  <si>
    <t>[Polymeropoulos, Elias. T.; Frappell, Peter B.] Univ Tasmania, Inst Marine &amp; Antarctic Studies, Hobart, Tas 7001, Australia; [Elliott, Nicholas G.] CSIRO Agr Flagship, GPO Box 1538, Hobart, Tas 7001, Australia</t>
  </si>
  <si>
    <t>Polymeropoulos, ET (corresponding author), Univ Tasmania, Inst Marine &amp; Antarctic Studies, Hobart, Tas 7001, Australia.</t>
  </si>
  <si>
    <t>elias.polymeropoulos@utas.edu.au</t>
  </si>
  <si>
    <t>Polymeropoulos, Elias T/E-9883-2013</t>
  </si>
  <si>
    <t>Polymeropoulos, Elias Theodor/0000-0002-4816-6005</t>
  </si>
  <si>
    <t>CANADIAN SCIENCE PUBLISHING, NRC RESEARCH PRESS</t>
  </si>
  <si>
    <t>10.1139/cjfas-2015-0358</t>
  </si>
  <si>
    <t>DS5NQ</t>
  </si>
  <si>
    <t>WOS:000380829400003</t>
  </si>
  <si>
    <t>Hobbs, WR; Massom, R; Stammerjohn, S; Reid, P; Williams, G; Meier, W</t>
  </si>
  <si>
    <t>Hobbs, William R.; Massom, Rob; Stammerjohn, Sharon; Reid, Phillip; Williams, Guy; Meier, Walter</t>
  </si>
  <si>
    <t>A review of recent changes in Southern Ocean sea ice, their drivers and forcings</t>
  </si>
  <si>
    <t>WESTERN ANTARCTIC PENINSULA; LOW-FREQUENCY VARIABILITY; FRESH-WATER FLUX; CLIMATE-CHANGE; CMIP5 MODELS; ANNULAR MODE; SYSTEM MODEL; WEDDELL SEA; LONG-TERM; EXTRATROPICAL CIRCULATION</t>
  </si>
  <si>
    <t>Over the past 37 years, satellite records show an increase in Antarctic sea ice cover that is most pronounced in the period of sea ice growth. This trend is dominated by increased sea ice coverage in the western Ross Sea, and is mitigated by a strong decrease in the Bellingshausen and Amundsen seas. The trends in sea ice areal coverage are accompanied by related trends in yearly duration. These changes have implications for ecosystems, as well as global and regional climate. In this review, we summarise the research to date on observing these trends, identifying their drivers, and assessing the role of anthropogenic climate change. Whilst the atmosphere is thought to be the primary driver, the ocean is also essential in explaining the seasonality of the trend patterns. Detecting an anthropogenic signal in Antarctic sea ice is particularly challenging for a number of reasons: the expected response is small compared to the very high natural variability of the system; the observational record is relatively short; and the ability of global coupled climate models to faithfully represent the complex Antarctic climate system is in doubt. (C) 2016 Elsevier B.V. All rights reserved.</t>
  </si>
  <si>
    <t>[Hobbs, William R.; Massom, Rob; Reid, Phillip] Univ Tasmania, Antarctic Climate &amp; Ecosyst Cooperat Res Ctr, Private Bag 80, Hobart, Tas 7001, Australia; [Hobbs, William R.] Univ Tasmania, ARC Ctr Excellence Climate Syst Sci, IMAS, Private Bag 129, Hobart, Tas 7001, Australia; [Massom, Rob] Australian Antarctic Div, 203 Channel Highway, Kingston, Tas 7050, Australia; [Stammerjohn, Sharon] Univ Colorado, Inst Arctic &amp; Alpine Res, Boulder, CO 80309 USA; [Reid, Phillip] Australian Bur Meteorol, Ctr Australian Weather &amp; Climate Res, Hobart, Tas, Australia; [Williams, Guy] Univ Tasmania, Inst Marine &amp; Antarctic Studies, Private Bag 129, Hobart, Tas 7001, Australia; [Meier, Walter] NASA, Goddard Space Flight Ctr, Greenbelt, MD USA</t>
  </si>
  <si>
    <t>University of Tasmania; Antarctic Climate &amp; Ecosystems Cooperative Research Centre (ACE CRC); ARC Centre of Excellence for Climate System Science; University of Tasmania; Australian Antarctic Division; University of Colorado System; University of Colorado Boulder; Commonwealth Scientific &amp; Industrial Research Organisation (CSIRO); Bureau of Meteorology - Australia; University of Tasmania; National Aeronautics &amp; Space Administration (NASA); NASA Goddard Space Flight Center</t>
  </si>
  <si>
    <t>Hobbs, WR (corresponding author), Univ Tasmania, Antarctic Climate &amp; Ecosyst Cooperat Res Ctr, Private Bag 80, Hobart, Tas 7001, Australia.</t>
  </si>
  <si>
    <t>Hobbs, Will/P-8094-2019; Meier, Walter/AAI-9583-2021</t>
  </si>
  <si>
    <t>Hobbs, Will/0000-0002-2061-0899; Massom, Robert/0000-0003-1533-5084; STAMMERJOHN, SHARON/0000-0002-1697-8244; Meier, Walter/0000-0003-2857-0550</t>
  </si>
  <si>
    <t>Australian Government's Cooperative Research Centres Programme through the Antarctic Climate and Ecosystems Cooperative Research Center (ACE CRC); National Science Foundation Office of Polar Programs Palmer Long-Term Ecological Project [ANT-1440435]; [4116]</t>
  </si>
  <si>
    <t>Australian Government's Cooperative Research Centres Programme through the Antarctic Climate and Ecosystems Cooperative Research Center (ACE CRC)(Australian GovernmentDepartment of Industry, Innovation and ScienceCooperative Research Centres (CRC) Programme); National Science Foundation Office of Polar Programs Palmer Long-Term Ecological Project;</t>
  </si>
  <si>
    <t>The authors are indebted to William de la Mare for providing his whale catch data, Kate Sinclair for the Whitehall Glacier excess deuterium record, and Holly Titchner for providing the HadISST2.2 sea ice concentration data. The authors express their gratitude to Paul Holland and an anonymous reviewer for their invaluable comments and help in improving this manuscript. Data analysis and visualisation was performed using NCL (http://dx.doi.org/10.5065/D6WD3XH5). We acknowledge the World Climate Research Programme's Working Group on Coupled Modeling, which is responsible for CMIP, and we thank the climate modeling groups (listed in Appendix A) for producing and making available their model output. For CMIP the U.S. Department of Energy's Programme for Climate Model Diagnosis and Intercomparison provides coordinating support and led development of software infrastructure in partnership with the Global Organization for Earth System Science Portals. This work was supported by the Australian Government's Cooperative Research Centres Programme through the Antarctic Climate and Ecosystems Cooperative Research Center (ACE CRC), and contributes to AAS Project 4116. SS acknowledges support and contributions from the National Science Foundation Office of Polar Programs Palmer Long-Term Ecological Project (ANT-1440435).</t>
  </si>
  <si>
    <t>10.1016/j.gloplacha.2016.06.008</t>
  </si>
  <si>
    <t>DS2IU</t>
  </si>
  <si>
    <t>WOS:000380594000018</t>
  </si>
  <si>
    <t>Sejas, SA; Cai, M</t>
  </si>
  <si>
    <t>Sejas, Sergio A.; Cai, Ming</t>
  </si>
  <si>
    <t>Isolating the Temperature Feedback Loop and Its Effects on Surface Temperature</t>
  </si>
  <si>
    <t>JOURNAL OF THE ATMOSPHERIC SCIENCES</t>
  </si>
  <si>
    <t>CLIMATE FEEDBACKS; ARCTIC AMPLIFICATION; ALBEDO FEEDBACK; CIRCULATION; CO2; FRAMEWORK</t>
  </si>
  <si>
    <t>Climate feedback processes are known to substantially amplify the surface warming response to an increase of greenhouse gases. When the forcing and feedbacks modify the temperature response they trigger temperature feedback loops that amplify the direct temperature changes due to the forcing and nontemperature feedbacks through the thermal-radiative coupling between the atmosphere and surface. This study introduces a new feedback-response analysis method that can isolate and quantify the effects of the temperature feedback loops of individual processes on surface temperature from their corresponding direct surface temperature responses. The authors analyze a 1% yr 21 increase of CO2 simulation of the NCAR CCSM4 at the time of CO2 doubling to illustrate the new method. The Planck sensitivity parameter, which indicates colder regions experience stronger surface temperature responses given the same change in surface energy flux, is the inherent factor that leads to polar warming amplification (PWA). This effect explains the PWA in the Antarctic, while the direct temperature response to the albedo and cloud feedbacks further explains the greater PWA of the Arctic. Temperature feedback loops, particularly the one associated with the albedo feedback, further amplify the Arctic surface warming relative to the tropics. In the tropics, temperature feedback loops associated with the CO2 forcing and water vapor feedback cause most of the surface warming. Overall, the temperature feedback is responsible for most of the surface warming globally, accounting for nearly 76% of the global-mean surface warming. This is 3 times larger than the next largest warming contribution, indicating that the temperature feedback loop is the preeminent contributor to the surface warming.</t>
  </si>
  <si>
    <t>[Sejas, Sergio A.; Cai, Ming] Florida State Univ, Dept Earth Ocean &amp; Atmospher Sci, 1017 Acad Way,LOVE Bldg,Room 423, Tallahassee, FL 32306 USA</t>
  </si>
  <si>
    <t>State University System of Florida; Florida State University</t>
  </si>
  <si>
    <t>Cai, M (corresponding author), Florida State Univ, Dept Earth Ocean &amp; Atmospher Sci, 1017 Acad Way,LOVE Bldg,Room 423, Tallahassee, FL 32306 USA.</t>
  </si>
  <si>
    <t>mcai@fsu.edu</t>
  </si>
  <si>
    <t>cai, ming/HPF-1404-2023; Cai, Ming/F-2133-2017</t>
  </si>
  <si>
    <t>Cai, Ming/0000-0002-1614-1102; Sejas, Sergio/0000-0003-4139-3499</t>
  </si>
  <si>
    <t>National Science Foundation [AGS-1262173, AGS-1354834]; NASA Interdisciplinary Studies Program Grant [NNH12ZDA001N-IDS]</t>
  </si>
  <si>
    <t>National Science Foundation(National Science Foundation (NSF)); NASA Interdisciplinary Studies Program Grant</t>
  </si>
  <si>
    <t>This research was in part supported by grants from the National Science Foundation (AGS-1262173 and AGS-1354834) and NASA Interdisciplinary Studies Program Grant (NNH12ZDA001N-IDS).</t>
  </si>
  <si>
    <t>0022-4928</t>
  </si>
  <si>
    <t>1520-0469</t>
  </si>
  <si>
    <t>J ATMOS SCI</t>
  </si>
  <si>
    <t>J. Atmos. Sci.</t>
  </si>
  <si>
    <t>10.1175/JAS-D-15-0287.1</t>
  </si>
  <si>
    <t>DS4PZ</t>
  </si>
  <si>
    <t>WOS:000380764400018</t>
  </si>
  <si>
    <t>Abu Samah, A; Babu, CA; Varikoden, H; Jayakrishnan, PR; Hai, OS</t>
  </si>
  <si>
    <t>Abu Samah, Azizan; Babu, C. A.; Varikoden, Hamza; Jayakrishnan, P. R.; Hai, Ooi See</t>
  </si>
  <si>
    <t>Thermodynamic and dynamic structure of atmosphere over the east coast of Peninsular Malaysia during the passage of a cold surge</t>
  </si>
  <si>
    <t>Cold surge; Malaysian winter monsoon; Thermodynamic structure; Divergence and vorticity pattern</t>
  </si>
  <si>
    <t>SOUTH CHINA SEA; WINTER MONSOON; MONEX; DISTURBANCES; REANALYSIS; EVENT</t>
  </si>
  <si>
    <t>An intense field observation was carried out for a better understanding of cold surge features over Peninsular Malaysia during the winter monsoon season. The study utilizes vertical profiles of temperature, humidity and wind at high vertical and temporal resolution over Kota Bharu, situated in the east coast of Peninsular Malaysia. LCL were elevated during the passage of the cold surge as the relative humidity values decreased during the passage of cold surge. Level of Free Convection were below 800 hPa and equilibrium levels were close to the LFC in most of the cases. Convective available potential energy and convection inhibition energy values were small during most of the observations. Absence of local heating and instability mechanism are responsible for the peculiar thermodynamic structure during the passage of the cold surge. The wind in the lower atmosphere became northeasterly and was strong during the entire cold surge period. A slight increase in temperature near the surface and a drop in temperature just above the surface were marked by the passage of the cold surge. A remarkable increase in specific humidity was observed between 970 and 900 hPa during the cold surge period. Further, synoptic scale features were analyzed to identify the mechanism responsible for heavy rainfall. Low level convergence, upper level divergence and cyclonic vorticity prevailed over the region during the heavy rainfall event. Dynamic structure of the atmosphere as part of the organized convection associated with the winter monsoon was responsible for the vertical lifting and subsequent rainfall. (C) 2016 Elsevier Ltd. All rights reserved.</t>
  </si>
  <si>
    <t>[Abu Samah, Azizan; Babu, C. A.; Hai, Ooi See] Univ Malaya, Natl Antarctic Res Ctr, Kuala Lumpur 50603, Malaysia; [Babu, C. A.] Cochin Univ Sci &amp; Technol, Dept Atmospher Sci, Cochin 682016, Kerala, India; [Varikoden, Hamza] NCL, Indian Inst Trop Meteorol, Pune 411008, Maharashtra, India; [Abu Samah, Azizan; Jayakrishnan, P. R.] Univ Malaya, Inst Ocean &amp; Earth Sci, Kuala Lumpur 50603, Malaysia</t>
  </si>
  <si>
    <t>Universiti Malaya; Cochin University Science &amp; Technology; Ministry of Earth Sciences (MoES) - India; Indian Institute of Tropical Meteorology (IITM); Council of Scientific &amp; Industrial Research (CSIR) - India; CSIR - National Chemical Laboratory (NCL); Universiti Malaya</t>
  </si>
  <si>
    <t>Jayakrishnan, PR (corresponding author), Univ Malaya, Inst Ocean &amp; Earth Sci, Kuala Lumpur 50603, Malaysia.</t>
  </si>
  <si>
    <t>babumet@gmail.com</t>
  </si>
  <si>
    <t>P.R, Jayakrishnan/J-1469-2015; G, a/JVM-9165-2024; ABU SAMAH, AZIZAN HJ/B-8295-2010</t>
  </si>
  <si>
    <t>eScienceFund Project [04-01-03-SF0410]; HICoE MOHE Project [IOES-2014, IOES-2014B]</t>
  </si>
  <si>
    <t>eScienceFund Project; HICoE MOHE Project</t>
  </si>
  <si>
    <t>The first and fourth authors are thankful to the eScienceFund Project (No. 04-01-03-SF0410) and HICoE MOHE Project (Grant nos: IOES-2014 and IOES-2014B), for the financial support and all authors are grateful to the University of Malaya for providing the facilities.</t>
  </si>
  <si>
    <t>10.1016/j.jastp.2016.05.011</t>
  </si>
  <si>
    <t>DS2IN</t>
  </si>
  <si>
    <t>WOS:000380593300006</t>
  </si>
  <si>
    <t>Andriyas, T</t>
  </si>
  <si>
    <t>Andriyas, Tushar</t>
  </si>
  <si>
    <t>Auroral boundary movement rates during substorm onsets and their correspondence to solar wind and the AL index</t>
  </si>
  <si>
    <t>Substorms; Auroral Oval; Mean Boundary movement rates; Solar wind</t>
  </si>
  <si>
    <t>SUPERPOSED EPOCH ANALYSIS; POLAR-CAP BOUNDARY; MAGNETIC-FIELD; GROWTH-PHASE; OVAL; PRECIPITATION; MORPHOLOGY; INTENSITY; DEPENDENCE; SIGNATURES</t>
  </si>
  <si>
    <t>A statistical analysis of the equatorward and poleward auroral boundary movement during substorm onsets, the related solar wind activity, GOES 8 and 10 magnetic field, and the westward auroral electrojet (AL) index is undertaken, during the years 2000-2002. Auroral boundary data were obtained from the British Antarctic Survey (BAS). These boundaries were derived using auroral images from the IMAGE satellite. The timing of the onsets was derived from the Frey et al. (2004) database. Data were also classified based on the peak AL around the onset and the onset latitude, in order to analyze the differences, if any, in the rates of movement. It was found that the absolute ratio of the rate of movement of the mean poleward and equatorward boundaries was slower than the rate of mean movement around the midnight sector. The stronger the onset (in terms of the peak AL around the onset) was, the faster the rate of movement for both the boundaries. This implies that the stronger the AL signature around the onset, the weaker the magnetic field was prior to the onset and the faster it increased after the onset at GOES 8 and 10 locations. The stronger the AL signature, the thicker the latitudinal width of the aurora was, prior to the onset and higher was the increase in the width after the onset, due to large poleward and average equatorward expansion. Magnetotail field line stretching and relaxation rates as measured by GOES were also found to lie in the same order of magnitude. It is therefore concluded that the rates of latitudinal descent prior to a substorm onset and ascent after the onset, of the mean auroral boundaries, corresponds to the rate at which the tail field lines stretch and relax before and after the onset, respectively. (C) 2016 Elsevier Ltd. All rights reserved.</t>
  </si>
  <si>
    <t>[Andriyas, Tushar] Univ Allahabad, Inst Inter Disciplinary Studies, Ctr Mat Sci, Allahabad 211002, Uttar Pradesh, India</t>
  </si>
  <si>
    <t>University of Allahabad</t>
  </si>
  <si>
    <t>Andriyas, T (corresponding author), Univ Allahabad, Inst Inter Disciplinary Studies, Ctr Mat Sci, Allahabad 211002, Uttar Pradesh, India.</t>
  </si>
  <si>
    <t>tushar.andriyas@aggiemail.usu.edu</t>
  </si>
  <si>
    <t>[EN/14-15/0025]</t>
  </si>
  <si>
    <t>The author wishes to acknowledge the following data providers: CDAWeb for the solar wind and AL index data, British Antarctic Survey for the auroral boundary data, Dr. H. Frey for the substorm onset list and the WIC images, and Dr. H.J. Singer for GOES 8 and 10 magnetometer data. The constructive comments of the anonymous reviewers and the editor are also appreciated. This research was supported by the Dr. D.S. Kothari post-doctoral fellowship (EN/14-15/0025).</t>
  </si>
  <si>
    <t>10.1016/j.jastp.2016.05.015</t>
  </si>
  <si>
    <t>WOS:000380593300013</t>
  </si>
  <si>
    <t>Hu, XG</t>
  </si>
  <si>
    <t>Hu, Xiao Gang</t>
  </si>
  <si>
    <t>Observations of the azimuthal dependence of normal mode coupling below 4 mHz at the South Pole and its nearby stations: Insights into the anisotropy beneath the Transantarctic Mountains</t>
  </si>
  <si>
    <t>PHYSICS OF THE EARTH AND PLANETARY INTERIORS</t>
  </si>
  <si>
    <t>Normal-mode coupling; Quasi-Love wave; Shear-wave splitting; South Pole; Transantarctic Mountains; Anisotropy</t>
  </si>
  <si>
    <t>MANTLE SEISMIC ANISOTROPY; SURFACE-WAVE PROPAGATION; TRANSITION ZONE BENEATH; LATTICE PREFERRED ORIENTATION; INNER-CORE ANISOTROPY; ANTARCTIC RIFT SYSTEM; EARTHS NORMAL-MODES; LATERAL HETEROGENEITY; FREE OSCILLATIONS; WEST ANTARCTICA</t>
  </si>
  <si>
    <t>Normal mode coupling pair S-0(26)-T-0(26) and S-0(27)-T-0(27) are significantly present at the South Pole station QSPA after the 2011/03/11 M(w)9.1 Tohoku earthquake. In an attempt to determine the mechanisms responsible for the coupling pairs, I first investigate mode observations at 43 stations distributed along the polar great-circle path for the earthquake and observations at 32 Antarctic stations. I rule out the effect of Earth's rotation as well as the effect of global large-scale lateral heterogeneity, but argue instead for the effect of small-scale local azimuthal anisotropy in a depth extent about 300 km. The presence of quasi-Love waveform in 2-5 mHz at QSPA and its nearby stations confirms the predication. Secondly, I analyze normal mode observations at the South Pole location after 28 large earthquakes from 1998 to 2015. The result indicates that the presence of the mode coupling is azimuthal dependent, which is related to event azimuths in -46 degrees to -18 degrees. I also make a comparison between the shear-wave splitting measurements of previous studies and the mode coupling observations of this study, suggesting that their difference can be explained by a case that the anisotropy responsible for the mode coupling is not just below the South Pole location but located below region close to the Transantarctic Mountains (TAM). Furthermore, more signals of local azimuthal anisotropy in normal-mode observations at QSPA and SBA, such as coupling of S-0(12)-T-0(11) and vertical polarization anomaly for T-0(10), confirms the existence of deep anisotropy close to TAM, which may be caused by asthenospheric mantle flow and edge convection around cratonic keel of TAM. (C) 2016 Elsevier B.V. All rights reserved.</t>
  </si>
  <si>
    <t>[Hu, Xiao Gang] Chinese Acad Sci, Inst Geodesy &amp; Geophys, State Key Lab Geodesy &amp; Earths Dynam, Wuhan 430077, Peoples R China</t>
  </si>
  <si>
    <t>Chinese Academy of Sciences; Innovation Academy for Precision Measurement Science &amp; Technology, CAS</t>
  </si>
  <si>
    <t>Hu, XG (corresponding author), Chinese Acad Sci, Inst Geodesy &amp; Geophys, State Key Lab Geodesy &amp; Earths Dynam, Wuhan 430077, Peoples R China.</t>
  </si>
  <si>
    <t>hxg432@whigg.ac.cn</t>
  </si>
  <si>
    <t>National Natural Science Foundation of China (NSFC) [41321063, 41174022, 41021003]</t>
  </si>
  <si>
    <t>National Natural Science Foundation of China (NSFC)(National Natural Science Foundation of China (NSFC))</t>
  </si>
  <si>
    <t>The National Natural Science Foundation of China (NSFC) projects (Grant Nos. 41321063, 41174022 and 41021003) support this study. I appreciate IRIS/MDC for the data collected by them being used in this study.</t>
  </si>
  <si>
    <t>0031-9201</t>
  </si>
  <si>
    <t>1872-7395</t>
  </si>
  <si>
    <t>PHYS EARTH PLANET IN</t>
  </si>
  <si>
    <t>Phys. Earth Planet. Inter.</t>
  </si>
  <si>
    <t>10.1016/j.pepi.2016.05.011</t>
  </si>
  <si>
    <t>DS2KO</t>
  </si>
  <si>
    <t>WOS:000380598600007</t>
  </si>
  <si>
    <t>Dong, GC; Huang, FX; Yi, CL; Liu, XH; Zhou, WJ; Caffee, MW</t>
  </si>
  <si>
    <t>Dong, Guocheng; Huang, Feixin; Yi, Chaolu; Liu, Xiaohan; Zhou, Weijian; Caffee, Marc W.</t>
  </si>
  <si>
    <t>Mid-late Pleistocene glacial evolution in the Grove Mountains, East Antarctica, constraints from cosmogenic 10Be surface exposure dating of glacial erratic cobbles</t>
  </si>
  <si>
    <t>Mount Harding; Grove Mountains; East Antarctic ice sheet; Cosmogenic Be-10 exposure dating; Blue-ice moraine</t>
  </si>
  <si>
    <t>BLUE-ICE AREAS; DRONNING MAUD LAND; PRODUCTION-RATES; VICTORIA LAND; SHEET; AGES; NUCLIDES; HISTORY; DEGLACIATION; THICKNESS</t>
  </si>
  <si>
    <t>Glacial histories from the East Antarctic Ice Sheet (EAIS) provide keys to understanding correlations between the EATS and global climate. They are especially helpful in the assessment of global sea level change, and as a means of quantifying the magnitude of past glacial activity and the rate at which ice responded to climate change. Given the significance of EAIS glacial histories, it is imperative that more glacial chronologic data for this region be obtained, especially for the mid-to-late Pleistocene. We report cosmogenic Be-10 surface exposure dating results from glacially transported cobbles embedded in blue-ice moraine material at Mount Harding, the Grove Mountains, EAIS. Forty exotic cobbles sampled along two profiles (A and B) on this blue-ice moraine present apparent exposure-ages ranging from 7.2 to 542.2 ka. We explore this scattered dataset by using Principal Component Analysis (PCA) to identify statistically significant trends in the data. We identify a correlation between exposure-age and distance of the cobbles from Mount Harding. In profile A, cobbles further from Mount Harding yield older exposure-ages than those that are relatively close. In profile B, cobbles closer to Mount Harding are found to have relatively older exposure-ages. In term of glacial history we suggest that the direction of ice flow changed during the period from similar to 60 to 200 ka, and that multiple glacial fluctuations occurred in the mid-late Pleistocene. (C) 2016 Elsevier Ltd. All rights reserved.</t>
  </si>
  <si>
    <t>[Dong, Guocheng; Zhou, Weijian] Chinese Acad Sci, Inst Earth Environm, State Key Lab Loess &amp; Quaternary Geol, Xian 710061, Peoples R China; [Huang, Feixin] China Met Geol Bur, Inst Mineral Resources Res, Beijing 101300, Peoples R China; [Dong, Guocheng; Zhou, Weijian] Natl Ctr Accelerator Mass Spectrometry Xian, Shaanxi Prov Key Lab Accelerator Mass Spectrometr, Xian 710061, Peoples R China; [Yi, Chaolu; Liu, Xiaohan] Chinese Acad Sci, Inst Tibetan Plateau Res, Beijing 100101, Peoples R China; [Yi, Chaolu] Chinese Acad Sci, Ctr Excellence Tibetan Plateau Earth Sci, Beijing 100101, Peoples R China; [Caffee, Marc W.] Purdue Univ, Dept Phys &amp; Astron, W Lafayette, IN 47907 USA; [Caffee, Marc W.] Purdue Univ, Dept Earth Atmospher &amp; Planetary Sci, W Lafayette, IN 47907 USA</t>
  </si>
  <si>
    <t>Chinese Academy of Sciences; Institute of Earth Environment, CAS; Chinese Academy of Sciences; Institute of Tibetan Plateau Research, CAS; Chinese Academy of Sciences; Purdue University System; Purdue University; Purdue University System; Purdue University</t>
  </si>
  <si>
    <t>Huang, FX (corresponding author), China Met Geol Bur, Inst Mineral Resources Res, Beijing 101300, Peoples R China.</t>
  </si>
  <si>
    <t>huangfeixin@cmgb.cn</t>
  </si>
  <si>
    <t>Zhou, Weijian/D-3393-2015; Zhou, Weijian/T-1412-2019</t>
  </si>
  <si>
    <t>Zhou, Weijian/0000-0001-9641-5734</t>
  </si>
  <si>
    <t>National Natural Science Foundation of China [41176166, 41230523, 41271018]; Division Of Earth Sciences; Directorate For Geosciences [1560658] Funding Source: National Science Foundation</t>
  </si>
  <si>
    <t>National Natural Science Foundation of China(National Natural Science Foundation of China (NSFC)); Division Of Earth Sciences; Directorate For Geosciences(National Science Foundation (NSF)NSF - Directorate for Geosciences (GEO))</t>
  </si>
  <si>
    <t>This work was supported by the National Natural Science Foundation of China (Grant Nos. 41176166, 41230523, and 41271018). We are grateful to Jennifer C. H. Newall from Stockholm University and an anonymous reviewer for their thorough reviews that helped significantly improve this manuscript. The samples were processed in the Key Laboratory of Tibetan Environment Changes and Land Surface Process, Institute of Tibetan Plateau Research at Lhasa. We thank Baojin Qiao and Jinhua Liu from Institute of Tibetan Plateau Research, Chinese Academy of Sciences for their help in sample preparation. We appreciate Tom Clifton at PRIME lab, Purdue University for sample measurements. We thank George Burr from the University of Arizona and Xiangke Xu from Institute of Tibetan Plateau Research, Chinese Academy of Sciences for their constructive suggestions.</t>
  </si>
  <si>
    <t>10.1016/j.quascirev.2016.05.030</t>
  </si>
  <si>
    <t>DS2MD</t>
  </si>
  <si>
    <t>WOS:000380602700003</t>
  </si>
  <si>
    <t>Veettil, BK; Bremer, UF; de Souza, SF; Maier, ÉLB; Simoes, JC</t>
  </si>
  <si>
    <t>Veettil, Bijeesh Kozhikkodan; Bremer, Ulisses Franz; de Souza, Sergio Florencio; Bayer Maier, Eder Leandro; Simoes, Jefferson Cardia</t>
  </si>
  <si>
    <t>Influence of ENSO and PDO on mountain glaciers in the outer tropics: case studies in Bolivia</t>
  </si>
  <si>
    <t>THEORETICAL AND APPLIED CLIMATOLOGY</t>
  </si>
  <si>
    <t>NINO-SOUTHERN OSCILLATION; ANTARCTIC OSCILLATION; ANDEAN GLACIERS; CLIMATE-CHANGE; MASS-BALANCE; LAST DECADES; VARIABILITY; PACIFIC; PRECIPITATION; 16-DEGREES-S</t>
  </si>
  <si>
    <t>This paper emphasize on the observational investigation of an ice-covered volcano and two glaciated mountains in the Central Andes from 1984 to 2011. Annual snowlines of the Nevado Sajama in the Cordillera Occidental and the Nevado Cololo and the Nevado Huanacuni in the Cordillera Apolobamba in Bolivia were calculated using remote sensing data. Landsat TM, Landsat ETM+, and LISS-III images taken during the end of dry season were used in this study. Changes in the highest annual snowline during May-September is used an indirect measure of the changes in the equilibrium line altitude of the glaciers in the outer tropics. We tried to understand the combined influence of the El Nio-Southern Oscillation and the Pacific Decadal Oscillation on the variations in the annual snowline altitude of the selected glaciers. Meteorological data in the form of gridded datasets were used for calculating the anomalies in precipitation and temperature during the study period. It is found that the glaciated areas were fluctuated with the occurrence of warm and cold phase of ENSO but the magnitude of the influence of ENSO is observed to be controlled by the phase changes of PDO. Snowline of the Nevado Sajama fluctuated heavily when cold and warm phases of ENSO occur during the cold and warm regimes of PDO, respectively. Nevado Cololo and Nevado Huanacuni are showing a continuous retreating trend during the same period. This clearly indicates that the changes in the Pacific SST patterns have more influence on glaciers in the Cordillera Occidental compared with those in the Cordillera Oriental of the Bolivian Andes.</t>
  </si>
  <si>
    <t>[Veettil, Bijeesh Kozhikkodan; Bremer, Ulisses Franz; de Souza, Sergio Florencio] Univ Fed Rio Grande do Sul, CEPSRM, Ave Bento Goncalves 9500, Porto Alegre, RS, Brazil; [Veettil, Bijeesh Kozhikkodan; Bremer, Ulisses Franz; Bayer Maier, Eder Leandro; Simoes, Jefferson Cardia] Univ Fed Rio Grande do Sul, Ctr Polar &amp; Climat, Ave Bento Goncalves 9500, Porto Alegre, RS, Brazil; [Bremer, Ulisses Franz; de Souza, Sergio Florencio; Bayer Maier, Eder Leandro; Simoes, Jefferson Cardia] Univ Fed Rio Grande do Sul, Inst Geosci, Ave Bento Goncalves 9500, Porto Alegre, RS, Brazil</t>
  </si>
  <si>
    <t>Universidade Federal do Rio Grande do Sul; Universidade Federal do Rio Grande do Sul; Universidade Federal do Rio Grande do Sul</t>
  </si>
  <si>
    <t>Veettil, BK (corresponding author), Univ Fed Rio Grande do Sul, CEPSRM, Ave Bento Goncalves 9500, Porto Alegre, RS, Brazil.;Veettil, BK (corresponding author), Univ Fed Rio Grande do Sul, Ctr Polar &amp; Climat, Ave Bento Goncalves 9500, Porto Alegre, RS, Brazil.</t>
  </si>
  <si>
    <t>bijeesh.veettil@ufrgs.br</t>
  </si>
  <si>
    <t>DE SOUZA, SERGIO FLORENCIO/L-2869-2017; Kozhikkodan Veettil, Bijeesh/Q-6489-2017; Bremer, Ulisses Franz/AAT-8733-2021; Simoes, Jefferson Cardia/D-7232-2013; Bremer, Ulisses F/D-3308-2013</t>
  </si>
  <si>
    <t>Kozhikkodan Veettil, Bijeesh/0000-0003-4158-4578; Bremer, Ulisses Franz/0000-0003-0519-5807; Simoes, Jefferson Cardia/0000-0001-5555-3401;</t>
  </si>
  <si>
    <t>Rio Grande do Sul State Foundation for Research (FAPERGS)</t>
  </si>
  <si>
    <t>Rio Grande do Sul State Foundation for Research (FAPERGS)(Fundacao de Amparo a Ciencia e Tecnologia do Estado do Rio Grande do Sul (FAPERGS))</t>
  </si>
  <si>
    <t>First author likes to acknowledge Rio Grande do Sul State Foundation for Research (FAPERGS) for providing his PhD research scholarship and Ms. Geana Veiga Aurelio for the help with statistical data analysis. We would like to thank USGS, NOAA, and JISAO for the datasets used in this research.</t>
  </si>
  <si>
    <t>SPRINGER WIEN</t>
  </si>
  <si>
    <t>WIEN</t>
  </si>
  <si>
    <t>SACHSENPLATZ 4-6, PO BOX 89, A-1201 WIEN, AUSTRIA</t>
  </si>
  <si>
    <t>0177-798X</t>
  </si>
  <si>
    <t>1434-4483</t>
  </si>
  <si>
    <t>THEOR APPL CLIMATOL</t>
  </si>
  <si>
    <t>Theor. Appl. Climatol.</t>
  </si>
  <si>
    <t>10.1007/s00704-015-1545-4</t>
  </si>
  <si>
    <t>DS3SP</t>
  </si>
  <si>
    <t>WOS:000380703300028</t>
  </si>
  <si>
    <t>Lombardi, D; Benoit, L; Camelbeeck, T; Martin, O; Meynard, C; Thom, C</t>
  </si>
  <si>
    <t>Lombardi, Denis; Benoit, Lionel; Camelbeeck, Thierry; Martin, Olivier; Meynard, Christophe; Thom, Christian</t>
  </si>
  <si>
    <t>Bimodal pattern of seismicity detected at the ocean margin of an Antarctic ice shelf</t>
  </si>
  <si>
    <t>GEOPHYSICAL JOURNAL INTERNATIONAL</t>
  </si>
  <si>
    <t>Seismic cycle; Transient deformation; Tides and planetary waves; Glaciology; Fracture and flow; Antarctica</t>
  </si>
  <si>
    <t>EAST ANTARCTICA; OUTLET GLACIER; MAUD-LAND; EARTHQUAKES; FLOW; MICROSEISMICITY; ICEQUAKES; GREENLAND; MOTION; STREAM</t>
  </si>
  <si>
    <t>In Antarctica, locally grounded ice, such as ice rises bordering floating ice shelves, plays a major role in the ice mass balance as it stabilizes the ice sheet flow from the hinterland. When in direct contact with the ocean, the ice rise buttressing effect may be altered in response of changing ocean forcing. To investigate this vulnerable zone, four sites near the boundary of an ice shelf with an ice rise promontory in Dronning Maud Land, East-Antarctica were monitored for a month in early 2014 with new instruments that include both seismic and GPS sensors. Our study indicated that this transition zone experiences periodic seismic activity resulting from surface crevassing during oceanic tide-induced flexure of the ice shelf. The most significant finding is the observation of apparent fortnightly tide-modulated low-frequency, long-duration seismic events at the seaward front of the ice rise promontory. A basal origin of these events is postulated with the ocean water surge at each new spring tide triggering basal crevassing or basal slip on a local bedrock asperity. Detection and monitoring of such seismicity may help identifying ice rise zones vulnerable to intensified ocean forcing.</t>
  </si>
  <si>
    <t>[Lombardi, Denis; Camelbeeck, Thierry] Royal Observ Belgium, 03 Ave Circulaire, B-1180 Brussels, Belgium; [Lombardi, Denis] Inst Phys Globe Paris, 01 Rue Jussieu, F-75005 Paris, France; [Benoit, Lionel; Martin, Olivier; Meynard, Christophe; Thom, Christian] Univ Paris Est, IGN, LOEMI, 73 Ave Paris, F-94160 St Mande, France; [Benoit, Lionel] Univ Lausanne, IDYST, CH-1015 Lausanne, Switzerland</t>
  </si>
  <si>
    <t>Universite Paris Cite; Universite Gustave-Eiffel; University of Lausanne</t>
  </si>
  <si>
    <t>Lombardi, D (corresponding author), Royal Observ Belgium, 03 Ave Circulaire, B-1180 Brussels, Belgium.;Lombardi, D (corresponding author), Inst Phys Globe Paris, 01 Rue Jussieu, F-75005 Paris, France.</t>
  </si>
  <si>
    <t>lombardi@ipgp.fr</t>
  </si>
  <si>
    <t>, christian.thom@ign.fr/AFQ-7414-2022</t>
  </si>
  <si>
    <t>, christian.thom@ign.fr/0000-0002-0653-9213; Benoit, Lionel/0000-0002-8182-0152</t>
  </si>
  <si>
    <t>Belgian Science Policy [BELSPO BR/132/PI/SMEAIS]</t>
  </si>
  <si>
    <t>Belgian Science Policy(Belgian Federal Science Policy Office)</t>
  </si>
  <si>
    <t>DL acknowledges the financial support of the Belgian Science Policy (BELSPO BR/132/PI/SMEAIS). We are grateful to the International Polar Foundation for the logistic and field support during the BELARE expedition 2013-2014. We thank IGN for the long-term support of the development of the GEOCUBE. We are also grateful for constant development of the following open-source software packages used in this study: Python (python.org), Matplotlib (Hunter 2007), Obpsy (Beyreuther et al. 2010) and QGIS (qgis.org). We also benefited from the Quantarctica database distributed by the Norwegian Polar Institute (quantarctica.org), from the CATS02.01 model (Padman et al. 2002) distributed via the Tide Model Drive software written by L. Erofeeva and from the SYOWA tide gauge data available from the Intergovernmental Oceanographic Commission archive database (http://www.ioc-sealevelmonitoring.org/station.php?code=syow) whose instrument is maintained by the Hydrographic Department of Japan. DL acknowledges G. Barruol for his constructive remarks. The manuscript profited from helpful comments from the Editor and from constructive reviews from F. Walter and an anonymous reviewer.</t>
  </si>
  <si>
    <t>0956-540X</t>
  </si>
  <si>
    <t>1365-246X</t>
  </si>
  <si>
    <t>GEOPHYS J INT</t>
  </si>
  <si>
    <t>Geophys. J. Int.</t>
  </si>
  <si>
    <t>10.1093/gji/ggw214</t>
  </si>
  <si>
    <t>DR2ZN</t>
  </si>
  <si>
    <t>WOS:000379772500046</t>
  </si>
  <si>
    <t>Eronen-Rasimus, E; Piiparinen, J; Karkman, A; Lyra, C; Gerland, S; Kaartokallio, H</t>
  </si>
  <si>
    <t>Eronen-Rasimus, Eeva; Piiparinen, Jonna; Karkman, Antti; Lyra, Christina; Gerland, Sebastian; Kaartokallio, Hermanni</t>
  </si>
  <si>
    <t>Bacterial communities in Arctic first-year drift ice during the winter/spring transition</t>
  </si>
  <si>
    <t>ANTARCTIC SEA-ICE; MICROBIAL COMMUNITIES; BALTIC SEA; MCMURDO SOUND; WEDDELL SEA; RNA GENE; PACK ICE; DIVERSITY; GROWTH; WINTER</t>
  </si>
  <si>
    <t>Horizontal and vertical variability of first-year drift-ice bacterial communities was investigated along a North-South transect in the Fram Strait during the winter/spring transition. Two different developmental stages were captured along the transect based on the prevailing environmental conditions and the differences in bacterial community composition. The differences in the bacterial communities were likely driven by the changes in sea-ice algal biomass (2.65.6 fold differences in chl-a concentrations). Copiotrophic genera common in late spring/summer sea ice, such as Polaribacter, Octadecabacter and Glaciecola, dominated the bacterial communities, supporting the conclusion that the increase in the sea-ice algal biomass was possibly reflected in the sea-ice bacterial communities. Of the dominating bacterial genera, Polaribacter seemed to benefit the most from the increase in algal biomass, since they covered approximately 39% of the total community at the southernmost stations with higher (&gt;6 g l(-1)) chl-a concentrations and only 9% at the northernmost station with lower chl-a concentrations (&lt;6 g l(-1)). The sea-ice bacterial communities also varied between the ice horizons at all three stations and thus we recommend that for future studies multiple ice horizons be sampled to cover the variability in sea-ice bacterial communities in spring.</t>
  </si>
  <si>
    <t>[Eronen-Rasimus, Eeva; Piiparinen, Jonna; Kaartokallio, Hermanni] Finnish Environm Inst, Ctr Marine Res, POB 140,Erik Palmenin Aukio 1, Helsinki 00251, Finland; [Eronen-Rasimus, Eeva; Piiparinen, Jonna] Univ Helsinki, Tvarminne Zool Stn, JA Palmenin Tie 260, Hango 10900, Finland; [Karkman, Antti; Lyra, Christina] Univ Helsinki, Dept Food &amp; Environm Sci, POB 56,Viikinkaari 9, FIN-00014 Helsinki, Finland; [Gerland, Sebastian] Norwegian Polar Res Inst, Fram Ctr, POB 6606 Langnes, N-9296 Tromso, Norway</t>
  </si>
  <si>
    <t>Finnish Environment Institute; University of Helsinki; University of Helsinki; Norwegian Polar Institute</t>
  </si>
  <si>
    <t>Eronen-Rasimus, E (corresponding author), Finnish Environm Inst, Ctr Marine Res, POB 140,Erik Palmenin Aukio 1, Helsinki 00251, Finland.;Eronen-Rasimus, E (corresponding author), Univ Helsinki, Tvarminne Zool Stn, JA Palmenin Tie 260, Hango 10900, Finland.</t>
  </si>
  <si>
    <t>eeva.eronen@gmail.com</t>
  </si>
  <si>
    <t>Karkman, Antti/HFZ-8618-2022; Karkman, Antti/AAW-9096-2021</t>
  </si>
  <si>
    <t>Karkman, Antti/0000-0003-0983-3319; Piiparinen, Jonna/0000-0002-6464-7802</t>
  </si>
  <si>
    <t>Walter and Andree de Nottbeck Foundation; Research Council of Norway [176096/S30]</t>
  </si>
  <si>
    <t>Walter and Andree de Nottbeck Foundation; Research Council of Norway(Research Council of Norway)</t>
  </si>
  <si>
    <t>The work described here was supported by the Walter and Andree de Nottbeck Foundation. The authors want to thank the iAOOS-Norway, funded by the Research Council of Norway (grant number 176096/S30), a project part of the International Polar Year, for providing an opportunity to attend to the cruise. In addition, we want to thank the captain and crew of the Norwegian Coast Guard vessel Svalbard for technical support during the cruise. We also want to thank Dr. Marcel Nicolaus (Norwegian Polar Instititute, NPI, currently of the Alfred-Wegener Institute) for assisting in the field and Anja Nicolaus (NPI, currently of the Alfred-Wegener Institute) for measuring the salinities and ice densities.</t>
  </si>
  <si>
    <t>10.1111/1758-2229.12428</t>
  </si>
  <si>
    <t>DR5JI</t>
  </si>
  <si>
    <t>WOS:000379938900013</t>
  </si>
  <si>
    <t>Rigual-Hernández, AS; Trull, TW; McCartney, K; Ballegeer, AM; Lawler, KA; Bray, SG; Armand, LK</t>
  </si>
  <si>
    <t>Rigual-Hernandez, Andres S.; Trull, Thomas W.; McCartney, Kevin; Ballegeer, Anne-Marie; Lawler, Kelly-Anne; Bray, Stephen G.; Armand, Leanne K.</t>
  </si>
  <si>
    <t>Indices based on silicoflagellate assemblages offer potential for paleo-reconstructions of the main oceanographic zones of the Southern Ocean</t>
  </si>
  <si>
    <t>GEO-MARINE LETTERS</t>
  </si>
  <si>
    <t>ANTARCTIC CIRCUMPOLAR CURRENT; LAST GLACIAL MAXIMUM; SEA-SURFACE TEMPERATURE; GULF-OF-CALIFORNIA; AUSTRALIAN SECTOR; IRON FERTILIZATION; SEASONAL EVOLUTION; ATLANTIC-OCEAN; SEDIMENT TRAPS; PACIFIC SECTOR</t>
  </si>
  <si>
    <t>This study reports detailed silicoflagellate assemblage composition and annual seasonal flux from sediment traps at four locations along a transect across the Southern Ocean frontal systems. The four traps sampled the central Subantarctic Zone (SAZ, 47A degrees S site), the Subantarctic Front (SAF, 51A degrees S site), the Polar Frontal Zone (54A degrees S site) and the Antarctic Zone (61A degrees S site) across the 140A degrees E longitude. Annual silicoflagellate fluxes to the deep ocean exhibited a similar latitudinal trend to those of diatom fluxes reported in previous work, with maxima in the Antarctic Zone and minima in the Subantarctic Zone. The data suggest that, along with diatoms, silicoflagellates are important contributors to biogenic silica export at all sites, particularly in the Subantarctic Zone. Two main silicoflagellate genera were observed, with Stephanocha sp. (previously known as Distephanus) dominating polar waters and Dictyocha sp. important in sub-polar waters. This is consistent with previous use of the Dictyocha / Stephanocha ratio to infer paleotemperatures and monitor shifts in the position of the Polar Frontal Zone in the sedimentary record. It appears possible to further refine the application of this approach by using the ratio between two Dictyocha species, because Dictyocha aculeata dominated at the Subantarctic Front, while Dictyocha stapedia dominated in the central Subantarctic Front. Given the well-defined environmental affinities of both species, a new SAF silicoflagellate index (SAF-SI) based on this ratio is proposed as a useful diagnostic for SAF and SAZ water mass signatures in the Plio-Pleistocene and Holocene sedimentary record.</t>
  </si>
  <si>
    <t>[Rigual-Hernandez, Andres S.; Ballegeer, Anne-Marie; Lawler, Kelly-Anne; Armand, Leanne K.] Macquarie Univ, Dept Biol Sci, Ctr Marine Res, N Ryde, NSW 2109, Australia; [Trull, Thomas W.; Bray, Stephen G.] Univ Tasmania, Antarctic Climate &amp; Ecosyst Cooperat Res Ctr, Hobart, Tas 7001, Australia; [Trull, Thomas W.] CSIRO Oceans &amp; Atmosphere Flagship, Hobart, Tas 7001, Australia; [McCartney, Kevin] Univ Maine Presque Isle, Dept Environm Studies, Presque Isle, ME 04769 USA</t>
  </si>
  <si>
    <t>Macquarie University; University of Tasmania; Antarctic Climate &amp; Ecosystems Cooperative Research Centre (ACE CRC); Commonwealth Scientific &amp; Industrial Research Organisation (CSIRO); University of Maine System; University of Maine Presque Isle</t>
  </si>
  <si>
    <t>Rigual-Hernández, AS (corresponding author), Macquarie Univ, Dept Biol Sci, Ctr Marine Res, N Ryde, NSW 2109, Australia.</t>
  </si>
  <si>
    <t>Rigual-Hernández, Andrés/E-2041-2018; Armand, Leanne K/C-9004-2009; Ballegeer, Anne Marie/AAB-1707-2021</t>
  </si>
  <si>
    <t>Rigual-Hernández, Andrés/0000-0003-1521-3896; Ballegeer, Anne Marie/0000-0001-6296-1868; Lawler, Kelly-Anne/0000-0002-8770-1365; Armand, Leanne/0000-0003-3995-308X</t>
  </si>
  <si>
    <t>Australian Government's Australian Antarctic Science Grant Program [4078]; Australian Antarctic Sciences awards [AAS1156, AA2256]; US National Science Foundation Office of Polar Programs; Belgian Science and Policy Office; CSIRO Marine Laboratories; Australian Integrated Marine Observing System</t>
  </si>
  <si>
    <t>Australian Government's Australian Antarctic Science Grant Program(Australian Government); Australian Antarctic Sciences awards; US National Science Foundation Office of Polar Programs(National Science Foundation (NSF)); Belgian Science and Policy Office; CSIRO Marine Laboratories; Australian Integrated Marine Observing System</t>
  </si>
  <si>
    <t>The present work was made possible by the Australian Government's Australian Antarctic Science Grant Program (Project number 4078) and Macquarie University (A. Rigual-Hernandez and L. Armand). The SAZ Project sediment trap moorings received support from the Australian Antarctic Sciences awards AAS1156 and AA2256 (T. Trull), the US National Science Foundation Office of Polar Programs (R. Francois, T. Trull, S. Honjo and S. Manganini), the Belgian Science and Policy Office (F. Dehairs), CSIRO Marine Laboratories, and the Australian Integrated Marine Observing System (of which they are currently a component of the IMOS Southern Ocean Time Series Facility; www.imos.org.au). The authors acknowledge the assistance of Nicole Vella from the Macquarie University Microscopy Unit in the SEM analysis. The article benefitted from constructive comments from two anonymous reviewers.</t>
  </si>
  <si>
    <t>0276-0460</t>
  </si>
  <si>
    <t>1432-1157</t>
  </si>
  <si>
    <t>GEO-MAR LETT</t>
  </si>
  <si>
    <t>Geo-Mar. Lett.</t>
  </si>
  <si>
    <t>10.1007/s00367-016-0444-8</t>
  </si>
  <si>
    <t>Geosciences, Multidisciplinary; Oceanography</t>
  </si>
  <si>
    <t>Geology; Oceanography</t>
  </si>
  <si>
    <t>DR4CE</t>
  </si>
  <si>
    <t>WOS:000379848300003</t>
  </si>
  <si>
    <t>Akilan, A; Azeez, KKA; Schuh, H; Padhy, S; Subhadra, N</t>
  </si>
  <si>
    <t>Akilan, A.; Azeez, K. K. Abdul; Schuh, H.; Padhy, S.; Subhadra, N.</t>
  </si>
  <si>
    <t>Changes in atmospheric water content associated with an unusual high snowfall during June 2004 at Maitri station (Schirmacher Oasis, East Antarctica) and the role of South West Indian ridge geodynamics</t>
  </si>
  <si>
    <t>NATURAL HAZARDS</t>
  </si>
  <si>
    <t>Antarctica; Snowfall; GPS ZTD; Seismic swarm; SWIR</t>
  </si>
  <si>
    <t>VARIABILITY; ANOMALIES; MANTLE; EARTHQUAKES; MORB; AR</t>
  </si>
  <si>
    <t>We study changes in the atmospheric water vapour associated with the unusual snowfall during June 2004 polar night at the Indian Antarctica station Maitri (MAIT), located similar to 70 km inland of the East Antarctic north coast. The GPS-derived Zenith Total Delay data for the 2004 polar night are used to evaluate the atmospheric water content at four GPS locations along the northern margin of East Antarctica. Stations Maitri and Syowa (SYOG) showed significant increase in atmospheric water vapour from GPS day 162 (10 June 2004) to 176 (24 June 2004) and correlate well with the duration of heavy snowfall at MAIT. The precipitable water vapour values computed for IGS station SYOG confirm high water vapour during this high snowfall period. Such an anomalous water vapour over East Antarctica in this peak winter time, characterized by the complete absence of solar radiations, suggests a link between this phenomenon and the high evaporation rate over South West Indian Ridge triggered by the geothermal heat radiated to the sea bottom through active magma spreading.</t>
  </si>
  <si>
    <t>[Akilan, A.; Azeez, K. K. Abdul; Padhy, S.; Subhadra, N.] CSIR Natl Geophys Res Inst, Uppal Rd, Hyderabad 500007, Andhra Pradesh, India; [Schuh, H.] GFZ, Potsdam, Germany</t>
  </si>
  <si>
    <t>Council of Scientific &amp; Industrial Research (CSIR) - India; CSIR - National Geophysical Research Institute (NGRI); Helmholtz Association; Helmholtz-Center Potsdam GFZ German Research Center for Geosciences</t>
  </si>
  <si>
    <t>Akilan, A (corresponding author), CSIR Natl Geophys Res Inst, Uppal Rd, Hyderabad 500007, Andhra Pradesh, India.</t>
  </si>
  <si>
    <t>akilan@ngri.res.in</t>
  </si>
  <si>
    <t>0921-030X</t>
  </si>
  <si>
    <t>1573-0840</t>
  </si>
  <si>
    <t>NAT HAZARDS</t>
  </si>
  <si>
    <t>Nat. Hazards</t>
  </si>
  <si>
    <t>10.1007/s11069-016-2333-x</t>
  </si>
  <si>
    <t>Geosciences, Multidisciplinary; Meteorology &amp; Atmospheric Sciences; Water Resources</t>
  </si>
  <si>
    <t>Geology; Meteorology &amp; Atmospheric Sciences; Water Resources</t>
  </si>
  <si>
    <t>DQ8ZU</t>
  </si>
  <si>
    <t>WOS:000379501000028</t>
  </si>
  <si>
    <t>Winton, VHL; Dunbar, GB; Atkins, CB; Bertler, NAN; Delmonte, B; Andersson, PS; Bowie, A; Edwards, R</t>
  </si>
  <si>
    <t>Winton, V. H. L.; Dunbar, G. B.; Atkins, C. B.; Bertler, N. A. N.; Delmonte, B.; Andersson, P. S.; Bowie, A.; Edwards, R.</t>
  </si>
  <si>
    <t>The origin of lithogenic sediment in the south-western Ross Sea and implications for iron fertilization</t>
  </si>
  <si>
    <t>Antarctica; dust; dust provenance; iron; McMurdo Sound</t>
  </si>
  <si>
    <t>ANTARCTIC SHELF WATERS; EAST ANTARCTICA; VICTORIA LAND; AEOLIAN DUST; ICE CORE; ND; VARIABILITY; LIMITATION; STRONTIUM; BLOOMS</t>
  </si>
  <si>
    <t>Summer iron (Fe) fertilization in the Ross Sea has previously been observed in association with diatom productivity, lithogenic particles and excess Fe in the water column. This productivity event occurred during an early breakout of sea ice via katabatic winds, suggesting that aeolian dust could be an important source of lithogenic Fe required for diatom growth in the Ross Sea. Here we investigate the provenance of size-selected dust deposited on sea ice in McMurdo Sound, south-western (SW) Ross Sea. The isotopic signature of McMurdo Sound dust (0.70533</t>
  </si>
  <si>
    <t>[Winton, V. H. L.; Edwards, R.] Curtin Univ, Phys &amp; Astron, Perth, WA, Australia; [Dunbar, G. B.; Bertler, N. A. N.] Victoria Univ Wellington, Antarctic Res Ctr, Wellington, New Zealand; [Atkins, C. B.] Victoria Univ Wellington, Sch Geog Environm &amp; Earth Sci, Wellington, New Zealand; [Bertler, N. A. N.] Natl Isotope Ctr, GNS Sci, Lower Hutt, New Zealand; [Delmonte, B.] Univ Milano Bicocca, Dept Earth &amp; Environm Sci, DISAT, Milan, Italy; [Andersson, P. S.] Swedish Museum Nat Hist, Dept Geosci, Stockholm, Sweden; [Bowie, A.] Univ Tasmania, Antarctic Climate &amp; Ecosyst CRC, Hobart, Tas, Australia; [Bowie, A.] Univ Tasmania, Inst Antarctic &amp; Southern Ocean Studies, Hobart, Tas, Australia</t>
  </si>
  <si>
    <t>Curtin University; Victoria University Wellington; Victoria University Wellington; GNS Science - New Zealand; University of Milano-Bicocca; Swedish Museum of Natural History; University of Tasmania; University of Tasmania</t>
  </si>
  <si>
    <t>Winton, VHL (corresponding author), Curtin Univ, Phys &amp; Astron, Perth, WA, Australia.</t>
  </si>
  <si>
    <t>holly.winton@postgrad.curtin.edu.au</t>
  </si>
  <si>
    <t>Bertler, Nancy A N/F-3967-2011; Atkins, cliff B/E-9458-2011; Winton, Holly/J-5486-2019; Delmonte, Barbara/L-2555-2015; Bowie, Andrew/C-8677-2013; Edwards, Ross/B-1433-2013</t>
  </si>
  <si>
    <t>Winton, Holly/0000-0001-7112-6768; Delmonte, Barbara/0000-0002-9074-2061; Bertler, Nancy/0000-0001-6028-4891; Bowie, Andrew/0000-0002-5144-7799; Edwards, Ross/0000-0002-9233-8775; Atkins, C/0000-0002-6513-6924</t>
  </si>
  <si>
    <t>Curtin University; Antarctic Science (Antarctic Science Bursary); Curtin University [RES-SE-DAP-AW-47679-1]; New Zealand Ministry of Science and Innovation [VUW0704, RDF-VUW1103]; GNS Science [540GCT32, C05X1001]; Department of Geosciences, Swedish Museum of Natural History</t>
  </si>
  <si>
    <t>Curtin University; Antarctic Science (Antarctic Science Bursary); Curtin University; New Zealand Ministry of Science and Innovation; GNS Science; Department of Geosciences, Swedish Museum of Natural History</t>
  </si>
  <si>
    <t>We would like to thank Antarctica New Zealand and Scott Base personnel for logistics support. Thank you to Jane Chewings, Associate Professor Brent Alloway and Assistant Professor Ana Aguilar-Islas for the collection of McMurdo Sound and Granite Harbour dust samples. Additional thanks to Professor Robert Dunbar for Chinstrap sediment trap samples from the ROAVERRS mooring programme. V.H.L.W would like to thank Curtin University (Australian Postgraduate Award and Curtin Research Scholarship) and Antarctic Science (Antarctic Science Bursary) for scholarship and other funding support. This project was funded by Curtin University (Curtin Research Fellowship to R.E.: RES-SE-DAP-AW-47679-1), and New Zealand Ministry of Science and Innovation through contracts to Victoria University of Wellington (Contracts: VUW0704; RDF-VUW1103) and GNS Science (Contracts: 540GCT32; C05X1001). Isotopic analyses for provenance characterization were carried out at the Swedish Museum of Natural History and were supported by the Department of Geosciences, Swedish Museum of Natural History. Thank you to Karin Wallner and Hans Schoberg for technical support. The isotopic dataset for this paper is freely available from the Curtin University Research Data repository http://doi.org/10.4225/06/5643EBA1C8473. The chlorophyll a data was obtained freely from the Sea-Viewing Wide Field-of-View Sensor (http://giovanni.gsfc.nasa.gov/). Additional thanks for the helpful comments and suggestions of Jeroen de Jong and an anonymous reviewer that aided in revision of this manuscript.</t>
  </si>
  <si>
    <t>10.1017/S095410201600002X</t>
  </si>
  <si>
    <t>DQ7WA</t>
  </si>
  <si>
    <t>WOS:000379417400003</t>
  </si>
  <si>
    <t>González-Aravena, M; Urtubia, R; Del Campo, K; Lavín, P; Wong, CMVL; Cárdenas, CA; González-Rocha, G</t>
  </si>
  <si>
    <t>Gonzalez-Aravena, M.; Urtubia, R.; Del Campo, K.; Lavin, P.; Wong, C. M. V. L.; Cardenas, C. A.; Gonzalez-Rocha, G.</t>
  </si>
  <si>
    <t>Antibiotic and metal resistance of cultivable bacteria in the Antarctic sea urchin</t>
  </si>
  <si>
    <t>Antarctica; coelomic fluid; multi-resistance; Sterechinus neumayeri</t>
  </si>
  <si>
    <t>PSYCHROTROPHIC BACTERIA; BETA-LACTAMASE; ROSS SEA; BAY; CONTAMINATION; SPONGES; DISEASE; STATION; GENES</t>
  </si>
  <si>
    <t>In this paper we report the first characterization of cultivable bacteria obtained from the Antarctic sea urchin Sterechinus neumayeri. The coelomic fluid was obtained from a pool of sea urchins which was plated onto different media to isolate the bacteria. A total of 42 isolates of psychrotrophic and aerobic.-Proteobacteria (59.5%), Flavobacteria (33.3%) and Actinomycetes (7.2%) were isolated and sequenced. These bacteria were exposed to heavy metals and antibiotics, where 38 strains were analysed by the minimal inhibitory concentration method. Antibiotic resistance was detected in 44% of cultivable strains, and a further 13% presented co-resistance to antibiotics and heavy metals. The genera of bacteria that showed an increased resistance and co-resistance to metals and antibiotics were Flavobacterium, Psychrobacter and Pseudomonas. Additionally, 30.9% of isolated bacterial strains contained plasmids, which are probably related to resistance and co-resistance to metals. These results indicate that sea urchin-associated bacteria could be reservoirs for antibiotic resistance genes.</t>
  </si>
  <si>
    <t>[Gonzalez-Aravena, M.; Urtubia, R.; Lavin, P.; Cardenas, C. A.] Inst Antartico Chileno, Lab Biorrecursos Antarticos, Punta Arenas 6200000, Chile; [Del Campo, K.; Gonzalez-Rocha, G.] Univ Concepcion, Fac Ciencias Biol, Lab Invest Agentes Antibacteriano, Concepcion 4030000, Chile; [Wong, C. M. V. L.] Univ Malaysia Sabah, Biotechnol Res Inst, Jalan UMS, Kota Kinabalu 88400, Sabah, Malaysia</t>
  </si>
  <si>
    <t>Universidad de Concepcion; Universiti Malaysia Sabah</t>
  </si>
  <si>
    <t>González-Aravena, M (corresponding author), Inst Antartico Chileno, Lab Biorrecursos Antarticos, Punta Arenas 6200000, Chile.</t>
  </si>
  <si>
    <t>mgonzalez@inach.cl</t>
  </si>
  <si>
    <t>González, Marcelo/ABF-1450-2020; Cardenas, Cesar/ABF-1664-2020; Gonzalez, Gerardo/KHE-5265-2024; Wong, Clemente Michael Vui Ling/M-8372-2013; Gonzalez-Rocha, Gerardo/AAP-1793-2021; Lavin, Paris/AAI-9053-2020</t>
  </si>
  <si>
    <t>Wong, Clemente Michael Vui Ling/0000-0003-3431-8896; Gonzalez-Rocha, Gerardo/0000-0003-2351-1236; Cardenas, Cesar/0000-0001-6662-6899; Lavin, Paris/0000-0002-8893-526X; Gonzalez, Marcelo/0000-0001-9986-9504</t>
  </si>
  <si>
    <t>Chilean Antarctic Scientific Program (PROCIEN) [11090265, T 17-08]</t>
  </si>
  <si>
    <t>Chilean Antarctic Scientific Program (PROCIEN)</t>
  </si>
  <si>
    <t>This investigation was funded by a grant from the Chilean Antarctic Scientific Program (PROCIEN) in the frame of FONDECYT grant number 11090265 and INACH grant T 17-08. We thank the reviewers for their thoughtful and constructive comments which improved the manuscript.</t>
  </si>
  <si>
    <t>10.1017/S0954102016000109</t>
  </si>
  <si>
    <t>WOS:000379417400004</t>
  </si>
  <si>
    <t>Dayton, PK; Hammerstrom, K; Jarrell, SC; Kim, S; Nordhausen, W; Osborne, DJ; Thrush, SF</t>
  </si>
  <si>
    <t>Dayton, Paul K.; Hammerstrom, Kamille; Jarrell, Shannon C.; Kim, Stacy; Nordhausen, Walter; Osborne, D. J.; Thrush, Simon F.</t>
  </si>
  <si>
    <t>Unusual coastal flood impacts in Salmon Valley, McMurdo Sound, Antarctica</t>
  </si>
  <si>
    <t>basal freezing; baseline monitoring; coastal ecology; ice uplift; sedimentation</t>
  </si>
  <si>
    <t>GROUNDED ICE-SHEET; DRY VALLEYS; ROSS SEA</t>
  </si>
  <si>
    <t>Large floods bringing significant sediments into the coastal oceans have not been observed in Antarctica. We report evidence of a large flood event depositing over 50 cm of sediment onto the nearshore benthic habitat at Salmon Bay, Antarctica, between 1990 and 2010. Besides direct observations of the sedimentation, the evidence involves a debris flow covering old tyre tracks from the early 1960s, as well as evidence of a considerable amount of sediment transported onto the Salmon Creek delta. We believe that the flood was sourced from the Salmon Glacier and possibly the smaller Blackwelder Glacier. Such floods will be more common in the future and it is important to better understand their ecological impacts with good monitoring programmes.</t>
  </si>
  <si>
    <t>[Dayton, Paul K.; Jarrell, Shannon C.] Scripps Inst Oceanog, Mail Code 0227,9500 Gilman Dr, La Jolla, CA 92093 USA; [Hammerstrom, Kamille; Kim, Stacy] Moss Landing Marine Labs, 8272 Moss Landing Rd, Moss Landing, CA 95039 USA; [Nordhausen, Walter] European Maritime Safety Agcy, Praca Europa 4, P-1249206 Lisbon, Portugal; [Osborne, D. J.] Monterey Bay Aquarium Res Inst, 7700 Sandholdt Rd, Moss Landing, CA 95039 USA; [Thrush, Simon F.] Univ Auckland, Inst Marine Sci, Private Bag 92019, Auckland 1142, New Zealand</t>
  </si>
  <si>
    <t>University of California System; University of California San Diego; Scripps Institution of Oceanography; Moss Landing Marine Laboratories; Monterey Bay Aquarium Research Institute; University of Auckland</t>
  </si>
  <si>
    <t>Dayton, PK (corresponding author), Scripps Inst Oceanog, Mail Code 0227,9500 Gilman Dr, La Jolla, CA 92093 USA.</t>
  </si>
  <si>
    <t>Hammerstrom, Kamille/0000-0002-1177-5552; Thrush, Simon/0000-0002-4005-3882</t>
  </si>
  <si>
    <t>National Science Foundation [PLR-1355533, ANT-0842064]; Directorate For Geosciences; Office of Polar Programs (OPP) [0944747] Funding Source: National Science Foundation</t>
  </si>
  <si>
    <t>National Science Foundation(National Science Foundation (NSF)); Directorate For Geosciences; Office of Polar Programs (OPP)(National Science Foundation (NSF)NSF - Directorate for Geosciences (GEO))</t>
  </si>
  <si>
    <t>We thank Vonda Cummings, David Harrowfield, Molly Miller, Brenda Hall and George Denton for helpful comments. We are grateful to Brad Herried, PGC, for providing satellite imagery. This material is based upon work supported by the National Science Foundation under grants PLR-1355533 and ANT-0842064. Any opinions, findings and conclusions or recommendations expressed in this publication are those of the authors and do not necessarily reflect the views of the National Science Foundation.</t>
  </si>
  <si>
    <t>10.1017/S0954102016000171</t>
  </si>
  <si>
    <t>WOS:000379417400005</t>
  </si>
  <si>
    <t>Jigena, B; Berrocoso, M; Torrecillas, C; Vidal, J; Barbero, I; Fernandez-Ros, A</t>
  </si>
  <si>
    <t>Jigena, Bismarck; Berrocoso, Manuel; Torrecillas, Cristina; Vidal, Juan; Barbero, Ignacio; Fernandez-Ros, Alberto</t>
  </si>
  <si>
    <t>Determination of an experimental geoid at Deception Island, South Shetland Islands, Antarctica</t>
  </si>
  <si>
    <t>geoid undulation; gravimetric; levelling; Livingston Island; mean sea level; orthometric height</t>
  </si>
  <si>
    <t>Deception Island is an active volcano located in Bransfield Strait. Its volcanic activity is linked to the presence of gravity anomalies that influence the definition of the geoid. In this paper, a precise undulation geoid model (GeoiDEC14) has been computed from GPS, gravimetric and levelling measurements. GeoiDEC14 highlights local anomalies of the island that match with hot spots, such as the minimum values shown in Fumarole Bay and Whalers Bay (fumarole areas), or the maximum values found in the remains of lava at Colatinas, Black Glacier and Murature Point. Comparison of GeoiDEC14 with global models always shows negative values due to an average of 18.80m for our model compared to 19.80-20.60m for models such as ITSG-Grace2014s, EGM08, AIUG-Grace03s or EGM96. This difference is due to the lack of resolution of global models and to the volcanic activity on the island. To confirm the results, the same measurements were taken on nearby Livingston Island. The values of geoid undulation on this island reaffirm the lack of detail in the global geoid in the area, presenting an average of 18.90 m, similar to the average value of GeoiDEC14.</t>
  </si>
  <si>
    <t>[Jigena, Bismarck] Univ Cadiz, Dept Naut Sci &amp; Maritime Studies, CP 11510, Cadiz, Spain; [Jigena, Bismarck; Berrocoso, Manuel; Torrecillas, Cristina; Vidal, Juan; Fernandez-Ros, Alberto] Univ Cadiz, Fac Sci, Astron Geodesy &amp; Cartog Lab LAGC UCA, CP 11510, Cadiz, Spain; [Berrocoso, Manuel; Fernandez-Ros, Alberto] Univ Cadiz, Dept Math, CP 11510, Cadiz, Spain; [Torrecillas, Cristina] Univ Seville, Dept Graph Engn, CP 41092, Seville, Spain; [Vidal, Juan; Barbero, Ignacio] Univ Cadiz, Dept Naval Construct, CP 11510, Cadiz, Spain</t>
  </si>
  <si>
    <t>Universidad de Cadiz; Universidad de Cadiz; Universidad de Cadiz; University of Sevilla; Universidad de Cadiz</t>
  </si>
  <si>
    <t>Jigena, B (corresponding author), Univ Cadiz, Dept Naut Sci &amp; Maritime Studies, CP 11510, Cadiz, Spain.;Jigena, B (corresponding author), Univ Cadiz, Fac Sci, Astron Geodesy &amp; Cartog Lab LAGC UCA, CP 11510, Cadiz, Spain.</t>
  </si>
  <si>
    <t>bismarck.jigena@gm.uca.es</t>
  </si>
  <si>
    <t>Vidal, Juan/AAU-2991-2020; Jigena-Antelo, Bismarck/N-8079-2015; Torrecillas, Cristina/D-9178-2011; BERROCOSO, MANUEL/O-3818-2014</t>
  </si>
  <si>
    <t>Jigena-Antelo, Bismarck/0000-0002-4858-3415; Torrecillas, Cristina/0000-0002-3650-3174; Vidal, juan/0000-0002-1828-3876; BERROCOSO, MANUEL/0000-0002-1878-9658; Barbero, Ignacio/0000-0003-2778-5437</t>
  </si>
  <si>
    <t>Spanish Ministry of Science and Technology through the National Programme of Antarctic Research and Natural Resources [REN2000-0551-C03-01/ANT, REN2002-1383/ANT, CGL2004-21547-E/ANT, CGL2007-28768-E/ANT, CTM2008-03113-E/ANT, CTM2009-07251/ANT]; Geodesia y Geofisica Cadiz [RNM314]</t>
  </si>
  <si>
    <t>Spanish Ministry of Science and Technology through the National Programme of Antarctic Research and Natural Resources; Geodesia y Geofisica Cadiz</t>
  </si>
  <si>
    <t>This work was made possible by the support of the following projects, funded by the Spanish Ministry of Science and Technology through the National Programme of Antarctic Research and Natural Resources REN2000-0551-C03-01/ANT, REN2002-1383/ANT, CGL2004-21547-E/ANT, CGL2007-28768-E/ANT, CTM2008-03113-E/ANT and CTM2009-07251/ANT, as well as the Research Group RNM314 Geodesia y Geofisica Cadiz, pertaining to the Junta de Andalucia, Spain. The authors thank the crew of the Oceanographic Research Vessel BIO Las Palmas and the members of the Spanish Antarctic stations Gabriel de Castilla and Juan Carlos I for their collaboration during the surveying campaigns. We also thank Dr Jorge Garate for comments and suggestions in the production of this paper. The authors thank the editors, Professor Smellie, Professor Zanutta and an anonymous reviewer for their comments which greatly improved the manuscript.</t>
  </si>
  <si>
    <t>10.1017/S0954102015000681</t>
  </si>
  <si>
    <t>WOS:000379417400006</t>
  </si>
  <si>
    <t>Hua, R; Hou, SG; Li, YS; Pang, HX; Mayewski, P; Sneed, S; An, CL; Handley, M</t>
  </si>
  <si>
    <t>Hua Rong; Hou Shugui; Li Yuansheng; Pang Hongxi; Mayewski, Paul; Sneed, Sharon; An Chunlei; Handley, Michael</t>
  </si>
  <si>
    <t>Arsenic record from a 3 m snow pit at Dome Argus, Antarctica</t>
  </si>
  <si>
    <t>Antarctic atmospheric circulation; copper production; environmental regulation; late 20th century pollution</t>
  </si>
  <si>
    <t>SPATIAL VARIABILITY; ZHONGSHAN STATION; TRAVERSE ROUTE; ICE CORE; ACCUMULATION; ALTITUDE; ELEMENTS; CLIMATE</t>
  </si>
  <si>
    <t>This study presents an arsenic concentration time series from 1964-2009 at Dome Argus, Antarctica. The data show a very large increase in arsenic concentration from the mid-1980s to the late-1990s (by a factor of similar to 22) compared with the values before the mid-1980s. This increase is likely to be related to the increased copper smelting in South America. Arsenic concentration then decreased in the late-1990s, most probably as a result of environmental regulations in South America. The sudden increase in arsenic concentration observed at Dome Argus coincides with similar increases observed at Dome Fuji and in Antarctica Ice Core-6 (IC-6) at the same time, suggesting that arsenic pollution during the period from the mid-1980s to the late-1990s was a regional phenomenon in Antarctica. Investigations of arsenic concentrations at these three Antarctic locations show that, during this time, regional arsenic distribution followed dust transport pathways associated with general climate models with South America as a major source region for the half of Antarctica facing the Atlantic and Indian oceans.</t>
  </si>
  <si>
    <t>[Hua Rong; Hou Shugui; Pang Hongxi; An Chunlei] Nanjing Univ, Sch Geog &amp; Oceanog, MOE Key Lab Coast &amp; Isl Dev, Nanjing 210093, Jiangsu, Peoples R China; [Hou Shugui] CAS Ctr Excellence Tibetan Plateau Earth Sci, Beijing 100101, Peoples R China; [Li Yuansheng; An Chunlei] Polar Res Inst China, Shanghai 200129, Peoples R China; [Mayewski, Paul; Sneed, Sharon; Handley, Michael] Univ Maine, Climate Change Inst, Orono, ME 04469 USA; [Mayewski, Paul] Univ Maine, Sch Earth &amp; Climate Sci, Orono, ME 04469 USA</t>
  </si>
  <si>
    <t>Nanjing University; Polar Research Institute of China; University of Maine System; University of Maine Orono; University of Maine System; University of Maine Orono</t>
  </si>
  <si>
    <t>Hou, SG (corresponding author), Nanjing Univ, Sch Geog &amp; Oceanog, MOE Key Lab Coast &amp; Isl Dev, Nanjing 210093, Jiangsu, Peoples R China.;Hou, SG (corresponding author), CAS Ctr Excellence Tibetan Plateau Earth Sci, Beijing 100101, Peoples R China.</t>
  </si>
  <si>
    <t>shugui@nju.edu.cn</t>
  </si>
  <si>
    <t>Mayewski, Paul Andrew/HRD-6969-2023</t>
  </si>
  <si>
    <t>Hou, Shugui/0000-0002-0905-3542</t>
  </si>
  <si>
    <t>Chinese Antarctic Expedition; State Oceanic Administration [CHINARE2012-02-02]; Natural Science Foundation of China [41330526, 41171052, 41321062]</t>
  </si>
  <si>
    <t>Chinese Antarctic Expedition; State Oceanic Administration; Natural Science Foundation of China(National Natural Science Foundation of China (NSFC))</t>
  </si>
  <si>
    <t>Thanks for the generous support from the Chinese Antarctic Expedition, Dr Shuang-Ye Wu for her helpful input, and Dr Laurie Burn-Nunes for valuable comments. The research was supported by the State Oceanic Administration (CHINARE2012-02-02) and the Natural Science Foundation of China (41330526, 41171052, 41321062). The constructive comments of the reviewers and the editor are gratefully acknowledged.</t>
  </si>
  <si>
    <t>10.1017/S0954102016000092</t>
  </si>
  <si>
    <t>WOS:000379417400008</t>
  </si>
  <si>
    <t>Bart, PJ; Coquereau, L; Warny, S; Majewski, W</t>
  </si>
  <si>
    <t>Bart, Philip J.; Coquereau, Laura; Warny, Sophie; Majewski, Wojciech</t>
  </si>
  <si>
    <t>In situ foraminifera in grounding zone diamict: a working hypothesis</t>
  </si>
  <si>
    <t>continental shelf; grounding zone wedge; ice sheet; Last Glacial Maximum; Ross Sea; West Antarctica</t>
  </si>
  <si>
    <t>AMERY ICE SHELF; ANTARCTIC PENINSULA; WEST ANTARCTICA; MONOTHALAMOUS FORAMINIFERA; BENTHIC FORAMINIFERA; ROSS SEA; RETREAT; SVALBARD; OCEAN; BASIN</t>
  </si>
  <si>
    <t>The ice-proximal diamict sediment deposited on the foreset of a grounding zone wedge in Glomar Challenger Basin on the eastern Ross Sea continental shelf yielded a low abundance assemblage of foraminifera at two piston core sites. We found 302 small well-preserved specimens representing 18 species of benthic foraminifera from825 ml of sediment. Only three poorly preserved specimens of the planktonic foraminifera Neogloboquadrina pachyderma (sinistral) were found. Our combined analyses of preservation state, assemblage composition and stable isotopes suggest that the benthic foraminifera may be in situ. This possibility is of interest to palaeoclimatologists who use ice-proximal sediments on the Antarctic continental shelves to radiocarbon date the post-glacial retreat history.</t>
  </si>
  <si>
    <t>[Bart, Philip J.; Coquereau, Laura; Warny, Sophie] Louisiana State Univ, Dept Geol &amp; Geog, E235 Howe Russell, Baton Rouge, LA 70803 USA; [Bart, Philip J.; Coquereau, Laura; Warny, Sophie] Louisiana State Univ, Museum Nat Sci, E235 Howe Russell, Baton Rouge, LA 70803 USA; [Coquereau, Laura] Univ Paris 06, Dept Oceanog &amp; Marine Environm, 4 Pl Jussieu, F-75252 Paris 05, France; [Majewski, Wojciech] Polish Acad Sci, Inst Paleobiol, Twarda 51-55, PL-00818 Warsaw, Poland</t>
  </si>
  <si>
    <t>Louisiana State University System; Louisiana State University; Louisiana State University System; Louisiana State University; Sorbonne Universite; Polish Academy of Sciences; Institute of Paleobiology of the Polish Academy of Sciences</t>
  </si>
  <si>
    <t>Bart, PJ (corresponding author), Louisiana State Univ, Dept Geol &amp; Geog, E235 Howe Russell, Baton Rouge, LA 70803 USA.;Bart, PJ (corresponding author), Louisiana State Univ, Museum Nat Sci, E235 Howe Russell, Baton Rouge, LA 70803 USA.</t>
  </si>
  <si>
    <t>pbart@lsu.edu</t>
  </si>
  <si>
    <t>Warny, Sophie A/A-8226-2013; Majewski, Wojciech/D-9255-2017</t>
  </si>
  <si>
    <t>Warny, Sophie/0000-0002-3451-040X; Majewski, Wojciech/0000-0002-5407-1782</t>
  </si>
  <si>
    <t>NSF OPP [1246357]; Directorate For Geosciences [1048343] Funding Source: National Science Foundation; Directorate For Geosciences; Office of Polar Programs (OPP) [1246357] Funding Source: National Science Foundation; Office of Polar Programs (OPP) [1048343] Funding Source: National Science Foundation</t>
  </si>
  <si>
    <t>NSF OPP(National Science Foundation (NSF)NSF - Directorate for Geosciences (GEO));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</si>
  <si>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The research was supported by NSF OPP grant #1246357 to Bart. Thanks are extended to the ECO Captain, ship crew and marine/electronic support crews of the RVIB Nathaniel B. Palmer for assistance acquiring core and geophysical data during difficult field conditions during the NBP0802 and 0803 cruises to Glomar Challenger Basin. Thanks are also extended to the curatorial staff of the Antarctic Marine Geology Research Facilities in Tallahassee for providing the core samples requested from the archive. We thank Patrick Quilty and the journal editor for suggestions that improved the manuscript.</t>
  </si>
  <si>
    <t>10.1017/S0954102016000055</t>
  </si>
  <si>
    <t>WOS:000379417400009</t>
  </si>
  <si>
    <t>Wang, XX; Wan, R; Huang, LY; Zhao, FF; Sun, P</t>
  </si>
  <si>
    <t>Wang Xinxin; Wan Rong; Huang Liuyi; Zhao Fenfang; Sun Peng</t>
  </si>
  <si>
    <t>Two-dimensional numerical simulation of flow around three-stranded rope</t>
  </si>
  <si>
    <t>JOURNAL OF OCEAN UNIVERSITY OF CHINA</t>
  </si>
  <si>
    <t>steady flow; three-stranded rope; vortex shedding; drag coefficient; reynolds number</t>
  </si>
  <si>
    <t>CIRCULAR-CYLINDER; NETS</t>
  </si>
  <si>
    <t>Three-stranded rope is widely used in fishing gear and mooring system. Results of numerical simulation are presented for flow around a three-stranded rope in uniform flow. The simulation was carried out to study the hydrodynamic characteristics of pressure and velocity fields of steady incompressible laminar and turbulent wakes behind a three-stranded rope. A three-cylinder configuration and single circular cylinder configuration are used to model the three-stranded rope in the two-dimensional simulation. The governing equations, Navier-Stokes equations, are solved by using two-dimensional finite volume method. The turbulence flow is simulated using Standard kappa-epsilon model and Shear-Stress Transport kappa-omega (SST) model. The drag of the three-cylinder model and single cylinder model is calculated for different Reynolds numbers by using control volume analysis method. The pressure coefficient is also calculated for the turbulent model and laminar model based on the control surface method. From the comparison of the drag coefficient and the pressure of the single cylinder and three-cylinder models, it is found that the drag coefficients of the three-cylinder model are generally 1.3-1.5 times those of the single circular cylinder for different Reynolds numbers. Comparing the numerical results with water tank test data, the results of the three-cylinder model are closer to the experiment results than the single cylinder model results.</t>
  </si>
  <si>
    <t>[Wang Xinxin; Wan Rong; Huang Liuyi; Zhao Fenfang; Sun Peng] Ocean Univ China, Coll Fisheries, Lab Fisheries Engn, Qingdao 266100, Peoples R China; [Wan Rong] Shanghai Ocean Univ, Natl Engn Res Ctr Ocean Fisheries, Shanghai 201306, Peoples R China</t>
  </si>
  <si>
    <t>Ocean University of China; National Engineering Research Center for Oceanic Fisheries; Shanghai Ocean University</t>
  </si>
  <si>
    <t>Huang, LY (corresponding author), Ocean Univ China, Coll Fisheries, Lab Fisheries Engn, Qingdao 266100, Peoples R China.</t>
  </si>
  <si>
    <t>huangliuyi@ouc.edu.cn</t>
  </si>
  <si>
    <t>Wang, Xin/GYU-1129-2022; Wang, Xin/JCE-2009-2023; Wang, Xin/HZL-4695-2023; Wang, Xin/AAN-8435-2021; Huang, Liuyi/GXG-9845-2022; Wang, Xiaoqiang/IQS-3727-2023; Wang, Xinhua/ISR-8520-2023</t>
  </si>
  <si>
    <t>Wang, Xin/0000-0002-4457-7376; Wang, Xin/0000-0002-4457-7376;</t>
  </si>
  <si>
    <t>National Natural Science Foundation of China [31072246, 30972256]; Special Fund for Research on high efficient techniques for Antarctic Krill [20150256]; Agro-Scientific Research in the Public Interest [201203018, 201303050-02]; Fundamental Research Funds for Chinese Academy of Fishery Sciences (CAFS) [2012A1301]</t>
  </si>
  <si>
    <t>National Natural Science Foundation of China(National Natural Science Foundation of China (NSFC)); Special Fund for Research on high efficient techniques for Antarctic Krill; Agro-Scientific Research in the Public Interest; Fundamental Research Funds for Chinese Academy of Fishery Sciences (CAFS)</t>
  </si>
  <si>
    <t>This work was supported by the National Natural Science Foundation of China (31072246, 30972256), Special Fund for Research on high efficient techniques for Antarctic Krill (20150256), Agro-Scientific Research in the Public Interest (201203018, 201303050-02) and the Fundamental Research Funds for Chinese Academy of Fishery Sciences (CAFS) (2012A1301).</t>
  </si>
  <si>
    <t>OCEAN UNIV CHINA</t>
  </si>
  <si>
    <t>QINGDAO</t>
  </si>
  <si>
    <t>5 YUSHAN RD, QINGDAO, 266003, PEOPLES R CHINA</t>
  </si>
  <si>
    <t>1672-5182</t>
  </si>
  <si>
    <t>1993-5021</t>
  </si>
  <si>
    <t>J OCEAN U CHINA</t>
  </si>
  <si>
    <t>J. OCEAN UNIV.</t>
  </si>
  <si>
    <t>10.1007/s11802-016-2888-x</t>
  </si>
  <si>
    <t>DQ9NJ</t>
  </si>
  <si>
    <t>WOS:000379536300008</t>
  </si>
  <si>
    <t>Vidal, CP; Guido, DM; Jovic, SM; Bodnar, RJ; Moncada, D; Melgarejo, JC; Hames, W</t>
  </si>
  <si>
    <t>Permuy Vidal, Conrado; Guido, Diego M.; Jovic, Sebastian M.; Bodnar, Robert J.; Moncada, Daniel; Carles Melgarejo, Joan; Hames, Willis</t>
  </si>
  <si>
    <t>The Marianas-San Marcos vein system: characteristics of a shallow low sulfidation epithermal Au-Ag deposit in the Cerro Negro district, Deseado Massif, Patagonia, Argentina</t>
  </si>
  <si>
    <t>MINERALIUM DEPOSITA</t>
  </si>
  <si>
    <t>Epithermal; Quartz vein; Jurassic; Patagonia; Argentina</t>
  </si>
  <si>
    <t>OXYGEN-ISOTOPE FRACTIONATION; FLUID INCLUSION; NEW-ZEALAND; HYDROTHERMAL ERUPTIONS; ANTARCTIC PENINSULA; GEOTHERMAL SYSTEM; HAURAKI GOLDFIELD; MINERAL TEXTURES; BREAK-UP; GOLD</t>
  </si>
  <si>
    <t>The Cerro Negro district, within the Argentinian Deseado Massif province, has become one of the most significant recent epithermal discoveries, with estimated reserves plus resources of similar to 6.7 Moz Au equivalent. The Marianas-San Marcos vein system contains about 70 % of the Au-Ag resources in the district. Mineralization consists of Upper Jurassic (155 Ma) epithermal Au- and Ag-rich veins of low to intermediate sulfidation style, hosted in and genetically related to Jurassic intermediate composition volcanic rocks (159-156 Ma). Veins have a complex infill history, represented by ten stages with clear crosscutting relationships that can be summarized in four main episodes: a low volume, metal-rich initial episode (E1), an extended banded quartz episode with minor mineralization (E2), a barren waning stage episode (E3), and a silver-rich late tectonic-hydrothermal episode (E4). The first three episodes are interpreted to have formed at the same time and probably from fluids of similar composition: a 290-230 A degrees C fluid dominated by meteoric and volcanic waters (-3aEuro degrees to -0aEuro degrees delta O-18(water)), with &lt; 3 % NaCl equivalent salinity and with a magmatic source of sulfur (-1 to -2 aEuro degrees delta S-34(water)). Metal was mainly precipitated at the beginning of vein formation (episode 1) due to a combination of boiling at similar to 600 to 800 m below the paleowater table, and associated mixing/cooling processes, as evidenced by sulfide-rich bands showing crustiform-colloform quartz, adularia, and chlorite-smectite banding. During episodes 2 and 3, metal contents progressively decrease during continuing boiling conditions, and veins were filled by quartz and calcite during waning stages of the hydrothermal system, and the influx of bicarbonate waters (-6 to -8.5 aEuro degrees delta O-18(water)). Hydrothermal alteration is characterized by proximal illite, adularia, and silica zone with chlorite and minor epidote, intermediate interlayered illite-smectite and a distal chlorite halo. This assemblage is in agreement with measured fluid inclusion temperatures. A striking aspect of the Marianas-San Marcos vein system is that the high-grade/high-temperature veins are partially covered by breccia and volcaniclastic deposits of acidic composition, and are spatially associated with hot spring-related deposits and an advanced argillic alteration blanket. A telescoped model is therefore proposed for the Marianas-San Marcos area, where deeper veins were uplifted and eroded, and then partially covered by non-explosive, post-mineral rhyolitic domes and reworked volcaniclastic deposits, together with shallow geothermal features. The last tectonic-hydrothermal mineralization episode (E4), interpreted to have formed at lower temperatures, could be related to this late tectonic and hydrothermal activity.</t>
  </si>
  <si>
    <t>[Permuy Vidal, Conrado; Guido, Diego M.; Jovic, Sebastian M.] Univ Nacl La Plata, Inst Recursos Minerales INREMI, CONICET, Calle 64 &amp; 120,B1900FWA, La Plata, Buenos Aires, Argentina; [Permuy Vidal, Conrado; Guido, Diego M.; Jovic, Sebastian M.] Univ Nacl La Plata, Inst Recursos Minerales INREMI, Fac Ciencias Nat &amp; Museo, Calle 64 &amp; 120,B1900FWA, La Plata, Buenos Aires, Argentina; [Bodnar, Robert J.] Virginia Tech, Dept Geosci, Blacksburg, VA 24061 USA; [Moncada, Daniel] Univ Chile, Dept Geol, Plaza Ercilla 803, Santiago, Chile; [Moncada, Daniel] Univ Chile, CEGA, Plaza Ercilla 803, Santiago, Chile; [Carles Melgarejo, Joan] Univ Barcelona, Fac Geol, Dept Cristalog Mineral &amp; Diposits Minerals, Marti i Franques S-N, E-08028 Barcelona, Spain; [Hames, Willis] Auburn Univ, Dept Geosci, Auburn, AL 36849 USA</t>
  </si>
  <si>
    <t>Consejo Nacional de Investigaciones Cientificas y Tecnicas (CONICET); National University of La Plata; National University of La Plata; Museo La Plata; Virginia Polytechnic Institute &amp; State University; Universidad de Chile; Universidad de Chile; University of Barcelona; Auburn University System; Auburn University</t>
  </si>
  <si>
    <t>Vidal, CP (corresponding author), Univ Nacl La Plata, Inst Recursos Minerales INREMI, CONICET, Calle 64 &amp; 120,B1900FWA, La Plata, Buenos Aires, Argentina.;Vidal, CP (corresponding author), Univ Nacl La Plata, Inst Recursos Minerales INREMI, Fac Ciencias Nat &amp; Museo, Calle 64 &amp; 120,B1900FWA, La Plata, Buenos Aires, Argentina.</t>
  </si>
  <si>
    <t>conradopermuyvidal@gmail.com</t>
  </si>
  <si>
    <t>Moncada, Daniel/H-7074-2014; Bodnar, Robert J/A-1916-2009; Draper, Joan Carles Melgarejo/I-3875-2015</t>
  </si>
  <si>
    <t>Moncada, Daniel/0000-0003-0817-2248; Draper, Joan Carles Melgarejo/0000-0001-7544-1191; Guido, Diego/0000-0003-4696-5644</t>
  </si>
  <si>
    <t>CONICET; UNLP; Goldcorp Inc. mining company</t>
  </si>
  <si>
    <t>CONICET(Consejo Nacional de Investigaciones Cientificas y Tecnicas (CONICET)); UNLP(National University of La Plata); Goldcorp Inc. mining company</t>
  </si>
  <si>
    <t>This research was part of a PhD thesis carried out at the Universidad National de La Plata (UNLP) with the support of CONICET, UNLP, and Goldcorp Inc. mining company. We thank Gassaway Brown, Damian Echavarria, and the rest of the Cerro Negro staff for their assistance and access to data. We also want to thank Ramiro Lopez for permission to publish the U-Pb geochronology data from his unpublished PhD thesis. Finally, we appreciate the support given by Gerardo Paez, Kathy Campbell, Stuart Simmons, and Andreas Dietrich for very helpful comments and reviews.</t>
  </si>
  <si>
    <t>0026-4598</t>
  </si>
  <si>
    <t>1432-1866</t>
  </si>
  <si>
    <t>MINER DEPOSITA</t>
  </si>
  <si>
    <t>Miner. Depos.</t>
  </si>
  <si>
    <t>10.1007/s00126-015-0633-9</t>
  </si>
  <si>
    <t>DR2AY</t>
  </si>
  <si>
    <t>WOS:000379708600003</t>
  </si>
  <si>
    <t>Gillet, P</t>
  </si>
  <si>
    <t>Gillet, Philippe</t>
  </si>
  <si>
    <t>The Swiss Polar Institute</t>
  </si>
  <si>
    <t>10.1017/S0954102016000298</t>
  </si>
  <si>
    <t>WOS:000379417400001</t>
  </si>
  <si>
    <t>Vickers, CJ; Herbold, CW; Cary, SC; Mcdonald, IR</t>
  </si>
  <si>
    <t>Vickers, Chelsea J.; Herbold, Craig W.; Cary, S. Craig; Mcdonald, Ian R.</t>
  </si>
  <si>
    <t>Insights into the metabolism of the high temperature microbial community of Tramway Ridge, Mount Erebus, Antarctica</t>
  </si>
  <si>
    <t>autotrophic; bacteria; enrichment; physiology</t>
  </si>
  <si>
    <t>VICTORIA LAND; HOT-SPRINGS; ROSS-ISLAND; MT EREBUS; SOIL; DIVERSITY; BIODIVERSITY; NORTHERN</t>
  </si>
  <si>
    <t>Mount Erebus is the most active volcano on the Antarctic continent, and it has the most geographically and physically isolated geothermal soil on Earth. Preliminary genetic analysis of the microbial community present in the 65 degrees C subsurface soil of Tramway Ridge, on Mount Erebus, revealed a unique high temperature ecosystem, with the dominant members possessing little genetic similarity to known bacteria. This study investigated the metabolism and physiology of this intriguing ecosystem using physical-chemical soil surveying, community-based phenotypic arrays, nutritional enrichment experiments and pyrosequencing. Results have provided new insights into the metabolic requirements and putative roles of specific organisms, as well as the significance of specific carbon and nitrogen sources. In enrichment experiments bicarbonate slowed down an otherwise dramatic shift in community structure. This suggests that bicarbonate maintains the native community in vitro by supplying an essential inorganic compound that is utilized for slow, autotrophic growth. This approach shows potential as a model for future investigations of cultivation resistant thermophilic communities.</t>
  </si>
  <si>
    <t>[Vickers, Chelsea J.; Herbold, Craig W.; Cary, S. Craig; Mcdonald, Ian R.] Univ Waikato, Fac Sci &amp; Engn, Sch Sci, Int Ctr Terr Antarctic Res, Private Bag 3105, Hamilton, New Zealand</t>
  </si>
  <si>
    <t>University of Waikato</t>
  </si>
  <si>
    <t>Mcdonald, IR (corresponding author), Univ Waikato, Fac Sci &amp; Engn, Sch Sci, Int Ctr Terr Antarctic Res, Private Bag 3105, Hamilton, New Zealand.</t>
  </si>
  <si>
    <t>i.mcdonald@waikato.ac.nz</t>
  </si>
  <si>
    <t>Herbold, Craig William/S-4397-2018; McDonald, Ian R/A-4851-2008</t>
  </si>
  <si>
    <t>Herbold, Craig William/0000-0003-3479-0197; McDonald, Ian R/0000-0002-4847-6492; Cary, Stephen/0000-0002-2876-2387</t>
  </si>
  <si>
    <t>New Zealand Marsden Fund [UOW0802]; CRE award from the National Geographic Society</t>
  </si>
  <si>
    <t>New Zealand Marsden Fund(Royal Society of New ZealandMarsden Fund (NZ)); CRE award from the National Geographic Society</t>
  </si>
  <si>
    <t>Financial support was provided by grant UOW0802 from the New Zealand Marsden Fund to SCC and IRM, and a CRE award from the National Geographic Society to SCC. Antarctic logistic support for Event K-023 was provided by Antarctica New Zealand. The authors would also like to thank the reviewers in helping to improve the manuscript.</t>
  </si>
  <si>
    <t>10.1017/S095410201500067X</t>
  </si>
  <si>
    <t>WOS:000379417400002</t>
  </si>
  <si>
    <t>Leat, PT; Fretwell, PT; Tate, AJ; Larter, RD; Martin, TJ; Smellie, JL; Jokat, W; Bohrmann, G</t>
  </si>
  <si>
    <t>Leat, Philip T.; Fretwell, Peter T.; Tate, Alex J.; Larter, Robert D.; Martin, Tara J.; Smellie, John L.; Jokat, Wilfried; Bohrmann, Gerhard</t>
  </si>
  <si>
    <t>Bathymetry and geological setting of the South Sandwich Islands volcanic arc</t>
  </si>
  <si>
    <t>data compilation; East Scotia Ridge; subduction; submarine volcanism; topographical mapping</t>
  </si>
  <si>
    <t>SUBDUCTION; ATLANTIC; ANTARCTICA; INSIGHTS; CALDERA; REGION; FLOW</t>
  </si>
  <si>
    <t>The South Sandwich Islands and associated seamounts constitute the volcanic arc of an active subduction system situated in the South Atlantic. We introduce a map of the bathymetry and geological setting of the South Sandwich Islands and the associated East Scotia Ridge back-arc spreading centre that consists of two sides: side 1, a regional overview of the volcanic arc, trench and back-arc, and side 2, detailed maps of the individual islands. Side 1 displays the bathymetry at scale 1:750 000 of the intra-oceanic, largely submarine South Sandwich arc, the back-arc system and other tectonic boundaries of the subduction system. Satellite images of the islands on side 2 are at scales of 1:50 000 and 1:25 000 with contours and main volcanological features indicated. These maps are the first detailed topological and bathymetric maps of the area. The islands are entirely volcanic in origin, and most have been volcanically or fumarolically active in historic times. Many of the islands are ice-covered, and the map forms a baseline for future glaciological changes caused by volcanic activities and climate change. The back-arc spreading centre consists of nine segments, most of which have rift-like morphologies.</t>
  </si>
  <si>
    <t>[Leat, Philip T.; Fretwell, Peter T.; Tate, Alex J.; Larter, Robert D.; Martin, Tara J.] British Antarctic Survey, NERC, Madingley Rd, Cambridge CB3 0ET, England; [Leat, Philip T.; Smellie, John L.] Univ Leicester, Dept Geol, Univ Rd, Leicester LE1 7RH, Leics, England; [Martin, Tara J.] CSIRO, GPO Box 1538, Hobart, Tas 7001, Australia; [Jokat, Wilfried] Helmholtz Ctr Polar &amp; Marine Res, Alfred Wegener Inst, Columbusstr, D-27568 Bremerhaven, Germany; [Jokat, Wilfried] Univ Bremen, D-28359 Bremen, Germany; [Bohrmann, Gerhard] Univ Bremen, MARUM Ctr Marine Environm Sci, Leobener Str, D-28359 Bremen, Germany</t>
  </si>
  <si>
    <t>UK Research &amp; Innovation (UKRI); Natural Environment Research Council (NERC); NERC British Antarctic Survey; University of Leicester; Commonwealth Scientific &amp; Industrial Research Organisation (CSIRO); Helmholtz Association; Alfred Wegener Institute, Helmholtz Centre for Polar &amp; Marine Research; University of Bremen; University of Bremen</t>
  </si>
  <si>
    <t>Leat, PT (corresponding author), British Antarctic Survey, NERC, Madingley Rd, Cambridge CB3 0ET, England.;Leat, PT (corresponding author), Univ Leicester, Dept Geol, Univ Rd, Leicester LE1 7RH, Leics, England.</t>
  </si>
  <si>
    <t>ptle@bas.ac.uk</t>
  </si>
  <si>
    <t>Martin, Tara J/F-2570-2017; Bohrmann, Gerhard/D-4474-2017</t>
  </si>
  <si>
    <t>Bohrmann, Gerhard/0000-0001-9976-4948; Jokat, Wilfried/0000-0002-7793-5854</t>
  </si>
  <si>
    <t>Natural Environment Research Council; NERC [bas010011, bas0100030] Funding Source: UKRI; Natural Environment Research Council [bas0100030, bas010011] Funding Source: researchfish</t>
  </si>
  <si>
    <t>This study is part of the British Antarctic Survey Polar Science for Planet Earth Programme funded by the Natural Environment Research Council. We are grateful to Graham Eagles, an anonymous reviewer and David Walton for comments that helped to improve the paper.</t>
  </si>
  <si>
    <t>10.1017/S0954102016000043</t>
  </si>
  <si>
    <t>WOS:000379417400007</t>
  </si>
  <si>
    <t>Lewis, A; King, CK; Hill, NA; Cooper, A; Townsend, AT; Mondon, JA</t>
  </si>
  <si>
    <t>Lewis, Alexander; King, Catherine K.; Hill, Nicole A.; Cooper, Ashley; Townsend, Ashley T.; Mondon, Julie A.</t>
  </si>
  <si>
    <t>Seawater temperature effect on metal accumulation and toxicity in the subantarctic Macquarie Island isopod, Exosphaeroma gigas</t>
  </si>
  <si>
    <t>AQUATIC TOXICOLOGY</t>
  </si>
  <si>
    <t>Exosphaeroma gigas; Copper; Zinc; Toxicity; Subantarctic; Temperature; Bioaccumulation; Biodynamic modelling</t>
  </si>
  <si>
    <t>WATER BIVALVE CORBICULA; AQUATIC INVERTEBRATES; DAPHNIA-MAGNA; COPPER ACCUMULATION; ARENICOLA-MARINA; MYTILUS-EDULIS; CLIMATE-CHANGE; BIOACCUMULATION; ZINC; METABOLISM</t>
  </si>
  <si>
    <t>Very little is currently known of subantarctic nearshore invertebrates' sensitivity to environmental metals and the role of temperature in this relationship. This study investigated Cu and Zn toxicity in the common subantarctic intertidal isopod, Exosphaeroma gigas, and the influence of temperature on Cu toxicity and bioaccumulation kinetics. Adult E. gigas are insensitive to Cu and Zn at concentrations of 3200 and 7400 mu g/L respectively in non-renewal tests at 5.5 degrees C (ambient subtidal temperature) over 14 days. Under renewed exposures over the same temperature and time period the LC50 for copper was 2204 mu g/L. A 10-fold increase in Cu body burden occurred relative to zinc, indicating E. gigas has different strategies for regulating the two metals. Copper toxicity and time to mortality both increased with elevated temperature. However, temperature did not significantly affect Cu uptake rate and efflux rate constants derived from biodynamic modelling at lower Cu concentrations. These results may be attributable to E. gigas being an intertidal species with physiological mechanisms adapted to fluctuating environmental conditions. Cu concentrations required to elicit a toxicity response indicates that E. gigas would not be directly threatened by current levels of Cu or Zn present in Macquarie Island intertidal habitats, with the associated elevated temperature fluctuations. This study provides evidence that the sensitivity of this subantarctic intertidal species to metal contaminants is not as high as expected, and which has significance for the derivation of relevant guidelines specific to this distinct subpolar region of the world. (C) 2016 Elsevier B.V. All rights reserved.</t>
  </si>
  <si>
    <t>[Lewis, Alexander; Mondon, Julie A.] Deakin Univ, POB 432, Warrnambool, Vic 3280, Australia; [King, Catherine K.; Cooper, Ashley] Antarctic Conservat &amp; Management, Australian Antarctic Div, 203 Channel Highway, Kingston, Tas 7050, Australia; [Hill, Nicole A.] Univ Tasmania, Inst Marine &amp; Antarctic Studies, 20 Castray Esplanade, Battery Point, Tas 7004, Australia; [Townsend, Ashley T.] Univ Tasmania, Cent Sci Lab, Private Bag 74, Hobart, Tas 7001, Australia</t>
  </si>
  <si>
    <t>Deakin University; Australian Antarctic Division; University of Tasmania; University of Tasmania</t>
  </si>
  <si>
    <t>Mondon, JA (corresponding author), Deakin Univ, Geelong, Vic 3217, Australia.</t>
  </si>
  <si>
    <t>jmondon@deakin.edu.au</t>
  </si>
  <si>
    <t>Hill, Nicole/AAI-7323-2021; Townsend, Ashley/J-7445-2014; King, Catherine K/G-7059-2017</t>
  </si>
  <si>
    <t>Hill, Nicole/0000-0001-9329-6717; Townsend, Ashley/0000-0002-2972-2678; King, Catherine K/0000-0003-3356-0381</t>
  </si>
  <si>
    <t>Australian Government through Australian Antarctic Science (AAS) Grant [AAS4100]; Deakin University School of Life and Environmental Sciences HDR Student Support; ARC LIEF funds [LE0989539]</t>
  </si>
  <si>
    <t>Australian Government through Australian Antarctic Science (AAS) Grant(Australian Government); Deakin University School of Life and Environmental Sciences HDR Student Support; ARC LIEF funds(Australian Research Council)</t>
  </si>
  <si>
    <t>This work was funded primarily by the Australian Government through Australian Antarctic Science (AAS) Grant #AAS4100 to C. King, and Deakin University School of Life and Environmental Sciences HDR Student Support. Access to ICP-MS instrumentation was supported through ARC LIEF funds (LE0989539).</t>
  </si>
  <si>
    <t>0166-445X</t>
  </si>
  <si>
    <t>1879-1514</t>
  </si>
  <si>
    <t>AQUAT TOXICOL</t>
  </si>
  <si>
    <t>Aquat. Toxicol.</t>
  </si>
  <si>
    <t>10.1016/j.aquatox.2016.06.002</t>
  </si>
  <si>
    <t>Marine &amp; Freshwater Biology; Toxicology</t>
  </si>
  <si>
    <t>DT5NK</t>
  </si>
  <si>
    <t>WOS:000381529700033</t>
  </si>
  <si>
    <t>Lu, XM; Huang, R; Wang, YF; Sigdel, SR; Dawadi, B; Liang, EY; Camarero, JJ</t>
  </si>
  <si>
    <t>Lu, Xiaoming; Huang, Ru; Wang, Yafeng; Sigdel, Shalik Ram; Dawadi, Binod; Liang, Eryuan; Julio Camarero, J.</t>
  </si>
  <si>
    <t>Summer temperature drives radial growth of alpine shrub willows on the northeastern Tibetan Plateau</t>
  </si>
  <si>
    <t>DWARF SHRUBS; TREE-RINGS; CLIMATE; RECONSTRUCTION; PRECIPITATION; CHINA; AREA; XYLOGENESIS; MOUNTAINS; RESPONSES</t>
  </si>
  <si>
    <t>Shrub willows (Salix species) are widespread beyond the latitudinal and altitudinal tree lines. Their ring width has been shown to be a reliable ecological indicator for changes in the harsh cold conditions in the Arctic, but little is known on their growth in alpine conditions. The shrubby Salix oritrepha grows above the treeline on the northeastern Tibetan Plateau (TP), making it an interesting woody species to explore responses of alpine communities to ongoing climate warming in this area. Since precipitation increases with increasing elevation (until 4670 m) in the study area, we hypothesize that the growth of S. oritrepha is mainly constrained by cold summer temperature. We sampled 35 S. oritrepha individuals above the juniper treeline (4200 m), and took basal wood cross sections for dendrochronological analyses. Few missing rings were detected at the shoot base when serial sectioning was applied. Ring width (RW) and basal area increment (BAI) standard chronologies were established. We found that BAI reflected a stronger climatic signal than RW. The radial growth was constrained by low July to August temperatures. We expect that climate warming would enhance the growth of alpine willows, which could alter the services provided by these high-elevation ecosystems.</t>
  </si>
  <si>
    <t>[Lu, Xiaoming; Huang, Ru; Wang, Yafeng; Sigdel, Shalik Ram; Dawadi, Binod; Liang, Eryuan] Chinese Acad Sci, Inst Tibetan Plateau Res, Key Lab Alpine Ecol &amp; Biodivers, Bldg 3,Courtyard 16,Lin Cui Rd, Beijing 100101, Peoples R China; [Lu, Xiaoming; Huang, Ru; Sigdel, Shalik Ram] Univ Chinese Acad Sci, Beijing 100049, Peoples R China; [Dawadi, Binod] Tribhuvan Univ, Cent Dept Hydrol &amp; Meteorol, Kathmandu, Nepal; [Liang, Eryuan] CAS Ctr Excellence Tibetan Plateau Earth Sci, Beijing 100101, Peoples R China; [Julio Camarero, J.] Inst Pirenaico Ecol IPE CSIC, Avda Montanana 1005, Zaragoza 50059, Spain</t>
  </si>
  <si>
    <t>Chinese Academy of Sciences; Institute of Tibetan Plateau Research, CAS; Chinese Academy of Sciences; University of Chinese Academy of Sciences, CAS; Tribhuvan University; Consejo Superior de Investigaciones Cientificas (CSIC); CSIC - Instituto Pirenaico de Ecologia (IPE)</t>
  </si>
  <si>
    <t>Liang, EY (corresponding author), Chinese Acad Sci, Inst Tibetan Plateau Res, Key Lab Alpine Ecol &amp; Biodivers, Bldg 3,Courtyard 16,Lin Cui Rd, Beijing 100101, Peoples R China.;Liang, EY (corresponding author), CAS Ctr Excellence Tibetan Plateau Earth Sci, Beijing 100101, Peoples R China.</t>
  </si>
  <si>
    <t>liangey@itpcas.ac.cn</t>
  </si>
  <si>
    <t>Camarero, J. Julio/A-8602-2013; Sigdel, Shalik Ram/AAI-1942-2021; Liang, Eryuan/A-1435-2010; Huang, Ru/AAD-5744-2022</t>
  </si>
  <si>
    <t>Camarero, J. Julio/0000-0003-2436-2922; Sigdel, Shalik Ram/0000-0003-0176-5382; Liang, Eryuan/0000-0002-8003-4264;</t>
  </si>
  <si>
    <t>National Natural Science Foundation of China [41525001, 41471158]; National Basic Research Program of China [2012FY111400]</t>
  </si>
  <si>
    <t>National Natural Science Foundation of China(National Natural Science Foundation of China (NSFC)); National Basic Research Program of China(National Basic Research Program of China)</t>
  </si>
  <si>
    <t>This work was supported by the National Natural Science Foundation of China (41525001, 41471158) and the National Basic Research Program of China (2012FY111400).</t>
  </si>
  <si>
    <t>10.1657/AAAR0015-069</t>
  </si>
  <si>
    <t>WOS:000382800700002</t>
  </si>
  <si>
    <t>Müller, M; Schwab, N; Schickhoff, U; Böhner, J; Scholten, T</t>
  </si>
  <si>
    <t>Mueller, Michael; Schwab, Niels; Schickhoff, Udo; Boehner, Juergen; Scholten, Thomas</t>
  </si>
  <si>
    <t>Soil temperature and soil moisture patterns in a Himalayan alpine treeline ecotone</t>
  </si>
  <si>
    <t>MOUNTAIN NATIONAL-PARK; FOREST-TUNDRA ECOTONE; ALTITUDINAL CHANGE; CARBON RELATIONS; WHITE SPRUCE; TIMBERLINE; CLIMATE; GROWTH; LINE; REGENERATION</t>
  </si>
  <si>
    <t>Soil properties in alpine treeline ecotones are insufficiently explored. In particular, an extensive monitoring of soil moisture conditions over a longer period of time is rare, and the effects of soil moisture variability on alpine treelines have not received adequate attention yet. Soil temperature patterns are generally well documented, and soil temperature is considered a key factor in limiting tree growth at both global and local scales. We performed a 21/2-year monitoring in a near-natural treeline ecotone in Rolwaling Himal, Nepal. In this paper, we present new findings on spatiotemporal soil temperature and moisture variability in relation to topographical features and vegetation patterns (variations in stand structures and tree physiognomy). Our results show a growing season mean soil temperature of 7.5 +/- 0.6 degrees C at 10 cm depth at the Rolwaling treeline. Multivariate statistical analyses yield a significant relation between soil temperatures and the variability in tree height, crown length, crown width, and leaf area index (LAI). In turn, soil temperature variability is controlled by the tree physiognomy itself Soil moisture conditions (available water capacity, 0-10 cm) appear to be less substantial for current stand structures and tree physiognomy. In turn, tree physiognomy patterns control soil moisture, which additionally is affected by snow cover. In Rolwaling, shallow and coarse-grained soils cause low water-holding capacities, and thus a remarkable amount of water percolates from topsoils to subsoils. In the alpine tundra with missing forest canopy, year-round lowest available water capacities are additionally caused by high solar radiation, wind, and thus high evaporation. We assume low soil moisture availability causing largely prevented tree regeneration especially in the alpine tundra. We conclude that soil temperature and moisture patterns reflect tree physiognomy patterns. The latter cause disparities in soil temperature and moisture conditions inside and outside of the closed forest by shading effects and differences in leaf fall.</t>
  </si>
  <si>
    <t>[Mueller, Michael; Scholten, Thomas] Univ Tubingen, Dept Geosci, Chair Soil Sci &amp; Geomorphol, Rumelinstr 19-23, D-72070 Tubingen, Germany; [Schwab, Niels; Schickhoff, Udo; Boehner, Juergen] Univ Hamburg, Inst Geog, CEN Ctr Earth Syst Res &amp; Sustainabil, Bundesstr 55, D-20146 Hamburg, Germany</t>
  </si>
  <si>
    <t>Eberhard Karls University of Tubingen; University of Hamburg</t>
  </si>
  <si>
    <t>Müller, M (corresponding author), Univ Tubingen, Dept Geosci, Chair Soil Sci &amp; Geomorphol, Rumelinstr 19-23, D-72070 Tubingen, Germany.</t>
  </si>
  <si>
    <t>michael.mueller@uni-tuebingen.de</t>
  </si>
  <si>
    <t>Scholten, Thomas/E-4024-2012; Boehner, Juergen/I-9844-2014; Schwab, Niels/O-2477-2016</t>
  </si>
  <si>
    <t>Boehner, Juergen/0000-0002-0842-0152; Scholten, Thomas/0000-0002-4875-2602; Schwab, Niels/0000-0003-3036-5572</t>
  </si>
  <si>
    <t>German Research Foundation [DFG SCHO 739/14-1, SCHI 436/14-1, BO 1333/4-1]</t>
  </si>
  <si>
    <t>German Research Foundation(German Research Foundation (DFG))</t>
  </si>
  <si>
    <t>This study was carried out in the framework of the TREELINE project and funded by the German Research Foundation (DFG SCHO 739/14-1, SCHI 436/14-1, BO 1333/4-1). We would like to thank Ram Bahadur, Bjorn Bonnet, Lena Geiger, Helge Heyken, Agnes Krettek, and Ronja Wedegartner for their support. We also express our gratitude to Nepalese authorities for research permits, and to several local people in Beding who provided lodging and support in field data collection.</t>
  </si>
  <si>
    <t>10.1657/AAAR0016-004</t>
  </si>
  <si>
    <t>WOS:000382800700005</t>
  </si>
  <si>
    <t>Damgaard, C; Raundrup, K; Aastrup, P; Langen, PL; Feilberg, J; Nabe-Nielsen, J</t>
  </si>
  <si>
    <t>Damgaard, Christian; Raundrup, Katrine; Aastrup, Peter; Langen, Peter L.; Feilberg, Jon; Nabe-Nielsen, Jacob</t>
  </si>
  <si>
    <t>Arctic resilience: no evidence of vegetation change in response to grazing and climate changes in South Greenland</t>
  </si>
  <si>
    <t>PLANT COMMUNITY RESPONSES; SHRUB EXPANSION; TUNDRA; COVER; PRODUCTIVITY; CARIBOU; GROWTH; ECOSYSTEMS; REINDEER</t>
  </si>
  <si>
    <t>Recent studies suggest that climate changes may have a strong impact on the vegetation composition in Arctic ecosystems, causing increasing dominance of woody species. Evidence from short-term studies on the effects of herbivory indicates that this effect may be counteracted by grazing, but it has not yet been studied whether the effect is persistent and general. Here, we present the results from a large-scale, long-term study of the effects of sheep grazing and climate on the relative dominance of woody plants, graminoids, and forbs. The study is based on exdosures established from 1984 onward across a climatic gradient in South Greenland. The relative cover of the three plant functional types was modeled in a state-space model. There was no significant overall change in the relative cover of the three groups, although such changes occurred intermittently on some sites. This suggests that the relative dominance of the plant functional types is resilient to the impacts of grazing and climate changes in the tundra of South Greenland in line with other studies from sites where summer temperatures have not increased.</t>
  </si>
  <si>
    <t>[Damgaard, Christian] Aarhus Univ, Dept Biosci, Vejlsovej 25, DK-8600 Silkeborg, Denmark; [Raundrup, Katrine] Greenland Inst Nat Resources, POB 570, Nuuk 3900, Greenland; [Raundrup, Katrine; Aastrup, Peter; Nabe-Nielsen, Jacob] Aarhus Univ, Dept Biosci, Frederiksborgvej 399, DK-4000 Roskilde, Denmark; [Aastrup, Peter; Nabe-Nielsen, Jacob] Aarhus Univ, Arctic Res Ctr, CF Mollers Alle 8, DK-8000 Aarhus C, Denmark; [Langen, Peter L.] Danish Meteorol Inst, Climate &amp; Arctic Res, Lyngbyvej 100, DK-2100 Copenhagen O, Denmark; [Feilberg, Jon] Kastrupvej 8, DK-4100 Ringsted, Denmark</t>
  </si>
  <si>
    <t>Aarhus University; Greenland Institute of Natural Resources; Aarhus University; Aarhus University; Danish Meteorological Institute DMI</t>
  </si>
  <si>
    <t>Damgaard, C (corresponding author), Aarhus Univ, Dept Biosci, Vejlsovej 25, DK-8600 Silkeborg, Denmark.</t>
  </si>
  <si>
    <t>cfd@bios.au.dk</t>
  </si>
  <si>
    <t>Damgaard, Christian/G-2441-2010; Nabe-Nielsen, Jacob/A-5891-2010; Langen, Peter L/AAR-1120-2021</t>
  </si>
  <si>
    <t>Damgaard, Christian/0000-0003-3932-4312; Nabe-Nielsen, Jacob/0000-0002-0716-9525; Langen, Peter L/0000-0003-2185-012X; Aastrup, Peter/0000-0003-4258-3358</t>
  </si>
  <si>
    <t>Danish Cooperation for Environment in the Arctic (DANCEA) [112-00059, 112-00136]</t>
  </si>
  <si>
    <t>Danish Cooperation for Environment in the Arctic (DANCEA)</t>
  </si>
  <si>
    <t>We thank Fredrik Boberg and Ruth Mottram for performing the climate model run. The study was supported by Danish Cooperation for Environment in the Arctic (DANCEA, project number 112-00059 and 112-00136).</t>
  </si>
  <si>
    <t>10.1657/AAAR0016-005</t>
  </si>
  <si>
    <t>WOS:000382800700007</t>
  </si>
  <si>
    <t>Moffat, ND; Lantz, TC; Fraser, RH; Olthof, I</t>
  </si>
  <si>
    <t>Moffat, Nina D.; Lantz, Trevor C.; Fraser, Robert H.; Olthof, Ian</t>
  </si>
  <si>
    <t>Recent vegetation change (1980-2013) in the tundra ecosystems of the Tuktoyaktuk Coastlands, NWT, Canada</t>
  </si>
  <si>
    <t>SHRUB EXPANSION; ARCTIC TUNDRA; BETULA-NANA; NORTHWEST-TERRITORIES; SOUTHEAST GREENLAND; NORTHERN CANADA; MACKENZIE DELTA; LICHEN DECLINE; CLIMATE-CHANGE; ICE WEDGES</t>
  </si>
  <si>
    <t>Change detection studies using remote sensing and plot-based sampling show that Arctic vegetation is changing. Most studies have focused on the proliferation of tall shrubs, but increased productivity in areas where shrub cover is low suggests that other functional groups may also be changing. To investigate vegetation change across the Tuktoyaktuk Coastlands we analyzed high-resolution repeat air photos from 1980 and 2013. Thirty-eight image pairs were used to estimate changes in the cover of six functional groups (tall shrub, dwarf shrub, non-tussock-forming sedge, tussock-forming sedge, moss, and lichen). The spatial extent of our airphotos allowed us to investigate changes across four terrain types (high-center polygonal terrain, low-center polygonal terrain, shrub tundra, and tussock tundra). Our analysis shows that all four terrain types experienced absolute increases in shrub cover (+7.71% to 11.98%), with the expansion of dwarf shrubs playing an especially important role in regional change. Significant declines in lichen cover were also observed. While the consistency of shrub encroachment across terrain types suggests that changes were facilitated by shifts in broad-scale processes like temperature or precipitation, our data also indicate that differences in the magnitude of change were mediated by community structure and the availability of suitable microsites.</t>
  </si>
  <si>
    <t>[Moffat, Nina D.; Lantz, Trevor C.] Univ Victoria, Sch Environm Studies, POB 1700 STN CSC, Victoria, BC V8W 2Y2, Canada; [Fraser, Robert H.; Olthof, Ian] Nat Resources Canada, Canada Ctr Mapping &amp; Earth Observat, 560 Rochester St, Ottawa, ON K1A 0Y7, Canada</t>
  </si>
  <si>
    <t>University of Victoria; Natural Resources Canada; Strategic Policy &amp; Results Sector - Natural Resources Canada; Canada Centre for Mapping &amp; Earth Observation (CCMEO)</t>
  </si>
  <si>
    <t>Lantz, TC (corresponding author), Univ Victoria, Sch Environm Studies, POB 1700 STN CSC, Victoria, BC V8W 2Y2, Canada.</t>
  </si>
  <si>
    <t>tlantz@uvic.ca</t>
  </si>
  <si>
    <t>Fraser, Robert H/0000-0002-8055-4403</t>
  </si>
  <si>
    <t>Natural Sciences and Engineering Research Council of Canada; Polar Knowledge Canada (POLAR) [1516-121]; Polar Continental Shelf Program; Canada Foundation for Innovation; NWT Cumulative Impact Monitoring Program</t>
  </si>
  <si>
    <t>Natural Sciences and Engineering Research Council of Canada(Natural Sciences and Engineering Research Council of Canada (NSERC)CGIAR); Polar Knowledge Canada (POLAR); Polar Continental Shelf Program; Canada Foundation for Innovation(Canada Foundation for InnovationCGIARSpanish Government); NWT Cumulative Impact Monitoring Program</t>
  </si>
  <si>
    <t>This work was supported by the Natural Sciences and Engineering Research Council of Canada; Polar Knowledge Canada (POLAR): Project 1516-121; the Polar Continental Shelf Program; the Canada Foundation for Innovation; and the NWT Cumulative Impact Monitoring Program. We would also like to thank Chanda Brietzke for assistance with georeferencing; Rebecca Segal for help with the figures; Pierre Berube, Robin Felix, Steve Kokelj, Abra Martin, Doug Panaktalok and Ciara Sharpe for assistance in the field; and two anonymous referees who provided helpful comments on the manuscript.</t>
  </si>
  <si>
    <t>10.1657/AAAR0015-063</t>
  </si>
  <si>
    <t>WOS:000382800700010</t>
  </si>
  <si>
    <t>Hughes, KA; Pertierra, LR</t>
  </si>
  <si>
    <t>Hughes, Kevin A.; Pertierra, Luis R.</t>
  </si>
  <si>
    <t>Evaluation of non-native species policy development and implementation within the Antarctic Treaty area</t>
  </si>
  <si>
    <t>Eradication; Invasive; Alien; Monitoring; Response; Biosecurity</t>
  </si>
  <si>
    <t>POA-ANNUA L.; BIOLOGICAL INVASIONS; IMPACTS; TERRESTRIAL; QUANTIFICATION; INTRODUCTIONS; ESTABLISHMENT; CONSERVATION; RECORD; PLANTS</t>
  </si>
  <si>
    <t>Antarctic non-native species legislation is contained within the Protocol on Environmental Protection to the Antarctic Treaty, with 2016 marking the 25th anniversary of its adoption. We take this opportunity to evaluate the Antarctic Treaty signatory Parties' collective development and implementation of non-native species policy. In general, scientific and policy outputs have increased in the past decade. However, data detailing Parties' current implementation of biosecurity practices are not readily available. Little widespread, internationally coordinated or systematic monitoring of non-native species establishment has occurred, but available data suggest that establishment of non-native micro-invertebrates may be greatly underestimated. Several recent small-scale plant eradications have been successful, although larger-scale eradications present a greater challenge due to seed bank formation. Invertebrate establishment within research station buildings presents an increasing problem, with mixed eradication success to date. The opportunity now exists to build on earlier successes, such as the 'CEP Non-native Species Manual', towards the development of a comprehensive response strategy based upon the principles of prevention, monitoring and response, and applicable to all Antarctic environments. To help facilitate this we identify areas requiring further research and policy development, such as to reduce anthropogenic transfer of indigenous Antarctic species between distinct biogeographic regions, avoid microbial contamination of pristine areas and limit introduction of non-native marine species. A response protocol is proposed for use following the discovery of a potential non-native species within the Antarctica Treaty area, which includes recommendations concerning Parties' initial response and any subsequent eradication or control measures. (C) 2016 The Authors. Published by Elsevier Ltd.</t>
  </si>
  <si>
    <t>[Hughes, Kevin A.] Nat Environm Res Counsil, British Antarctic Survey, High Cross,Madingley Rd, Cambridge CB3 0ET, England; [Pertierra, Luis R.] Univ Rey Juan Carlos, Area Biodiversidad &amp; Conservac, Mostoles 28933, Spain</t>
  </si>
  <si>
    <t>UK Research &amp; Innovation (UKRI); Natural Environment Research Council (NERC); NERC British Antarctic Survey; Universidad Rey Juan Carlos</t>
  </si>
  <si>
    <t>Hughes, KA (corresponding author), Nat Environm Res Counsil, British Antarctic Survey, High Cross,Madingley Rd, Cambridge CB3 0ET, England.</t>
  </si>
  <si>
    <t>kehu@bas.ac.uk</t>
  </si>
  <si>
    <t>Pertierra, Luis R./K-3727-2017; Hughes, Kevin/JVZ-0793-2024</t>
  </si>
  <si>
    <t>Pertierra, Luis R./0000-0002-2232-428X;</t>
  </si>
  <si>
    <t>NERC; I + D Excellence Project ALIENANT - Ministry of Economy and Competitiveness of Spain [CTM2013-47381P]; NERC [bas010011] Funding Source: UKRI; Natural Environment Research Council [bas010011] Funding Source: researchfish</t>
  </si>
  <si>
    <t>NERC(UK Research &amp; Innovation (UKRI)Natural Environment Research Council (NERC)); I + D Excellence Project ALIENANT - Ministry of Economy and Competitiveness of Spain; NERC(UK Research &amp; Innovation (UKRI)Natural Environment Research Council (NERC)); Natural Environment Research Council(UK Research &amp; Innovation (UKRI)Natural Environment Research Council (NERC))</t>
  </si>
  <si>
    <t>KH is supported by NERC core funding to the British Antarctic Survey's 'Environment Office Long Term Monitoring and Survey' (EO-LTMS) program. LP was supported by the I + D Excellence Project ALIENANT (Ref. CTM2013-47381P) awarded by the Ministry of Economy and Competitiveness of Spain. Oliva Martin-Sanchez is thanked for map preparation. The paper is a contribution to the SCAR AntEco (State of the Antarctic Ecosystem) research program. We thank two anonymous reviewers for their helpful and thought provoking comments.</t>
  </si>
  <si>
    <t>10.1016/j.biocon.2016.03.011</t>
  </si>
  <si>
    <t>DT2QK</t>
  </si>
  <si>
    <t>WOS:000381325300017</t>
  </si>
  <si>
    <t>Coetzee, BWT; Chown, SL</t>
  </si>
  <si>
    <t>Coetzee, Bernard W. T.; Chown, Steven L.</t>
  </si>
  <si>
    <t>A meta-analysis of human disturbance impacts on Antarctic wildlife</t>
  </si>
  <si>
    <t>BIOLOGICAL REVIEWS</t>
  </si>
  <si>
    <t>Antarctic conservation; Antarctic policy; conservation evidence; human disturbance impacts; systematic review</t>
  </si>
  <si>
    <t>PENGUINS PYGOSCELIS-PAPUA; FORAGING TRIP DURATION; TERM POPULATION TRENDS; ELEPHANT SEAL MOTHERS; NATURE-BASED TOURISM; BREEDING SUCCESS; ADELIE PENGUINS; INVESTIGATOR-DISTURBANCE; BEHAVIORAL-RESPONSES; MAGELLANIC PENGUINS</t>
  </si>
  <si>
    <t>Evidence-based assessments are increasingly recognized as the best-practice approach to determine appropriate conservation interventions, but such assessments of the impact of human disturbance on wildlife are rare. Human disturbance comprises anthropogenic activities that are typically non-lethal, but may cause short- and/or longer-term stress and fitness responses in wildlife. Expanding human activity in the Antarctic region is of particular concern because it increases the scope and potential for increased human disturbance to wildlife in a region that is often thought of as relatively untouched by anthropogenic influences. Here, we use a meta-analytical approach to synthesise research on human disturbance to wildlife over the last three decades in the Antarctic and sub-Antarctic region. We combine data from 62 studies across 21 species on the behavioural, physiological and population responses of wildlife to pedestrian, vehicle and research disturbances. The overall effect size indicated a small, albeit statistically significant negative effect of disturbance (-0.39; 95% CI: -0.60 to -0.18). Negative effects were found for both physiological and population responses, but no evidence was found for a significant impact on wildlife behavioural responses. Negative effects were found across pedestrian, vehicle and research disturbances. Significant and high among-study heterogeneity was found in both disturbance and response sub-groups. Among species, it remains unclear to what extent different forms of disturbance translate into negative population responses. Most current guidelines to limit wildlife disturbance impacts in Antarctica recommend that approaches be tailored to animal behavioural cues, but our work demonstrates that behavioural changes do not necessarily reflect more cryptic, and more deleterious impacts, such as changes in physiology. In consequence, we recommend that pedestrian approach guidelines in the Antarctic region be revisited. Due to the high heterogeneity in effects, management guidelines for different sites and species will need to be developed on a case-by-case basis, ideally in conjunction with carefully designed experiments. Guidelines to reduce the impact of research activities per se require development to reduce the potential impacts of conducting research. We identify research questions that, if answered, will further improve the evidence base for guidelines to manage human disturbance in Antarctica.</t>
  </si>
  <si>
    <t>[Coetzee, Bernard W. T.; Chown, Steven L.] Monash Univ, Sch Biol Sci, Melbourne, Vic 3800, Australia</t>
  </si>
  <si>
    <t>Coetzee, BWT (corresponding author), Monash Univ, Sch Biol Sci, Melbourne, Vic 3800, Australia.</t>
  </si>
  <si>
    <t>bwtcoetzee@gmail.com</t>
  </si>
  <si>
    <t>Chown, Steven/ABD-7646-2021; Coetzee, Bernard WT/AAR-8390-2021; Chown, Steven/H-3347-2011</t>
  </si>
  <si>
    <t>Coetzee, Bernard WT/0000-0002-9913-6295; Chown, Steven/0000-0001-6069-5105</t>
  </si>
  <si>
    <t>Scientific Committee on Antarctic Research</t>
  </si>
  <si>
    <t>This study was supported by the Scientific Committee on Antarctic Research. Comments by Aleks Terauds and two anonymous referees improved the manuscript. Hanrie Coetzee redrew Fig. 1.</t>
  </si>
  <si>
    <t>1464-7931</t>
  </si>
  <si>
    <t>1469-185X</t>
  </si>
  <si>
    <t>BIOL REV</t>
  </si>
  <si>
    <t>Biol. Rev.</t>
  </si>
  <si>
    <t>10.1111/brv.12184</t>
  </si>
  <si>
    <t>DR5ER</t>
  </si>
  <si>
    <t>WOS:000379926500002</t>
  </si>
  <si>
    <t>Acuña, JJ; Durán, P; Lagos, LM; Ogram, A; Mora, MD; Jorquera, MA</t>
  </si>
  <si>
    <t>Acuna, Jacquelinne J.; Duran, Paola; Lagos, Lorena M.; Ogram, Andrew; de la Luz Mora, Maria; Jorquera, Milko A.</t>
  </si>
  <si>
    <t>Bacterial alkaline phosphomonoesterase in the rhizospheres of plants grown in Chilean extreme environments</t>
  </si>
  <si>
    <t>BIOLOGY AND FERTILITY OF SOILS</t>
  </si>
  <si>
    <t>Bacterial communities; Extreme environments; Alkaline phosphomonoesterase; Rhizosphere; Soil</t>
  </si>
  <si>
    <t>ENCODING GENES PHOX; ATACAMA DESERT; MICROBIAL COMMUNITY; PROMOTING BACTERIA; ORGANIC-MATTER; LAKE TAIHU; SOIL; DIVERSITY; PHOSPHORUS; COLONIZATION</t>
  </si>
  <si>
    <t>Bacterial alkaline phosphomonoesterases (APases) are relevant for organic phosphorus (Po) recycling in many soils. However, the abundance and diversity of bacterial APase in the rhizospheres of native plants are poorly known, particularly in extreme environments. In this research work, we studied the composition of total and APase-harboring bacterial communities, abundances of selected APase genes (phoD and phoX), and APase activities in rhizosphere soils from native plants grown in extreme environments of northern (Atacama Desert), central (Andes volcano; Quetrupillan and Mamuil Malal) and hot spring (Liquie), and southern polar (Patagonia and Antarctic) regions of Chile. Differences in the composition of bacterial communities in the rhizosphere soils were revealed by denaturing gradient gel electrophoresis (DGGE) and quantitative PCR (qPCR) of 16S ribosomal RNA (rRNA), phoD, and phoX genes. In general, the significant lowest bacterial diversities, APase gene abundances, and APase activities were observed in rhizosphere soils from Atacama Desert, whereas the highest values were observed in rhizosphere soils of Patagonia. In addition, APase gene abundances were positively correlated among them and with APase activity of rhizosphere soils, but negatively correlated with phosphorus (P) availability in rhizosphere soils. Although bacterial APases were observed in all studied rhizosphere soils, their relevance to soil Po recycling in soils of extreme environments remains unclear and further studies are needed.</t>
  </si>
  <si>
    <t>[Acuna, Jacquelinne J.; Duran, Paola; de la Luz Mora, Maria; Jorquera, Milko A.] Univ La Frontera, Sci &amp; Technol Bioresource Nucleus BIOREN, Ave Francisco Salazar, Temuco 01145, Chile; [Lagos, Lorena M.] Univ La Frontera, Programa Doctorado Ciencias Recursos Nat, Ave Francisco Salazar, Temuco 01145, Chile; [Ogram, Andrew] Univ Florida, Soil &amp; Water Sci Dept, 2181 McCarty Hall,POB 110290, Gainesville, FL 32611 USA</t>
  </si>
  <si>
    <t>Universidad de La Frontera; Universidad de La Frontera; State University System of Florida; University of Florida</t>
  </si>
  <si>
    <t>Acuña, JJ (corresponding author), Univ La Frontera, Sci &amp; Technol Bioresource Nucleus BIOREN, Ave Francisco Salazar, Temuco 01145, Chile.</t>
  </si>
  <si>
    <t>jacquelinne.acuna@ufrontera.cl</t>
  </si>
  <si>
    <t>Jorquera, Milko Alberto/B-7378-2011; 安, 妮/AAN-5439-2020; JORQUERA, MILKO/O-3038-2019; Mora Gil, Maria Luz/AAT-4081-2021</t>
  </si>
  <si>
    <t>JORQUERA, MILKO/0000-0003-4760-6379; Mora Gil, Maria Luz/0000-0002-7474-1595; Acuna, Jacquelinne/0000-0002-7752-166X; LAGOS PAILLA, LORENA M./0009-0000-6728-435X; Duran, Paola/0000-0001-8638-6781</t>
  </si>
  <si>
    <t>Comision Nacional de Investigacion Cientifica y Tecnologica (CONICYT); FONDECYT [3140620, 1120505]; Chilean Government [USA2013-0010]</t>
  </si>
  <si>
    <t>Comision Nacional de Investigacion Cientifica y Tecnologica (CONICYT)(Comision Nacional de Investigacion Cientifica y Tecnologica (CONICYT)); FONDECYT(Comision Nacional de Investigacion Cientifica y Tecnologica (CONICYT)CONICYT FONDECYT); Chilean Government</t>
  </si>
  <si>
    <t>This study was financed by the Comision Nacional de Investigacion Cientifica y Tecnologica (CONICYT), FONDECYT Postdoctoral Project No. 3140620, FONDECYT Regular Project No. 1120505, and International Cooperation Project Chile-USA code USA2013-0010 from the Chilean Government.</t>
  </si>
  <si>
    <t>0178-2762</t>
  </si>
  <si>
    <t>1432-0789</t>
  </si>
  <si>
    <t>BIOL FERT SOILS</t>
  </si>
  <si>
    <t>Biol. Fertil. Soils</t>
  </si>
  <si>
    <t>10.1007/s00374-016-1113-9</t>
  </si>
  <si>
    <t>DR8CS</t>
  </si>
  <si>
    <t>WOS:000380126600002</t>
  </si>
  <si>
    <t>Arndt, DS; Blunden, J; Willett, KM; Aaron-Morrison, AP; Ackerman, SA; Adams, NG; Adler, RF; Albanil, A; Alfaro, EJ; Allan, R; Alves, LM; Amador, JA; Andreassen, LM; Arendt, A; Arévalo, J; Arzhanova, NM; Aschan, MM; Azorin-Molina, C; Banzon, V; Bardin, MU; Barichivich, J; Baringer, MO; Barreira, S; Baxter, S; Bazo, J; Becker, A; Bedka, KM; Behrenfeld, MJ; Bell, GD; Belmont, M; Benedetti, A; Bernhard, G; Berrisford, P; Berry, DI; Bettolli, ML; Bhatt, US; Bidegain, M; Bill, BD; Billheimer, S; Bissolli, P; Blake, ES; Blunden, J; Bosilovich, MG; Boucher, O; Boudet, D; Box, JE; Boyer, T; Braathen, GO; Bromwich, DH; Brown, R; Bulygina, ON; Burgess, D; Calderón, B; Camargo, SJ; Campbell, JD; Cappelen, J; Carrasco, G; Carter, BR; Chambers, DP; Chandler, E; Christiansen, HH; Christy, JR; Chung, D; Chung, ES; Cinque, K; Clem, KR; Coelho, CAS; Cogley, JG; Coldewey-Egbers, M; Colwell, S; Cooper, OR; Copland, L; Cosca, CE; Cross, JN; Crotwell, MJ; Crouch, J; Davis, SM; de Eyto, E; de Jeu, RAM; de Laat, J; DeGasperi, CL; Degenstein, D; Demircan, M; Derksen, C; Destin, D; Di Girolamo, L; Di Giuseppe, F; Diamond, HJ; Dlugokencky, EJ; Dohan, K; Dokulil, MT; Dolgov, AV; Dolman, AJ; Domingues, CM; Donat, MG; Dong, SF; Dorigo, WA; Dortch, Q; Doucette, G; Drozdov, DS; Ducklow, H; Dunn, RJH; Durán-Quesada, AM; Dutton, GS; Ebrahim, A; ElKharrim, M; Elkins, JW; Espinoza, JC; Etienne-LeBlanc, S; Evans, TE; Famiglietti, JE; Farrell, S; Fateh, S; Fausto, RS; Fedaeff, N; Feely, RA; Feng, Z; Fenimore, C; Fettweis, X; Fioletov, VE; Flemming, J; Fogarty, CT; Fogt, RL; Folland, C; Fonseca, C; Fossheim, M; Foster, MJ; Fountain, A; Francis, SD; Franz, BA; Frey, RA; Frith, SM; Froidevaux, L; Ganter, C; Garzoli, S; Gerland, S; Gobron, N; Goldenberg, SB; Gomez, RS; Goni, G; Goto, A; Grooss, JU; Gruber, A; Guard, C; Gugliemin, M; Gupta, SK; Gutiérrez, JM; Hagos, S; Hahin, S; Haimberger, L; Hakkarainen, J; Hall, BD; Halpert, MS; Hamlington, BD; Hanna, E; Hansen, K; Hanssen-Bauer, I; Harris, I; Heidinger, AK; Heikkilä, A; Heil, A; Heim, RR; Hendricks, S; Hernández, M; Hidalgo, HG; Hilburn, K; Ho, SP; Holmes, RM; Hu, ZZ; Huang, B; Huelsing, HK; Huffman, GJ; Hughes, C; Hurst, DF; Ialongo, I; Ijampy, JA; Ingvaldsen, RB; Inness, A; Isaksen, K; Ishii, M; Jevrejeva, S; Jiménez, C; Jin, XZ; Johannesen, E; John, V; Johnsen, B; Johnsen, B; Johnson, GC; Jones, PD; Joseph, AC; Jumaux, G; Kaise, JW; Kato, SJ; Kazemi, A; Keller, LM; Kendon, M; Kennedy, J; Kerr, K; Kholodov, AL; Khoshkam, M; Killick, R; Kim, H; Kim, SJ; Kimberlain, TB; Klotzbach, PJ; Knaff, JA; Kobayashi, S; Kohler, J; Korhonen, J; Korshunova, NN; Kovacs, KM; Kramarova, N; Kratz, DP; Kruger, A; Kruk, MC; Kudela, R; Kumar, A; Lakatos, M; Lakkala, K; Lander, MA; Landsea, CW; Lankhorst, M; Lantz, K; Lazzara, MA; Lemons, P; Leuliette, E; L'Heureux, M; Lieser, JL; Lin, II; Liu, HX; Liu, YH; Locarnini, R; Loeb, NG; Lo Monaco, C; Long, CS; Alvarez, LAL; Lorrey, AM; Loyola, D; Lumpkin, R; Luo, JJ; Luojus, K; Lydersen, C; Lyman, JM; Maberly, SC; Maddux, BC; Ramos, AM; Malkova, GV; Manney, G; Marcellin, V; Marchenko, SS; Marengo, JA; Marra, JJ; Marszelewski, W; Martens, B; Martínez-Güingla, R; Massom, RA; Mata, MM; Mathis, JT; May, L; Mayer, M; Mazloff, M; McBride, C; McCabe, MF; McCarthy, M; McClelland, JW; McGree, S; McVicar, TR; Mears, CA; Meier, W; Meinen, CS; Mekonnen, A; Menéndez, M; Tsidu, GM; Menzel, WP; Merchant, CJ; Meredith, MP; Merrifield, MA; Metzl, N; Minnis, P; Miralles, DG; Mistelbauer, T; Mitchum, GT; Monselesan, D; Monteiro, P; Montzka, SA; Morice, C; Mote, T; Mudryk, L; Mühle, J; Mullan, AB; Nash, ER; Naveira-Garabato, AC; Nerem, RS; Newman, PA; Nieto, JJ; Noetzli, J; O'Neel, S; Osborn, TJ; Overland, J; Oyunjargal, L; Parinussa, RM; Park, EH; Parker, D; Parrington, M; Rost, A; Pasch, RJ; Pascual-Ramírez, R; Paterson, AM; Paulik, C; Pearce, PR; Pelto, MS; Peng, L; Perkins-Kirkpatrick, SE; Perovich, D; Petropavlovskikh, I; Pezza, AB; Phillips, D; Pinty, B; Pitts, MC; Pons, MR; Porter, AO; Primicerio, R; Proshutinsky, A; Quegan, S; Quintana, J; Rahimzadeh, F; Rajeevan, M; Randriamarolaza, L; Razuvaev, VN; Reagan, J; Reid, P; Reimer, C; Rémy, S; Renwick, JA; Revadekar, JV; Richter-Menge, J; Riffler, M; Rimmer, A; Rintoul, S; Robinson, DA; Rodell, M; Solís, JLR; Romanovsky, VE; Ronchail, J; Rosenlof, KH; Roth, C; Rusak, JA; Sabine, CL; Sallée, JB; Sánchez-Lugo, A; Santee, ML; Sawaengphokhai, P; Sayouri, A; Scambos, TA; Schemm, J; Schladow, SG; Schmid, C; Schmid, M; Schmidtko, S; Schreck, CJ; Selkirk, HB; Send, U; Sensoy, S; Setzer, A; Sharp, M; Shaw, A; Shi, L; Shiklomanov, AI; Shiklomanov, NI; Siegel, DA; Signorini, SR; Sima, F; Simmons, AJ; Smeets, CJPP; Smith, SL; Spence, JM; Srivastava, AK; Stackhouse, PW; Stammerjohn, S; Steinbrecht, W; Stella, JL; Stengel, M; Stennett-Brown, R; Stephenson, TS; Strahan, S; Streletskiy, DA; Sun-Mack, S; Swart, S; Sweet, W; Talley, LD; Tamar, G; Tank, SE; Taylor, MA; Tedesco, M; Teubner, K; Thoman, RL; Thompson, P; Thomson, L; Timmermans, ML; Tirnanes, JA; Tobin, S; Trachte, K; Trainer, VL; Tretiakov, M; Trewin, BC; Trotman, AR; Tschudi, M; van As, D; van de Wal, RSW; van der A, RJ; van der Schalie, R; van der Schrier, G; van der Werf, GR; Van Meerbeeck, CJ; Velicogna, I; Verburg, P; Vigneswaran, B; Vincent, LA; Volkov, D; Vose, RS; Wagner, W; Wåhlin, A; Wahr, J; Walsh, J; Wang, CZ; Wang, JH; Wang, L; Wang, M; Wang, SH; Wanninkhof, R; Watanabe, S; Weber, M; Weller, RA; Weyhenmeyer, GA; Whitewood, R; Wijffels, SE; Wilber, AC; Wild, JD; Willett, KM; Williams, MJM; Willie, S; Wong, T; Wood, EF; Woolway, RI; Wouters, B; Xue, Y; Yamada, R; Yim, SY; Yin, XG; Young, SH; Yu, LS; Zahid, H; Zambrano, E; Zhang, PQ; Zhao, GG; Zhou, L; Ziemke, JR; Love-Brotak, SE; Gilbert, K; Maycock, T; Osborne, S; Sprain, M; Veasey, SW; Ambrose, BJ; Griffin, J; Misch, DJ; Riddle, DB; Young, T</t>
  </si>
  <si>
    <t>Arndt, D. S.; Blunden, J.; Willett, K. M.; Aaron-Morrison, Arlene P.; Ackerman, Steven A.; Adams, Nicolaus G.; Adler, Robert F.; Albanil, Adelina; Alfaro, E. J.; Allan, Rob; Alves, Lincoln M.; Amador, Jorge A.; Andreassen, L. M.; Arendt, A.; Arevalo, Juan; Arzhanova, N. M.; Aschan, M. M.; Azorin-Molina, Cesar; Banzon, Viva; Bardin, M. U.; Barichivich, Jonathan; Baringer, Molly O.; Barreira, Sandra; Baxter, Stephen; Bazo, Juan; Becker, Andreas; Bedka, Kristopher M.; Behrenfeld, Michael J.; Bell, Gerald D.; Belmont, M.; Benedetti, Angela; Bernhard, G.; Berrisford, Paul; Berry, David I.; Bettolli, Maria L.; Bhatt, U. S.; Bidegain, Mario; Bill, Brian D.; Billheimer, Sam; Bissolli, Peter; Blake, Eric S.; Blunden, Jessica; Bosilovich, Michael G.; Boucher, Olivier; Boudet, Dagne; Box, J. E.; Boyer, Tim; Braathen, Geir O.; Bromwich, David H.; Brown, R.; Bulygina, Olga N.; Burgess, D.; Calderon, Blanca; Camargo, Suzana J.; Campbell, Jayaka D.; Cappelen, J.; Carrasco, Gualberto; Carter, Brendan R.; Chambers, Don P.; Chandler, Elise; Christiansen, Hanne H.; Christy, John R.; Chung, Daniel; Chung, E. -S.; Cinque, Kathy; Clem, Kyle R.; Coelho, Calo A. S.; Cogley, J. G.; Coldewey-Egbers, Melanie; Colwell, Steve; Cooper, Owen R.; Copland, L.; Cosca, Catherine E.; Cross, Jessica N.; Crotwell, Molly J.; Crouch, Jake; Davis, Sean M.; de Eyto, Elvira; de Jeu, Richard A. M.; de Laat, Jos; DeGasperi, Curtis L.; Degenstein, Doug; Demircan, M.; Derksen, C.; Destin, Dale; Di Girolamo, Larry; Di Giuseppe, F.; Diamond, Howard J.; Dlugokencky, Ed J.; Dohan, Kathleen; Dokulil, Martin T.; Dolgov, A. V.; Dolman, A. Johannes; Domingues, Catia M.; Donat, Markus G.; Dong, Shenfu; Dorigo, Wouter A.; Dortch, Quay; Doucette, Greg; Drozdov, D. S.; Ducklow, Hugh; Dunn, Robert J. H.; Duran-Quesada, Ana M.; Dutton, Geoff S.; Ebrahim, A.; ElKharrim, M.; Elkins, James W.; Espinoza, Jhan C.; Etienne-LeBlanc, Sheryl; Evans, Thomas E., III; Famiglietti, James E.; Farrell, S.; Fateh, S.; Fausto, Roberto S.; Fedaeff, Nava; Feely, Richard A.; Feng, Z.; Fenimore, Chris; Fettweis, X.; Fioletov, Vitali E.; Flemming, Johannes; Fogarty, Chris T.; Fogt, Ryan L.; Folland, Chris; Fonseca, C.; Fossheim, M.; Foster, Michael J.; Fountain, Andres; Francis, S. D.; Franz, Bryan A.; Frey, Richard A.; Frith, Stacey M.; Froidevaux, Lucien; Ganter, Catherine; Garzoli, Silvia; Gerland, S.; Gobron, Nadine; Goldenberg, Stanley B.; Gomez, R. Sorbonne; Goni, Gustavo; Goto, A.; Grooss, J. -U.; Gruber, Alexander; Guard, Charles 'Chip'; Gugliemin, Mauro; Gupta, S. K.; Gutierrez, J. M.; Hagos, S.; Hahin, Sebastian; Haimberger, Leo; Hakkarainen, J.; Hall, Brad D.; Halpert, Michael S.; Hamlington, Benjamin D.; Hanna, E.; Hansen, K.; Hanssen-Bauer, I.; Harris, Ian; Heidinger, Andrew K.; Heikkila, A.; Heil, A.; Heim, Richard R., Jr.; Hendricks, S.; Hernandez, Marieta; Hidalgo, Hugo G.; Hilburn, Kyle; Ho, Shu-Peng (Ben); Holmes, R. M.; Hu, Zeng-Zhen; Huang, Boyin; Huelsing, Hannah K.; Huffman, George J.; Hughes, C.; Hurst, Dale F.; Ialongo, I.; Ijampy, J. A.; Ingvaldsen, R. B.; Inness, Antje; Isaksen, K.; Ishii, Masayoshi; Jevrejeva, Svetlana; Jimenez, C.; Jin, Xiangze; Johannesen, E.; John, Viju; Johnsen, B.; Johnsen, Bryan; Johnson, Gregory C.; Jones, Philip D.; Joseph, Annie C.; Jumaux, Guillaume; Kaise, Johannes W.; Kato, Seiji; Kazemi, A.; Keller, Linda M.; Kendon, Mike; Kennedy, John; Kerr, Kenneth; Kholodov, A. L.; Khoshkam, Mahbobeh; Killick, Rachel; Kim, Hyungjun; Kim, S. -J.; Kimberlain, Todd B.; Klotzbach, Philip J.; Knaff, John A.; Kobayashi, Shinya; Kohler, J.; Korhonen, Johanna; Korshunova, Natalia N.; Kovacs, K. M.; Kramarova, Natalya; Kratz, D. P.; Kruger, Andries; Kruk, Michael C.; Kudela, Raphael; Kumar, Arun; Lakatos, M.; Lakkala, K.; Lander, Mark A.; Landsea, Chris W.; Lankhorst, Matthias; Lantz, Kathleen; Lazzara, Matthew A.; Lemons, P.; Leuliette, Eric; L'Heureux, Michelle; Lieser, Jan L.; Lin, I. -I.; Liu, Hongxing; Liu, Yinghui; Locarnini, Ricardo; Loeb, Norman G.; Lo Monaco, Claire; Long, Craig S.; Lopez Alvarez, Luis Alfonso; Lorrey, Andrew M.; Loyola, Diego; Lumpkin, Rick; Luo, Jing-Jia; Luojus, K.; Lydersen, C.; Lyman, John M.; Maberly, Stephen C.; Maddux, Brent C.; Ramos, Andrea Malheiros; Malkova, G. V.; Manney, G.; Marcellin, Vernie; Marchenko, S. S.; Marengo, Jose A.; Marra, John J.; Marszelewski, Wlodzimierz; Martens, B.; Mart-nez-Guingla, Rodney; Massom, Robert A.; Mata, Mauricio M.; Mathis, Jeremy T.; May, Linda; Mayer, Michael; Mazloff, Matthew; McBride, Charlotte; McCabe, M. F.; McCarthy, M.; McClelland, J. W.; McGree, Simon; McVicar, Tim R.; Mears, Carl A.; Meier, W.; Meinen, Christopher S.; Mekonnen, A.; Menendez, Melisa; Tsidu, G. Mengistu; Menzel, W. Paul; Merchant, Christopher J.; Meredith, Michael P.; Merrifield, Mark A.; Metzl, N.; Minnis, Partick; Miralles, Diego G.; Mistelbauer, T.; Mitchum, Gary T.; Monselesan, Didier; Monteiro, Pedro; Montzka, Stephen A.; Morice, Colin; Mote, T.; Mudryk, L.; Muhle, Jens; Mullan, A. Brett; Nash, Eric R.; Naveira-Garabato, Alberto C.; Nerem, R. Steven; Newman, Paul A.; Nieto, Juan Jose; Noetzli, Jeannette; O'Neel, S.; Osborn, Tim J.; Overland, J.; Oyunjargal, Lamjav; Parinussa, Robert M.; Park, E-hyung; Parker, David; Parrington, M.; Rost, A.; Pasch, Richard J.; Pascual-Ramirez, Reynaldo; Paterson, Andrew M.; Paulik, Christoph; Pearce, Petra R.; Pelto, Mauri S.; Peng, Liang; Perkins-Kirkpatrick, Sarah E.; Perovich, D.; Petropavlovskikh, Irina; Pezza, Alexandre B.; Phillips, David; Pinty, Bernard; Pitts, Michael C.; Pons, M. R.; Porter, Avalon O.; Primicerio, R.; Proshutinsky, A.; Quegan, Sean; Quintana, Juan; Rahimzadeh, Fatemeh; Rajeevan, Madhavan; Randriamarolaza, L.; Razuvaev, Vyacheslav N.; Reagan, James; Reid, Phillip; Reimer, Christoph; Remy, Samuel; Renwick, James A.; Revadekar, Jayashree V.; Richter-Menge, J.; Riffler, Michael; Rimmer, Alon; Rintoul, Steve; Robinson, David A.; Rodell, Matthew; Rodriguez Solis, Jose L.; Romanovsky, Vladimir E.; Ronchail, Josyane; Rosenlof, Karen H.; Roth, Chris; Rusak, James A.; Sabine, Christopher L.; Sallee, Jean-Bapiste; Sanchez-Lugo, Ahira; Santee, Michelle L.; Sawaengphokhai, P.; Sayouri, Amal; Scambos, Ted A.; Schemm, Jae; Schladow, S. Geoffrey; Schmid, Claudia; Schmid, Martin; Schmidtko, Sunke; Schreck, Carl J., III; Selkirk, H. B.; Send, Uwe; Sensoy, Serhat; Setzer, Alberto; Sharp, M.; Shaw, Adrian; Shi, Lei; Shiklomanov, A. I.; Shiklomanov, Nikolai I.; Siegel, David A.; Signorini, Sergio R.; Sima, Fatou; Simmons, Adrian J.; Smeets, C. J. P. P.; Smith, Sharon L.; Spence, Jaqueline M.; Srivastava, A. K.; Stackhouse, Paul W., Jr.; Stammerjohn, Sharon; Steinbrecht, Wolfgang; Stella, Jose L.; Stengel, Martin; Stennett-Brown, Roxann; Stephenson, Tannecia S.; Strahan, Susan; Streletskiy, D. A.; Sun-Mack, Sunny; Swart, Sebastiaan; Sweet, William; Talley, Lynne D.; Tamar, Gerard; Tank, S. E.; Taylor, Michael A.; Tedesco, M.; Teubner, Katrin; Thoman, R. L.; Thompson, Philip; Thomson, L.; Timmermans, M. -L.; Tirnanes, Joaquin A.; Tobin, Skie; Trachte, Katja; Trainer, Vera L.; Tretiakov, M.; Trewin, Blair C.; Trotman, Adrian R.; Tschudi, M.; van As, D.; van de Wal, R. S. W.; van der A, Ronald J.; van der Schalie, Robin; van der Schrier, Gerard; van der Werf, Guido R.; Van Meerbeeck, Cedric J.; Velicogna, I.; Verburg, Piet; Vigneswaran, Bala; Vincent, Lucie A.; Volkov, Denis; Vose, Russell S.; Wagner, Wolfgang; Wahlin, Anna; Wahr, J.; Walsh, J.; Wang, Chunzai; Wang, Junhong; Wang, Lei; Wang, M.; Wang, Sheng-Hung; Wanninkhof, Rik; Watanabe, Shohei; Weber, Mark; Weller, Robert A.; Weyhenmeyer, Gesa A.; Whitewood, Robert; Wijffels, Susan E.; Wilber, Anne C.; Wild, Jeanette D.; Willett, Kate M.; Williams, Michael J. M.; Willie, Shem; Wong, Takmeng; Wood, E. F.; Woolway, R. Iestyn; Wouters, B.; Xue, Yan; Yamada, Ryuji; Yim, So-Young; Yin, Xungang; Young, Steven H.; Yu, Lisan; Zahid, H.; Zambrano, Eduardo; Zhang, Peiqun; Zhao, Guanguo; Zhou, Lin; Ziemke, Jerry R.; Love-Brotak, S. Elizabeth; Gilbert, Kristin; Maycock, Tom; Osborne, Susan; Sprain, Mara; Veasey, Sara W.; Ambrose, Barbara J.; Griffin, Jessicca; Misch, Deborah J.; Riddle, Deborah B.; Young, Teresa</t>
  </si>
  <si>
    <t>State of the Climate in 2015</t>
  </si>
  <si>
    <t>BULLETIN OF THE AMERICAN METEOROLOGICAL SOCIETY</t>
  </si>
  <si>
    <t>SEA-SURFACE TEMPERATURE; MADDEN-JULIAN OSCILLATION; ANTARCTIC BOTTOM WATER; WESTERN NORTH PACIFIC; MERIDIONAL OVERTURNING CIRCULATION; MASS-BALANCE OBSERVATIONS; SOUTHERN VICTORIA LAND; TROPOSPHERIC OZONE VARIABILITY; TROPICAL CYCLONE INTENSITY; COUPLED KELVIN WAVES</t>
  </si>
  <si>
    <t>[Aaron-Morrison, Arlene P.] Trinidad &amp; Tobago Meteorol Serv, Piarco, Trinidad Tobago; [Ackerman, Steven A.] Univ Wisconsin, CIMSS, Madison, WI USA; [Adams, Nicolaus G.; Bill, Brian D.] NOAA, Natl Marine Fisheries Serv, NW Fisheries Sci Ctr, Seattle, WA 98112 USA; [Adler, Robert F.] Univ Maryland, Earth Syst Sci Interdisciplinary Ctr, College Pk, MD 20742 USA; [Albanil, Adelina] Natl Meteorol Serv Mexico, Mexico City, DF, Mexico; [Alfaro, E. J.; Amador, Jorge A.; Calderon, Blanca; Duran-Quesada, Ana M.; Hidalgo, Hugo G.] Univ Costa Rica, Ctr Geophys Res, San Jose, Costa Rica; [Alfaro, E. J.; Amador, Jorge A.; Duran-Quesada, Ana M.] Univ Costa Rica, Sch Phys, San Jose, Costa Rica; [Allan, Rob; Dunn, Robert J. H.; Folland, Chris; Kendon, Mike; Kennedy, John; Killick, Rachel; McCarthy, M.; Morice, Colin; Parker, David; Willett, Kate M.] Met Off Hadley Ctr, Exeter, Devon, England; [Alves, Lincoln M.] Inst Nacl Pesquisas Espaciais, Ctr Ciencias Sist Terr, Sao Paulo, Brazil; [Andreassen, L. M.] Norwegian Water Resources &amp; Energy Directorate, Sect Glaciers Ice &amp; Snow, Oslo, Norway; [Arendt, A.] Univ Washington, Appl Phys Lab, Seattle, WA 98105 USA; [Arevalo, Juan] Inst Nacl Meteorol &amp; Hidrol Venezuela, Caracas, Venezuela; [Arndt, D. S.; Blunden, J.; Banzon, Viva; Blunden, Jessica; Boyer, Tim; Crouch, Jake; Diamond, Howard J.; Fenimore, Chris; Huang, Boyin; Locarnini, Ricardo; Marra, John J.; Reagan, James; Shi, Lei; Vose, Russell S.; Love-Brotak, S. Elizabeth; Osborne, Susan; Veasey, Sara W.; Misch, Deborah J.] NOAA, NESDIS Natl Ctr Environm Informat, Asheville, NC USA; [Arzhanova, N. M.] Russian Inst Hydrometeorol Informat, Obninsk, Russia; [Aschan, M. M.] UiT Arctic Univ Norway, Tromso, Norway; [Azorin-Molina, Cesar] Consejo Super Investigac Cient, Inst Pirenaico Ecol, Zaragoza, Spain; [Bardin, M. U.] Roshydromet, Inst Global Climate &amp; Ecol, Moscow, Russia; [Bardin, M. U.] Russian Acad Sci, Inst Geog, Moscow V71, Russia; [Barichivich, Jonathan] Univ Chile, Inst Conservac Biodiversidad &amp; Terr, Valdivia, Chile; [Barichivich, Jonathan] Ctr Climate &amp; Resilience Res CR2, Santiago, Chile; [Baringer, Molly O.; Dong, Shenfu; Garzoli, Silvia; Goni, Gustavo; Lumpkin, Rick; Schmid, Claudia; Volkov, Denis; Wang, Chunzai; Wanninkhof, Rik] NOAA, OAR, Atlantic Oceanog &amp; Meteorol Lab, Miami, FL USA; [Barreira, Sandra] Argentine Naval Hydrog Serv, Buenos Aires, DF, Argentina; [Baxter, Stephen; Bell, Gerald D.; Halpert, Michael S.; L'Heureux, Michelle; Schemm, Jae] NOAA, NWS Climate Predict Ctr, College Pk, MD USA; [Bazo, Juan] Serv Nacl Meteorol &amp; Hidrol Peru, Lima, Peru; [Becker, Andreas] Deutscher Wetterdienst, Global Precipitat Climatol Ctr, Offenbach, Germany; [Bedka, Kristopher M.] NASA, Langley Res Ctr, Hampton, VA 23665 USA; [Behrenfeld, Michael J.] Oregon State Univ, Corvallis, OR 97331 USA; [Belmont, M.] Seychelles Natl Meteorol Serv, Pointe Larue, Mahe, Seychelles; [Benedetti, Angela; Berrisford, Paul; Di Giuseppe, F.; Flemming, Johannes; Inness, Antje; Kaise, Johannes W.; Parrington, M.; Simmons, Adrian J.] European Ctr Medium Range Weather Forecasts, Reading, Berks, England; [Bernhard, G.] Biospher Instruments, San Diego, CA USA; [Berry, David I.] Natl Oceanog Ctr, Southampton, Hants, England; [Bettolli, Maria L.] Univ Buenos Aires, Fac Ciencias Exactas &amp; Nat, Dept Ciencias Atmosfera &amp; Oceanos, RA-1053 Buenos Aires, DF, Argentina; [Bhatt, U. S.] Univ Alaska Fairbanks, Inst Geophys, Fairbanks, AK 99775 USA; [Bidegain, Mario] Inst Uruguayo Meteorol, Montevideo, Uruguay; [Billheimer, Sam] Univ Calif San Diego, Scripps Inst Oceanog, San Diego, CA 92103 USA; [Bissolli, Peter] Deutscher Wetterdienst, WMO RA VI Reg Climate Ctr Network, Offenbach, Germany; [Blake, Eric S.] NOAA, NWS Natl Hurricane Ctr, Miami, FL USA; [Bosilovich, Michael G.] NASA, Goddard Space Flight Ctr, Global Modelling &amp; Assimilat Off, Greenbelt, MD USA; [Boucher, Olivier] CNRS UPMC, Inst Pierre Simon Laplace, Meteorol Dynam Lab, Paris, France; [Boudet, Dagne; Fonseca, C.] Inst Meteorol Cuba, Climate Ctr, Havana, Cuba; [Box, J. E.; Fausto, Roberto S.] Geol Survey Denmark &amp; Greenland, Copenhagen, Denmark; [Boyer, Tim] NOAA, NESDIS Natl Ctr Environm Informat, Silver Spring, MD USA; [Braathen, Geir O.] WMO Atmospher Environm Res Div, Geneva, Switzerland; [Bromwich, David H.] Ohio State Univ, Byrd Polar &amp; Climate Res Ctr, Columbus, OH 43210 USA; [Brown, R.] Environm &amp; Climate Change Canada, Div Climate Res, Montreal, PQ, Canada; [Bulygina, Olga N.] Russian Inst Hydrometeorol Informat, Obninsk, Russia; [Burgess, D.] Geol Survey Canada, Ottawa, ON, Canada; [Camargo, Suzana J.] Columbia Univ, Lamont Doherty Earth Observ, Palisades, NY USA; [Campbell, Jayaka D.] Univ W Indies, Dept Phys, Kingston, Jamaica; [Cappelen, J.] Danish Meteorol Inst, Copenhagen, Denmark; [Carrasco, Gualberto] Serv Nacl Meteorol &amp; Hidrol Bolivia, La Paz, Bolivia; [Carter, Brendan R.] Univ Washington, Joint Inst Study Atmosphere &amp; Oceans, Seattle, WA 98195 USA; [Chambers, Don P.] Univ S Florida, Coll Marine Sci, St Petersburg, FL 33701 USA; [Chandler, Elise] Bur Meteorol, Melbourne, Vic, Australia; [Christiansen, Hanne H.] Univ Ctr Svalbard, UNIS, Arctic Geol Dept, Longyearbyen, Norway; [Christy, John R.] Univ Alabama, Huntsville, AL 35899 USA; [Chung, Daniel; Dorigo, Wouter A.; Gruber, Alexander; Hahin, Sebastian; Mistelbauer, T.; Paulik, Christoph; Reimer, Christoph; Wagner, Wolfgang] Vienna Univ Technol, Dept Geodesy &amp; Geoinformat, A-1040 Vienna, Austria; [Chung, E. -S.] Univ Miami, Rosenstiel Sch Marine &amp; Atmospher Sci, 4600 Rickenbacker Causeway, Miami, FL 33149 USA; [Cinque, Kathy] Melbourne Water, Melbourne, Vic, Australia; [Clem, Kyle R.] Victoria Univ Wellington, Sch Geog Environm &amp; Earth Sci, Wellington, New Zealand; [Coelho, Calo A. S.] CPTEC INPE Ctr Weather Forecasts &amp; Climate Studie, Cachoeira Paulista, Brazil; [Cogley, J. G.] Trent Univ, Dept Geog, Peterborough, ON K9J 7B8, Canada; [Coldewey-Egbers, Melanie] German Aerosp Ctr DLR Oberpfaffenhofen, Wessling, Germany; [Colwell, Steve] British Antarctic Survey, Cambridge CB3 0ET, England; [Cooper, Owen R.; Crotwell, Molly J.; Davis, Sean M.; Dutton, Geoff S.] Univ Colorado, Cooperat Inst Res Environm Sci, Boulder, CO 80309 USA; [Cooper, Owen R.; Crotwell, Molly J.; Davis, Sean M.; Dlugokencky, Ed J.; Dutton, Geoff S.; Elkins, James W.; Hall, Brad D.; Hurst, Dale F.; Lantz, Kathleen; Rosenlof, Karen H.] NOAA, OAR Earth Syst Res Lab, Boulder, CO USA; [Copland, L.] Univ Ottawa, Dept Geog, Ottawa, ON K1N 6N5, Canada; [Carter, Brendan R.; Cosca, Catherine E.; Cross, Jessica N.; Feely, Richard A.; Johnson, Gregory C.; Lyman, John M.; Overland, J.; Sabine, Christopher L.] NOAA, OAR Pacific Marine Environm Lab, Seattle, WA USA; [de Eyto, Elvira] Inst Marine, Newport, Ireland; [de Jeu, Richard A. M.] Transmissivity &amp; VanderSat, Noordwijk, Netherlands; [de Laat, Jos] Royal Netherlands Meteorol Inst KNMI, Deblit, Netherlands; [DeGasperi, Curtis L.] King Cty Water &amp; Land Resources Div, Seattle, WA USA; [Degenstein, Doug] Univ Saskatchewan, Saskatoon, SK, Canada; [Demircan, M.] Turkish State Meteorol Serv, Ankara, Turkey; [Derksen, C.] Environm &amp; Climate Change Canada, Div Climate Res, Toronto, ON, Canada; [Destin, Dale] Antigua &amp; Barbuda Meteorol Serv, St Johns, Antigua &amp; Barbu; [Di Girolamo, Larry] Univ Illinois, Champaign, IL 61820 USA; [Dohan, Kathleen] Earth &amp; Space Res, Seattle, WA USA; [Dokulil, Martin T.] Univ Innsbruck, Res Inst Limnol, Mondsee, Austria; [Dolgov, A. V.] Knipovich Polar Res Inst Marine Fisheries &amp; Ocean, Murmansk, Russia; [Dolman, A. Johannes] Vrije Univ Amsterdam, Dept Earth Sci Earth &amp; Climate Cluster, Amsterdam, Netherlands; [Domingues, Catia M.] Univ Tasmania, Inst Marine &amp; Antarctic Studies, Hobart, Tas, Australia; [Domingues, Catia M.] Antarctic Climate &amp; Ecosyst Cooperat Res Ctr, Hobart, Tas, Australia; [Domingues, Catia M.] Australian Res Councils Ctr Excellence Climate Sy, Hobart, Tas, Australia; [Donat, Markus G.] Univ New S Wales, Climate Change Res Ctr, Sydney, NSW, Australia; [Dorigo, Wouter A.] Vienna Univ Technol, Dept Geodesy &amp; Geoinformat, Vienna, Austria; [Dortch, Quay] NOAA, NOS Natl Ctr Coastal Ocean Sci, Ctr Sponsored Coastal Ocean Res, Costal Ocean Program, Silver Spring, MD USA; [Doucette, Greg] NOAA, NOS Natl Ctr Coastal Ocean Sci, Ctr Coastal Environm Hlth &amp; Biomol Res, Charleston, SC USA; [Drozdov, D. S.] Earth Cryosphere Inst, Tyumen, Russia; [Drozdov, D. S.] Tyumen State Oil &amp; Gas Univ, Tyumen, Russia; [Ducklow, Hugh] Columbia Univ, Lamont Doherty Earth Observ, New York, NY USA; [Ebrahim, A.] Egyptian Meteorol Author, Cairo, Egypt; [ElKharrim, M.] Direct Meteorol Natl Maroc, Rabat, Morocco; [Espinoza, Jhan C.] Inst Geofis Peru, Lima, Peru; [Etienne-LeBlanc, Sheryl] Meteorol Dept St Maarten, Simpson Bay, Sint Maarten; [Evans, Thomas E., III] NOAA, NWS Cent Pacific Hurricane Ctr, Honolulu, HI USA; [Famiglietti, James E.] Univ Calif Irvine, Dept Earth Syst Sci, Irvine, CA USA; [Farrell, S.] Univ Maryland, Earth Syst Sci Interdisciplinary Ctr, College Pk, MD 20742 USA; [Fateh, S.] Islamic Republ Iranian Meteorol Org, Tehran, Iran; [Fedaeff, Nava] Natl Inst Water &amp; Atmospher Res Ltd, Auckland, New Zealand; [Feng, Z.; Hagos, S.] Pacific Northwest Natl Lab, Richland, WA USA; [Fettweis, X.] Univ Liege, B-4000 Liege, Belgium; [Fioletov, Vitali E.; Phillips, David; Vincent, Lucie A.; Whitewood, Robert] Environm &amp; Climate Change, Toronto, ON, Canada; [Fogarty, Chris T.] Environm &amp;Climate Change Canada, Canadian Hurricane Ctr, Dartmouth, NS, Canada; [Fogt, Ryan L.] Ohio Univ, Dept Geog, Athens, OH 45701 USA; [Fossheim, M.; Ingvaldsen, R. B.; Johannesen, E.] Inst Marine Res, Bergen, Norway; [Foster, Michael J.] Univ Wisconsin, CIMSS, Dept Geol, Madison, WI 53706 USA; [Fountain, Andres] Portland State Univ, Portland, OR 97207 USA; [Francis, S. D.; Ijampy, J. A.] Nigerian Meteorol Agcy, Abuja, Nigeria; [Frith, Stacey M.; Huffman, George J.; Meier, W.; Newman, Paul A.; Ziemke, Jerry R.] NASA Goddard Space Flight Ctr, Greenbelt, MA USA; [Frey, Richard A.] Univ Wisconsin, CIMSS, Madison, WI 53706 USA; [Froidevaux, Lucien] CALTECH, Jet Prop Lab, Pasadena, CA 91125 USA; [Ganter, Catherine] Bur Meteorol, Melbourne, Vic, Australia; [Dong, Shenfu; Garzoli, Silvia; Volkov, Denis] Cooperat Inst Marine &amp; Atmospher Sci, Miami, FL USA; [Gerland, S.] Norwegian Polar Res Inst, Fram Ctr, Tromso, Norway; [Gobron, Nadine] European Commiss, Joint Res Ctr, Inst Environm &amp; Sustainabil, Land Resources Monitoring Unit, Ispra, Italy; [Gomez, R. Sorbonne; Lo Monaco, Claire; Metzl, N.; Sallee, Jean-Bapiste] Sorbonne Univ, UPMC Paris 6, LOCEAN IPSL, CNRS IRD MNHN, Paris, France; [Goto, A.; Ishii, Masayoshi; Kobayashi, Shinya; Yamada, Ryuji] Japan Meteorol Agcy, Tokyo, Japan; [Grooss, J. -U.] Forschungszentrum Julich, D-52425 Julich, Germany; [Guard, Charles 'Chip'] NOAA, NWS Weather Forecast Off, Tiyan, GU USA; [Gugliemin, Mauro] Insubria Univ, Dept Theoret &amp; Appl Sci, Varese, Italy; [Gupta, S. K.] Sci Syst &amp; Appl Inc, Hampton, VA USA; [Gutierrez, J. M.] CSIC UC, Inst Fis Cantabria, Santander, Spain; [Hagos, S.] Pacific NW Natl Lab, Atmospher Sci &amp; Global Change, Richland, WA 99352 USA; [Haimberger, Leo; Mayer, Michael] Univ Vienna, Dept Meteorol &amp; Geophys, A-1010 Vienna, Austria; [Hakkarainen, J.; Heikkila, A.] Finnish Meteorol Inst, Helsinki, Finland; [Hamlington, Benjamin D.] Old Dominion Univ, Ctr Coastal Phys Oceanog, Norfolk, VA 23529 USA; [Hanna, E.] Univ Sheffield, Dept Geog, Sheffield S10 2TN, S Yorkshire, England; [Hansen, K.] Danish Meteorol Inst, Copenhagen, Denmark; [Hanssen-Bauer, I.; Isaksen, K.] Norwegian Meteorol Inst, Oslo, Norway; [Harris, Ian; Jones, Philip D.; Osborn, Tim J.] Univ E Anglia, Sch Environm Sci, Climat Res Unit, Norwich NR4 7TJ, Norfolk, England; [Heil, A.; Kaise, Johannes W.] Max Planck Inst Chem, Mainz, Germany; [Hendricks, S.] Alfred Wegener Inst, Bremerhaven, Germany; [Hilburn, Kyle; Mears, Carl A.] Remote Sensing Syst, Santa Rosa, CA USA; [Ho, Shu-Peng (Ben)] UCAR, COSMIC, Boulder, CO USA; [Holmes, R. M.] Woods Hole Res Ctr, Falmouth, MA USA; [Huelsing, Hannah K.; Wang, Junhong] SUNY Albany, Albany, NY USA; [Hughes, C.] Univ Liverpool, Liverpool L69 3BX, Merseyside, England; [Hughes, C.; Jevrejeva, Svetlana] Natl Oceanog Ctr, Liverpool, Merseyside, England</t>
  </si>
  <si>
    <t>University of Wisconsin System; University of Wisconsin Madison; National Oceanic Atmospheric Admin (NOAA) - USA; University System of Maryland; University of Maryland College Park; Universidad Costa Rica; Universidad Costa Rica; Met Office - UK; Hadley Centre; Instituto Nacional de Pesquisas Espaciais (INPE); Norwegian Water Resources &amp; Energy Directorate; University of Washington; University of Washington Seattle; National Oceanic Atmospheric Admin (NOAA) - USA; UiT The Arctic University of Tromso; Consejo Superior de Investigaciones Cientificas (CSIC); CSIC - Instituto Pirenaico de Ecologia (IPE); Russian Academy of Sciences; Universidad de Chile; National Oceanic Atmospheric Admin (NOAA) - USA; Atlantic Oceanographic &amp; Meteorological Laboratory (AOML); National Oceanic Atmospheric Admin (NOAA) - USA; Servicio Nacional de Meteorologia Hidrologia del Peru (SENAMHI); Deutscher Wetterdienst; National Aeronautics &amp; Space Administration (NASA); NASA Langley Research Center; Oregon State University; European Centre for Medium-Range Weather Forecasts (ECMWF); NERC National Oceanography Centre; University of Buenos Aires; University of Alaska System; University of Alaska Fairbanks; University of California System; University of California San Diego; Scripps Institution of Oceanography; Deutscher Wetterdienst; National Oceanic Atmospheric Admin (NOAA) - USA; National Hurricane Center, NOAA; National Aeronautics &amp; Space Administration (NASA); NASA Goddard Space Flight Center; Centre National de la Recherche Scientifique (CNRS); CNRS - National Institute for Earth Sciences &amp; Astronomy (INSU); Sorbonne Universite; Universite Paris Saclay; Universite Paris Cite; Geological Survey Of Denmark &amp; Greenland; National Oceanic Atmospheric Admin (NOAA) - USA; University System of Ohio; Ohio State University; Environment &amp; Climate Change Canada; Natural Resources Canada; Lands &amp; Minerals Sector - Natural Resources Canada; Geological Survey of Canada; Columbia University; University West Indies Mona Jamaica; Danish Meteorological Institute DMI; University of Washington; University of Washington Seattle; State University System of Florida; University of South Florida; Bureau of Meteorology - Australia; University Centre Svalbard (UNIS); University of Alabama System; University of Alabama Huntsville; Technische Universitat Wien; University of Miami; Victoria University Wellington; Trent University; Helmholtz Association; German Aerospace Centre (DLR); UK Research &amp; Innovation (UKRI); Natural Environment Research Council (NERC); NERC British Antarctic Survey; University of Colorado System; University of Colorado Boulder; National Oceanic Atmospheric Admin (NOAA) - USA; University of Ottawa; National Oceanic Atmospheric Admin (NOAA) - USA; Marine Institute Ireland; Royal Netherlands Meteorological Institute; University of Saskatchewan; Ministry of Forestry &amp; Water Affairs - Turkey; Environment &amp; Climate Change Canada; University of Illinois System; University of Illinois Urbana-Champaign; University of Innsbruck; Research lnstitute of Fisheries &amp; Oceanography; Vrije Universiteit Amsterdam; University of Tasmania; Antarctic Climate &amp; Ecosystems Cooperative Research Centre (ACE CRC); University of New South Wales Sydney; Technische Universitat Wien; National Oceanic Atmospheric Admin (NOAA) - USA; National Oceanic Atmospheric Admin (NOAA) - USA; Tyumen Scientific Center of the Russian Academy of Sciences; Tyumen Industrial University; Columbia University; Egyptian Meteorological Authority; National Oceanic Atmospheric Admin (NOAA) - USA; University of California System; University of California Irvine; University System of Maryland; University of Maryland College Park; National Institute of Water &amp; Atmospheric Research (NIWA) - New Zealand; United States Department of Energy (DOE); Pacific Northwest National Laboratory; University of Liege; Environment &amp; Climate Change Canada; Environment &amp; Climate Change Canada; University System of Ohio; Ohio University; Institute of Marine Research - Norway; University of Wisconsin System; University of Wisconsin Madison; Portland State University; National Aeronautics &amp; Space Administration (NASA); NASA Goddard Space Flight Center; University of Wisconsin System; University of Wisconsin Madison; National Aeronautics &amp; Space Administration (NASA); NASA Jet Propulsion Laboratory (JPL); California Institute of Technology; Bureau of Meteorology - Australia; Norwegian Polar Institute; European Commission Joint Research Centre; EC JRC ISPRA Site; Museum National d'Histoire Naturelle (MNHN); Institut de Recherche pour le Developpement (IRD); Sorbonne Universite; Japan Meteorological Agency; Helmholtz Association; Research Center Julich; National Oceanic Atmospheric Admin (NOAA) - USA; University of Insubria; Consejo Superior de Investigaciones Cientificas (CSIC); Universidad de Cantabria; CSIC - Instituto de Fisica de Cantabria (IFCA); United States Department of Energy (DOE); Pacific Northwest National Laboratory; University of Vienna; Finnish Meteorological Institute; Old Dominion University; University of Sheffield; Danish Meteorological Institute DMI; Norwegian Meteorological Institute; University of East Anglia; Max Planck Society; Helmholtz Association; Alfred Wegener Institute, Helmholtz Centre for Polar &amp; Marine Research; National Center Atmospheric Research (NCAR) - USA; Woodwell Climate Research Center; State University of New York (SUNY) System; State University of New York (SUNY) Albany; University of Liverpool; NERC National Oceanography Centre</t>
  </si>
  <si>
    <t>Arndt, DS (corresponding author), NOAA, NESDIS Natl Ctr Environm Informat, Asheville, NC USA.</t>
  </si>
  <si>
    <t>Dlugokencky, Edward/AAN-8746-2020; Marszelewski, Wlodzimierz/D-4630-2014; Wåhlin, Anna/U-3790-2017; Meinen, Christopher S/G-1902-2012; Adler, Robert/AHD-5560-2022; Santee, MIchelle/R-5762-2019; Alfaro, Eric/AAV-3131-2021; Fioletov, Vitali/AAM-1044-2020; Wagner, Wolfgang/AAC-5507-2019; Parrington, Mark/E-7148-2013; Tank, Suzanne E/I-4816-2012; Bhatt, Uma S/D-3674-2009; Folland, Chris K/I-2524-2013; Huffman, George J/F-4494-2014; Frith, Stacey/HMD-9437-2023; Weber, Mark/F-1409-2011; Clem, Kyle/AAG-6626-2021; John, Viju/S-6989-2019; Loeb, Norman/ABC-7817-2021; Perkins-Kirkpatrick, Sarah E/O-5042-2015; SALLEE, Jean baptiste/HDO-5355-2022; Volkov, Denis/A-6079-2011; Boucher, Olivier/K-7483-2012; Heim, Richard R./H-9667-2017; Kramarova, Natalya A/D-2270-2014; Espinoza, Jhan Carlo/A-9396-2011; Bazo, Juan/AAE-6553-2020; Dokulil, Martin/J-3464-2019; Dutton, Geoffrey Scott/V-9977-2019; Teubner, Katrin/AAC-1224-2021; sallée, jean-baptiste/A-5837-2010; Berry, David I/C-1268-2011; Timmermans, Mary-Louise/N-5983-2014; Luojus, Kari/AAO-7912-2020; Farrell, Sinead L/F-5586-2010; Schreck, Carl J/B-8711-2011; Selkirk, Henry B/H-2021-2012; Osborn, Timothy/AAK-9279-2020; Dolgov, Andrey Viktorovich/D-3708-2012; Luo, Jing-Jia/B-2481-2008; Tsidu, Gizaw Mengistu/AAG-6048-2019; Ho, shu-peng/E-5199-2019; Durán-Quesada, Ana María/ABG-4788-2020; Yu, Lisan/AIB-2264-2022; Schmid, Martin/C-3953-2009; Ackerman, Steven A/G-1640-2011; Lakkala, Kaisa/AAN-4342-2020; Derksen, Chris/S-9828-2017; Carter, Brendan/ABG-9706-2021; Kaiser, Johannes W./GOP-0832-2022; Davis, Sean/HGC-5795-2022; Hendricks, Stefan/D-5168-2011; Gruber, Alexander/ABA-3286-2020; Grooß, Jens-Uwe/N-3305-2019; de Jeu, Richard/AAE-6922-2019; Bernhard, Germar H/B-4460-2018; Wouters, Bert/AAA-4254-2019; Leuliette, Eric/D-1527-2010; Luo, Jing-Jia/T-9612-2019; Ialongo, Iolanda/E-1638-2014; Cooper, Owen/H-4875-2013; Strahan, Susan E/H-1965-2012; Meier, Walter/AAI-9583-2021; Johnson, Gregory C/I-6559-2012; Schmid, Claudia/D-5875-2013; Hughes, Chris/GQP-7479-2022; Feely, Richard A./ABI-5740-2020; Gutierrez Pacherres, Jose Rodolfo/HZL-0476-2023; Crotwell, Molly/AAQ-8435-2020; Merchant, Christopher/KHY-0611-2024; Heikkilä, Anu M/F-1261-2017; Hussain, Zahid/HGU-8912-2022; Boucher, Olivier/J-5810-2012; Hanna, Edward/W-5927-2019; Mikhail, Tretiakov/AAX-5452-2020; Bettolli, Maria/AAA-7570-2021; Wouters, Bert/A-5301-2017; Trachte, Katja/M-7310-2015; Thompson, Philip R/H-4509-2013; Stengel, Martin/C-9801-2010; Baringer, Molly O/D-2277-2012; Hakkarainen, Janne J/C-8404-2012; Hidalgo, Hugo G./I-7170-2019; Newman, Paul A/D-6208-2012; Keyes, Dennis/AAZ-9285-2021; Osborn, Timothy/E-9740-2011; McClelland, James W/IWE-5143-2023; Trainer, Vera/AAE-9306-2022; Garzoli, Silvia L/A-3556-2010; Wang, Chunzai/C-9712-2009; Steinbrecht, Wolfgang/G-6113-2010; Di Giuseppe, Francesca/JPX-8933-2023; Jones, Philip Douglas/C-8718-2009; Azorin-Molina, Cesar/ABB-5381-2021; Fausto, Robert S./K-6185-2018; Azorin-Molina, Cesar/IZP-9544-2023; Miralles, Diego/K-8857-2013; Noetzli, Jeannette/ABA-4132-2020; Garzoli, Silvia/JCP-1471-2023; Muhle, Jens/GPX-3244-2022; Reagan/ABE-6875-2020; Isaksen, Ketil/C-6493-2011; McVicar, Tim R/D-8614-2011; Heidinger, Andrew/F-5591-2010; Diamond, Howard/ABC-9877-2021; Carter, Brendan/AAB-1327-2021; Schmidtko, Sunke/F-3355-2011; McCabe, Matthew F/G-5194-2011; Davis, Sean/C-9570-2011; Dunn, Robert/O-5910-2016; Minnis, Patrick/G-1902-2010; KIM, HYUNGJUN/I-5099-2014; Famiglietti, James/G-7383-2017; Zhao, Lin/M-9536-2018; Setzer, Alberto W/HCI-4388-2022; Maberly, Stephen C/J-3361-2012; van de wal, roderik/D-1705-2011; Drozdov, Dmitry S/N-4264-2018; Wong, Takmeng/AHD-3691-2022; McBride, Charlotte/GSI-4733-2022; Dong, Shenfu/I-4435-2013; Hamlington, Benjamin/R-4928-2019; Box, Jason E/AAE-1654-2019; Hu, Zeng-Zhen/B-4373-2011; Barichivich, Jonathan/A-2776-2010; Rajeevan, Madhavan Nair/ABG-8604-2021; Donat, Markus/J-8331-2012; Arndt, Derek S/J-3022-2013; Dorigo, Wouter A/C-7794-2014; HURST, DALE/AAC-9948-2022; Bernhard, Germar/AAZ-7169-2020; Franz, Bryan A/D-6284-2012; Menendez, Melisa/L-4600-2014; Garabato, Alberto Naveira/AAQ-1114-2020; Zhang, Peiqun/AAQ-5385-2020; Gutiérrez, José/GSJ-1846-2022; Knaff, John A./F-5599-2010; L'Heureux, Michelle L/C-7517-2013; Lantz, Kathleen/JDV-7677-2023; Wang, Muyin/K-4006-2014; Van Meerbeeck, Cedric JVC/D-1231-2010; Lin, I-I/J-4695-2013; Wong, Takmeng/AHD-3210-2022; Camargo, Suzana J./C-6106-2009; Merchant, Christopher J/E-1180-2014; Killick, Rachel/ISA-5992-2023; Swart, Sebastiaan/U-5498-2017; Bulygina, Olga/H-1251-2016; Mazloff, Matthew/AAG-6463-2019; wilber, anne/F-6270-2011; Klotzbach, Philip J/P-1911-2014; van der Werf, Guido/JXY-9197-2024; Hughes, Chris W/A-3791-2010; Loyola, Diego/GYO-3213-2022; Velicogna, Isabella/R-5561-2018; Rosenlof, Karen H/B-5652-2008; Wang, JunHong/HKE-0286-2023; Hurst, Dale/D-1554-2016; Sensoy, Serhat/AGI-2242-2022; Weyhenmeyer, Gesa/Y-6135-2019; Rintoul, Stephen R/A-1471-2012; Domingues, Catia M./A-2901-2015; Harris, Ian C/O-7772-2014; Lumpkin, Rick/C-9615-2009; Goni, Gustavo J/D-2017-2012; Feng, Zhe/E-1877-2015; montzka, stephen/V-6162-2019; Gutiérrez, José M./C-5754-2009; Vose, Russell/GSI-5687-2022; Alves, Lincoln M/G-8894-2015; Box, Jason/H-5770-2013; Mata, Mauricio/H-4605-2011; sweet, william/D-4310-2019; van der Werf, Guido/M-8260-2016; Rodell, Matthew/E-4946-2012; Hobbs, Will/G-5116-2014</t>
  </si>
  <si>
    <t>Dlugokencky, Edward/0000-0003-0612-6985; Wåhlin, Anna/0000-0003-1799-6476; Alfaro, Eric/0000-0001-9278-5017; Fioletov, Vitali/0000-0002-2731-5956; Wagner, Wolfgang/0000-0001-7704-6857; Folland, Chris K/0000-0002-3143-5918; Huffman, George J/0000-0003-3858-8308; Frith, Stacey/0000-0001-6894-0574; Clem, Kyle/0000-0002-1419-2758; Volkov, Denis/0000-0002-9290-0502; Espinoza, Jhan Carlo/0000-0001-7732-8504; Bazo, Juan/0000-0001-9204-5908; Dokulil, Martin/0000-0002-6369-1457; Dutton, Geoffrey Scott/0000-0001-7777-9268; Teubner, Katrin/0000-0002-3699-2043; Luojus, Kari/0000-0002-4066-6005; Selkirk, Henry B/0000-0001-9431-5385; Osborn, Timothy/0000-0001-8425-6799; Dolgov, Andrey Viktorovich/0000-0002-4806-3284; Luo, Jing-Jia/0000-0003-2181-0638; Ho, shu-peng/0000-0002-3010-8544; Durán-Quesada, Ana María/0000-0003-0913-0154; Yu, Lisan/0000-0003-4157-9154; Lakkala, Kaisa/0000-0003-2840-1132; Kaiser, Johannes W./0000-0003-3696-9123; Davis, Sean/0000-0001-9276-6158; Hendricks, Stefan/0000-0002-1412-3146; Gruber, Alexander/0000-0002-3280-7023; Grooß, Jens-Uwe/0000-0002-9485-866X; Wouters, Bert/0000-0002-1086-2435; Leuliette, Eric/0000-0002-3425-4039; Luo, Jing-Jia/0000-0003-2181-0638; Ialongo, Iolanda/0000-0002-1125-0756; Cooper, Owen/0000-0001-7391-1161; Johnson, Gregory C/0000-0002-8023-4020; Crotwell, Molly/0000-0001-8092-0285; Hussain, Zahid/0000-0003-4989-6496; Hanna, Edward/0000-0002-8683-182X; Mikhail, Tretiakov/0000-0003-3702-6362; Bettolli, Maria/0000-0001-7423-0544; Trachte, Katja/0000-0003-4269-9668; Thompson, Philip R/0000-0002-0875-4208; Hidalgo, Hugo G./0000-0003-4638-0742; McClelland, James W/0000-0001-9619-8194; Wang, Chunzai/0000-0002-7611-0308; Di Giuseppe, Francesca/0000-0001-9829-0429; Jones, Philip Douglas/0000-0001-5032-5493; Fausto, Robert S./0000-0003-1317-8185; Miralles, Diego/0000-0001-6186-5751; Noetzli, Jeannette/0000-0001-9188-6318; Muhle, Jens/0000-0001-9776-3642; Reagan/0000-0002-0021-6210; Isaksen, Ketil/0000-0003-2356-5330; McVicar, Tim R/0000-0002-0877-8285; Davis, Sean/0000-0001-9276-6158; Dunn, Robert/0000-0003-2469-5989; KIM, HYUNGJUN/0000-0003-1083-8416; Famiglietti, James/0000-0002-6053-5379; Zhao, Lin/0000-0003-0245-8413; Setzer, Alberto W/0000-0002-2466-7366; van de wal, roderik/0000-0003-2543-3892; McBride, Charlotte/0000-0001-9557-7520; Dong, Shenfu/0000-0001-8247-8072; Box, Jason E/0000-0003-0052-8705; Hu, Zeng-Zhen/0000-0002-8485-3400; Rajeevan, Madhavan Nair/0000-0002-3000-2459; Donat, Markus/0000-0002-0608-7288; Arndt, Derek S/0000-0001-7698-6740; HURST, DALE/0000-0002-6315-2322; Bernhard, Germar/0000-0002-1264-0756; Garabato, Alberto Naveira/0000-0001-6071-605X; Lantz, Kathleen/0000-0001-9515-160X; Wang, Muyin/0000-0001-5233-4588; Lin, I-I/0000-0002-8364-8106; Camargo, Suzana J./0000-0002-0802-5160; Merchant, Christopher J/0000-0003-4687-9850; Killick, Rachel/0000-0001-5335-4097; Mazloff, Matthew/0000-0002-1650-5850; Hughes, Chris W/0000-0002-9355-0233; Rosenlof, Karen H/0000-0002-0903-8270; Hurst, Dale/0000-0002-6315-2322; Sensoy, Serhat/0000-0002-6150-6035; Weyhenmeyer, Gesa/0000-0002-4013-2281; Rintoul, Stephen R/0000-0002-7055-9876; Domingues, Catia M./0000-0001-5100-4595; Lumpkin, Rick/0000-0002-6690-1704; Feng, Zhe/0000-0002-7540-9017; montzka, stephen/0000-0002-9396-0400; Box, Jason/0000-0003-0052-8705; Mata, Mauricio/0000-0002-9028-8284; sweet, william/0000-0002-0149-8336; van der Werf, Guido/0000-0001-9042-8630; Dolman, A.J./0000-0003-0099-0457; Malkova, Galina/0000-0003-1049-9792; Rodell, Matthew/0000-0003-0106-7437; Hobbs, Will/0000-0002-2061-0899; van As, Dirk/0000-0002-6553-8982</t>
  </si>
  <si>
    <t>0003-0007</t>
  </si>
  <si>
    <t>1520-0477</t>
  </si>
  <si>
    <t>B AM METEOROL SOC</t>
  </si>
  <si>
    <t>Bull. Amer. Meteorol. Soc.</t>
  </si>
  <si>
    <t>S275</t>
  </si>
  <si>
    <t>DU7YQ</t>
  </si>
  <si>
    <t>WOS:000382430900001</t>
  </si>
  <si>
    <t>Prabhu, A; Kripalani, RH; Preethi, B; Pandithurai, G</t>
  </si>
  <si>
    <t>Prabhu, Amita; Kripalani, R. H.; Preethi, B.; Pandithurai, G.</t>
  </si>
  <si>
    <t>Potential role of the February-March Southern Annular Mode on the Indian summer monsoon rainfall: a new perspective</t>
  </si>
  <si>
    <t>Southern Annular Mode; ENSO Modoki; Indian summer monsoon rainfall</t>
  </si>
  <si>
    <t>ANTARCTIC OSCILLATION; EL-NINO; EXTRATROPICAL CIRCULATION; ATMOSPHERIC CIRCULATION; ANOMALIES; PRECIPITATION; ENSO; VARIABILITY; OCEAN; TELECONNECTIONS</t>
  </si>
  <si>
    <t>Relationship between the Southern Annular Mode (SAM) and the India summer monsoon rainfall (ISMR) has been examined based on the data period 1949-2013. While the entire data period indicates a significant increasing trend in SAM, recent decades 19832013 indicate no trend. The relationship between the two strengthened considerably since 1983. Results reveal that the February-March SAM is significantly related with the subsequent ISMR. A positive (negative) SAM during February- March is favorable (unfavorable) for the ensuing summer monsoon rainfall over the Indian sub-continent. The delayed response is relayed through the central Pacific Ocean. We propose a hypothesis that states: when a negative (positive) phase of February-March SAM occurs, it gives rise to an anomalous meridional circulation in a longitudinally locked air-sea coupled system over the central Pacific that persists up to the subsequent boreal summer and propagates from the sub-polar latitudes to the equatorial latitudes inducing a warming (cooling) effect over the central equatorial Pacific region. In turn, this effect concomitantly weakens (strengthens) the monsoon rainfall over the Indian sub-continent. Thus, the February-March SAM could possibly serve as a new precursor to foreshadow the subsequent behavior of the Indian summer monsoon.</t>
  </si>
  <si>
    <t>[Prabhu, Amita; Kripalani, R. H.; Preethi, B.; Pandithurai, G.] Indian Inst Trop Meteorol, Dr Homi Bhaba Rd, Pune 411008, Maharashtra, India; [Kripalani, R. H.] Int CLIVAR Monsoon Project Off, Pune, Maharashtra, India</t>
  </si>
  <si>
    <t>Ministry of Earth Sciences (MoES) - India; Indian Institute of Tropical Meteorology (IITM)</t>
  </si>
  <si>
    <t>Prabhu, A (corresponding author), Indian Inst Trop Meteorol, Dr Homi Bhaba Rd, Pune 411008, Maharashtra, India.</t>
  </si>
  <si>
    <t>amitaprabhu@tropmet.res.in</t>
  </si>
  <si>
    <t>Prabhu, Amita/0000-0002-2474-6195</t>
  </si>
  <si>
    <t>Ministry of Earth Sciences, Govt. of India</t>
  </si>
  <si>
    <t>Indian Institute of Tropical Meteorology (IITM) is fully supported by Ministry of Earth Sciences, Govt. of India. The authors wish to acknowledge the support of M. Rajeevan, Director, for providing all the facilities at IITM. Authors are also grateful to NCEP-NCAR, NOAA and NASA for providing the atmospheric, ocean and precipitation datasets respectively. Figures are prepared using GrADS. The comments and suggestions of two anonymous reviewers are appreciated.</t>
  </si>
  <si>
    <t>10.1007/s00382-015-2894-5</t>
  </si>
  <si>
    <t>WOS:000382111300030</t>
  </si>
  <si>
    <t>Terauds, A; Lee, JR</t>
  </si>
  <si>
    <t>Terauds, Aleks; Lee, Jasmine R.</t>
  </si>
  <si>
    <t>Antarctic biogeography revisited: updating the Antarctic Conservation Biogeographic Regions</t>
  </si>
  <si>
    <t>DIVERSITY AND DISTRIBUTIONS</t>
  </si>
  <si>
    <t>Antarctic biodiversity; Antarctic Conservation Biogeographic Regions; biogeographical zones; conservation planning; multivariate analyses; spatial ecology</t>
  </si>
  <si>
    <t>LIFE</t>
  </si>
  <si>
    <t>The Antarctic Conservation Biogeographic Regions (ACBRs), originally proposed in 2012, are now established as an important tool in Antarctic science, conservation, management and policy. Here, we provide a revised version of the ACBRs, reflecting updates in underlying spatial layers, together with the results of new analyses justifying the inclusion of a 16th bioregion. This updated version now covers all ice-free areas of Antarctica and is publicly available through the Australian Antarctic Data Centre. In light of the interest in the ACBRs across a variety of research fields, we also provide a new set of summary statistics for the updated spatial layer, including landscape metrics, climate data, protected area coverage and an overview of human activity. The updated ACBRs represent a contemporary, practical and evidence-based foundation for understanding, conserving and managing Antarctic biodiversity at a continental scale.</t>
  </si>
  <si>
    <t>[Terauds, Aleks; Lee, Jasmine R.] Australian Antarctic Div, Dept Environm Antarctic Conservat &amp; Management, 203 Channel Highway, Kingston, Tas 7050, Australia; [Lee, Jasmine R.] Univ Queensland, Ctr Biodivers &amp; Conservat Sci, Brisbane, Qld 4072, Australia</t>
  </si>
  <si>
    <t>Australian Antarctic Division; University of Queensland</t>
  </si>
  <si>
    <t>Terauds, A (corresponding author), Australian Antarctic Div, Dept Environm, 203 Channel Highway, Kingston, Tas 7050, Australia.</t>
  </si>
  <si>
    <t>aleks.terauds@aad.gov.au</t>
  </si>
  <si>
    <t>Terauds, Aleks/A-4991-2010</t>
  </si>
  <si>
    <t>Terauds, Aleks/0000-0001-7804-6648; Lee, Jasmine/0000-0003-3847-1679</t>
  </si>
  <si>
    <t>1366-9516</t>
  </si>
  <si>
    <t>1472-4642</t>
  </si>
  <si>
    <t>DIVERS DISTRIB</t>
  </si>
  <si>
    <t>Divers. Distrib.</t>
  </si>
  <si>
    <t>10.1111/ddi.12453</t>
  </si>
  <si>
    <t>DR0RY</t>
  </si>
  <si>
    <t>WOS:000379615800001</t>
  </si>
  <si>
    <t>Steffen, W; Leinfelder, R; Zalasiewicz, J; Waters, CN; Williams, M; Summerhayes, C; Barnosky, AD; Cearreta, A; Crutzen, P; Edgeworth, M; Ellis, EC; Fairchild, IJ; Galuszka, A; Grinevald, J; Haywood, A; do Sul, JI; Jeandel, C; McNeill, JR; Odada, E; Oreskes, N; Revkin, A; Richter, DD; Syvitski, J; Vidas, D; Wagreich, M; Wing, SL; Wolfe, AP; Schellnhuber, HJ</t>
  </si>
  <si>
    <t>Steffen, Will; Leinfelder, Reinhold; Zalasiewicz, Jan; Waters, Colin N.; Williams, Mark; Summerhayes, Colin; Barnosky, Anthony D.; Cearreta, Alejandro; Crutzen, Paul; Edgeworth, Matt; Ellis, Erle C.; Fairchild, Ian J.; Galuszka, Agnieszka; Grinevald, Jacques; Haywood, Alan; do Sul, Juliana Ivar; Jeandel, Catherine; McNeill, J. R.; Odada, Eric; Oreskes, Naomi; Revkin, Andrew; Richter, Daniel de B.; Syvitski, James; Vidas, Davor; Wagreich, Michael; Wing, Scott L.; Wolfe, Alexander P.; Schellnhuber, H. J.</t>
  </si>
  <si>
    <t>Stratigraphic and Earth System approaches to defining the Anthropocene</t>
  </si>
  <si>
    <t>EARTHS FUTURE</t>
  </si>
  <si>
    <t>ATMOSPHERIC CARBON-DIOXIDE; EOCENE THERMAL MAXIMUM; ANTARCTIC ICE-SHEET; TIPPING ELEMENTS; REGIME SHIFTS; HUMAN IMPACT; SEA-LEVEL; CLIMATE; CO2; CYCLE</t>
  </si>
  <si>
    <t>Stratigraphy provides insights into the evolution and dynamics of the Earth System over its long history. With recent developments in Earth System science, changes in Earth System dynamics can now be observed directly and projected into the near future. An integration of the two approaches provides powerful insights into the nature and significance of contemporary changes to Earth. From both perspectives, the Earth has been pushed out of the Holocene Epoch by human activities, with the mid-20th century a strong candidate for the start date of the Anthropocene, the proposed new epoch in Earth history. Here we explore two contrasting scenarios for the future of the Anthropocene, recognizing that the Earth System has already undergone a substantial transition away from the Holocene state. A rapid shift of societies toward the UN Sustainable Development Goals could stabilize the Earth System in a state with more intense interglacial conditions than in the late Quaternary climate regime and with little further biospheric change. In contrast, a continuation of the present Anthropocene trajectory of growing human pressures will likely lead to biotic impoverishment and a much warmer climate with a significant loss of polar ice.</t>
  </si>
  <si>
    <t>[Steffen, Will] Australian Natl Univ, Fenner Sch Environm &amp; Soc, Acton, Australia; [Steffen, Will] Stockholm Univ, Stockholm Resilience Ctr, Stockholm, Sweden; [Leinfelder, Reinhold] Free Univ Berlin, Dept Geol Sci, Berlin, Germany; [Zalasiewicz, Jan; Williams, Mark] Univ Leicester, Dept Geol, Leicester, Leics, England; [Waters, Colin N.] British Geol Survey, Nottingham, England; [Summerhayes, Colin] Univ Cambridge, Scott Polar Res Inst, Cambridge, England; [Barnosky, Anthony D.] Stanford Univ, Jasper Ridge Biol Preserve, Stanford, CA 94305 USA; [Cearreta, Alejandro] Univ Basque Country, UPV EHU, Fac Ciencia &amp; Tecnol, Dept Estratig &amp; Paleontol, Bilbao, Spain; [Crutzen, Paul] Max Planck Inst Chem, Dept Atmospher Chem, Mainz, Germany; [Edgeworth, Matt] Univ Leicester, Sch Archaeol &amp; Ancient Hist, Leicester, Leics, England; [Ellis, Erle C.] Univ Maryland Baltimore Cty, Dept Geog &amp; Environm Syst, Baltimore, MD USA; [Fairchild, Ian J.] Univ Birmingham, Sch Geog Earth &amp; Environm Sci, Birmingham, W Midlands, England; [Galuszka, Agnieszka] Jan Kochanowski Univ, Inst Chem, Geochem &amp; Environm Div, Kielce, Poland; [Grinevald, Jacques] Inst Hautes Etud Int &amp; Dev, Geneva, Switzerland; [Haywood, Alan] Univ Leeds, Sch Earth &amp; Environm, Leeds, W Yorkshire, England; [do Sul, Juliana Ivar] Fed Univ Rio Grande, Inst Oceanog, Rio Grande, Brazil; [Jeandel, Catherine] CNRS, Ctr Natl Etud Spatiales, Inst Rech Dev, Lab Etud Geophys &amp; Oceanog Spatiales, Toulouse, France; [McNeill, J. R.] Georgetown Univ, Dept Hist, Washington, DC 20057 USA; [Odada, Eric] Univ Nairobi, Dept Geol, Nairobi, Kenya; [Oreskes, Naomi] Harvard Univ, Dept Hist Sci, Cambridge, MA 02138 USA; [Revkin, Andrew] Pace Univ, Dyson Coll Inst Sustainabil &amp; Environm, Pleasantville, NY USA; [Richter, Daniel de B.] Duke Univ, Nicholas Sch Environm, Durham, NC 27708 USA; [Syvitski, James] Univ Colorado, Dept Geol Sci, Boulder, CO 80309 USA; [Vidas, Davor] Fridtjof Nansen Inst Polhogda, Marine Affairs &amp; Law Sea Programme, Lysaker, Norway; [Wagreich, Michael] Univ Vienna, Dept Geodynam &amp; Sedimentol, Vienna, Austria; [Wing, Scott L.] Smithsonian Inst, Natl Museum Nat Hist, Dept Paleobiol, Washington, DC 20560 USA; [Wolfe, Alexander P.] Univ Alberta, Dept Biol Sci, Edmonton, AB, Canada; [Schellnhuber, H. J.] Potsdam Inst Climate Impact Res, Potsdam, Germany</t>
  </si>
  <si>
    <t>Australian National University; Stockholm University; Free University of Berlin; University of Leicester; UK Research &amp; Innovation (UKRI); Natural Environment Research Council (NERC); NERC British Geological Survey; University of Cambridge; Stanford University; University of Basque Country; Max Planck Society; University of Leicester; University System of Maryland; University of Maryland Baltimore County; University of Birmingham; Jan Kochanowski University; University of Leeds; Universidade Federal do Rio Grande; Universite de Toulouse; Universite Toulouse III - Paul Sabatier; Centre National de la Recherche Scientifique (CNRS); Institut de Recherche pour le Developpement (IRD); Laboratoire d'Etudes en Geophysique et oceanographie spatiales; Georgetown University; University of Nairobi; Harvard University; Pace University; Duke University; University of Colorado System; University of Colorado Boulder; University of Vienna; Smithsonian Institution; Smithsonian National Museum of Natural History; University of Alberta; Potsdam Institut fur Klimafolgenforschung</t>
  </si>
  <si>
    <t>Steffen, W (corresponding author), Australian Natl Univ, Fenner Sch Environm &amp; Soc, Acton, Australia.;Steffen, W (corresponding author), Stockholm Univ, Stockholm Resilience Ctr, Stockholm, Sweden.</t>
  </si>
  <si>
    <t>will.steffen@anu.edu.au</t>
  </si>
  <si>
    <t>Fairchild, Ian/A-6200-2013; Edgeworth, Matt/AAO-6116-2021; Cearreta, Alejandro/B-3008-2009; Schellnhuber, Hans Joachim/O-3873-2019; Richter, D.D./AAN-4583-2021; Wagreich, Michael/D-2279-2013; Ellis, Erle C./B-8264-2008; Gałuszka, Agnieszka/D-5434-2011; Wing, Scott L/IYJ-5681-2023; Vidas, Davor/AAV-2767-2020; Williams, Mark/B-7590-2009</t>
  </si>
  <si>
    <t>Fairchild, Ian/0000-0003-4822-2895; Edgeworth, Matt/0000-0002-9375-0753; Cearreta, Alejandro/0000-0003-0100-1454; Schellnhuber, Hans Joachim/0000-0001-7453-4935; Wagreich, Michael/0000-0002-8828-0857; Ellis, Erle C./0000-0002-2006-3362; Gałuszka, Agnieszka/0000-0002-2497-2627; Wing, Scott L/0000-0002-2954-8905; A. IVAR DO SUL, JULIANA/0000-0003-0851-3559; Williams, Mark/0000-0002-7987-6069; Vidas, Davor/0000-0001-8134-7425</t>
  </si>
  <si>
    <t>Natural Environment Research Council [bgs05001] Funding Source: researchfish; Directorate For Geosciences; Division Of Earth Sciences [1331846, 1226297] Funding Source: National Science Foundation; NERC [bgs05001] Funding Source: UKRI</t>
  </si>
  <si>
    <t>Natural Environment Research Council(UK Research &amp; Innovation (UKRI)Natural Environment Research Council (NERC)); Directorate For Geosciences; Division Of Earth Sciences(National Science Foundation (NSF)NSF - Directorate for Geosciences (GEO)); NERC(UK Research &amp; Innovation (UKRI)Natural Environment Research Council (NERC))</t>
  </si>
  <si>
    <t>2328-4277</t>
  </si>
  <si>
    <t>Earth Future</t>
  </si>
  <si>
    <t>10.1002/2016EF000379</t>
  </si>
  <si>
    <t>DX8GH</t>
  </si>
  <si>
    <t>WOS:000384625600001</t>
  </si>
  <si>
    <t>Horswill, C; Ratcliffe, N; Green, JA; Phillips, RA; Trathan, PN; Matthiopoulos, J</t>
  </si>
  <si>
    <t>Horswill, C.; Ratcliffe, N.; Green, J. A.; Phillips, R. A.; Trathan, P. N.; Matthiopoulos, J.</t>
  </si>
  <si>
    <t>Unravelling the relative roles of top-down and bottom-up forces driving population change in an oceanic predator</t>
  </si>
  <si>
    <t>ECOLOGY</t>
  </si>
  <si>
    <t>density dependence; El Nino Southern Oscillation; Macaroni Penguin (Eudyptes chrysolophus); Monte Carlo Markov chain; population model; predation; sea surface temperature; seabird; stochastic variable selection</t>
  </si>
  <si>
    <t>GIANT PETRELS MACRONECTES; ANTARCTIC FUR SEALS; SOUTH GEORGIA; INTERACTION STRENGTH; MACARONI PENGUINS; TROPHIC CASCADES; CLIMATE-CHANGE; MARION ISLAND; BIRD ISLAND; KRILL</t>
  </si>
  <si>
    <t>In the open ocean ecosystem, climate and anthropogenic changes have driven biological change at both ends of the food chain. Understanding how the population dynamics of pelagic predators are simultaneously influenced by nutrient-driven processes acting from the bottom-up and predator-driven processes acting from the top-down is therefore considered an urgent task. Using a state-space demographic model, we evaluated the population trajectory of an oceanic predator, the Macaroni Penguin (Eudyptes chrysolophus), and numerically assessed the relative importance of bottom-up and top-down drivers acting through different demographic rates. The population trajectory was considerably more sensitive to changes in top-down control of survival compared to bottom-up control of survival or productivity. This study integrates a unique set of demographic and covariate data and highlights the benefits of using a single estimation framework to examine the links between covariates, demographic rates and population dynamics.</t>
  </si>
  <si>
    <t>[Horswill, C.; Ratcliffe, N.; Phillips, R. A.; Trathan, P. N.] British Antarctic Survey, Cambridge CB3 0ET, England; [Horswill, C.; Matthiopoulos, J.] Univ Glasgow, Inst Biodivers Anim Hlth &amp; Comparat Med, Glasgow G12 8QQ, Lanark, Scotland; [Green, J. A.] Univ Liverpool, Sch Environm Sci, Liverpool L69 3GP, Merseyside, England; [Horswill, C.] The Nunnery, British Trust Ornithol, Thetford Norfolk IP24 2PU, England</t>
  </si>
  <si>
    <t>UK Research &amp; Innovation (UKRI); Natural Environment Research Council (NERC); NERC British Antarctic Survey; University of Glasgow; University of Liverpool; British Trust for Ornithology</t>
  </si>
  <si>
    <t>Horswill, C (corresponding author), British Antarctic Survey, Cambridge CB3 0ET, England.;Horswill, C (corresponding author), Univ Glasgow, Inst Biodivers Anim Hlth &amp; Comparat Med, Glasgow G12 8QQ, Lanark, Scotland.;Horswill, C (corresponding author), The Nunnery, British Trust Ornithol, Thetford Norfolk IP24 2PU, England.</t>
  </si>
  <si>
    <t>catrsw@gmail.com</t>
  </si>
  <si>
    <t>Matthiopoulos, Jason/N-9808-2013; Green, Jonathan A/B-8799-2011</t>
  </si>
  <si>
    <t>Matthiopoulos, Jason/0000-0003-3639-8172; Green, Jonathan A/0000-0001-8692-0163; Horswill, Cat/0000-0002-1795-0753</t>
  </si>
  <si>
    <t>NERC [NE/I52797/X]; Natural Environment Research Council [bas0100035] Funding Source: researchfish; NERC [bas0100035]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</si>
  <si>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</si>
  <si>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We would like to thank all members of the Bird Island science team from 1985 to 2012. Thanks also to Jaume Forcada for discussions on fur seal productivity, Mark Preston and Vsevolod Afanasyev for development of the gateway transponder reader system, and to Helen Peat and Andy Wood for data management. Thanks are also extended to Sarah Converse, Marc Kery, and Michael Schaub for discussions on model selection approaches, as well as three anonymous reviewers for helpful comments on an earlier version of this manuscript. This analysis was funded by a NERC PhD studentship grant number NE/I52797/X.</t>
  </si>
  <si>
    <t>0012-9658</t>
  </si>
  <si>
    <t>1939-9170</t>
  </si>
  <si>
    <t>10.1002/ecy.1452</t>
  </si>
  <si>
    <t>DS4KI</t>
  </si>
  <si>
    <t>WOS:000380749600004</t>
  </si>
  <si>
    <t>Peters, L; Humble, E; Kröcker, N; Fuchs, B; Forcada, J; Hoffman, JI</t>
  </si>
  <si>
    <t>Peters, Lucy; Humble, Emily; Kroecker, Nicole; Fuchs, Birgit; Forcada, Jaume; Hoffman, Joseph I.</t>
  </si>
  <si>
    <t>Born blonde: a recessive loss-of-function mutation in the melanocortin 1 receptor is associated with cream coat coloration in Antarctic fur seals</t>
  </si>
  <si>
    <t>Antarctic fur seal (Arctocephalus gazella); candidate gene; coat coloration; inbreeding; melanocortin 1 receptor</t>
  </si>
  <si>
    <t>SOUTHERN ELEPHANT SEAL; MICROSATELLITE LOCI; POPULATION-STRUCTURE; PROTEIN FAMILIES; NUCLEOTIDE POLYMORPHISMS; GENETIC DIFFERENTIATION; ARCTOCEPHALUS-GAZELLA; MSH RECEPTOR; PIGMENTATION; MC1R</t>
  </si>
  <si>
    <t>Although the genetic basis of color variation has been extensively studied in humans and domestic animals, the genetic polymorphisms responsible for different color morphs remain to be elucidated in many wild vertebrate species. For example, hypopigmentation has been observed in numerous marine mammal species but the underlying mutations have not been identified. A particularly compelling candidate gene for explaining color polymorphism is the melanocortin 1 receptor (MC1R), which plays a key role in the regulation of pigment production. We therefore used Antarctic fur seals (Arctocephalus gazella) as a highly tractable marine mammal system with which to test for an association between nucleotide variation at the MC1R and melanin-based coat color phenotypes. By sequencing 70 wild-type individuals with dark-colored coats and 26 hypopigmented individuals with cream-colored coats, we identified a nonsynonymous mutation that results in the substitution of serine with phenylalanine at an evolutionarily highly conserved structural domain. All of the hypopigmented individuals were homozygous for the allele coding for phenylalanine, consistent with a recessive loss-of-function allele. In order to test for cryptic population structure, which can generate artefactual associations, and to evaluate whether homozygosity at the MC1R could be indicative of low genome-wide heterozygosity, we also genotyped all of the individuals at 50 polymorphic microsatellite loci. We were unable to detect any population structure and also found that wild-type and hypopigmented individuals did not differ significantly in their standardized multilocus heterozygosity. Such a lack of association implies that hypopigmented individuals are unlikely to suffer disproportionately from inbreeding depression, and hence, we have no reason to believe that they are at a selective disadvantage in the wider population.</t>
  </si>
  <si>
    <t>[Peters, Lucy; Humble, Emily; Kroecker, Nicole; Fuchs, Birgit; Hoffman, Joseph I.] Univ Bielefeld, Dept Anim Behav, Postfach 100131, D-33501 Bielefeld, Germany; [Peters, Lucy] Univ Glasgow, Coll Med Vet &amp; Life Sci, Graham Kerr Bldg, Glasgow G12 8QQ, Lanark, Scotland; [Humble, Emily; Forcada, Jaume] British Antarctic Survey, Madingley Rd, Cambridge CB3 OET, England</t>
  </si>
  <si>
    <t>University of Bielefeld; University of Glasgow; UK Research &amp; Innovation (UKRI); Natural Environment Research Council (NERC); NERC British Antarctic Survey</t>
  </si>
  <si>
    <t>Hoffman, JI (corresponding author), Univ Bielefeld, Dept Anim Behav, Postfach 100131, D-33501 Bielefeld, Germany.</t>
  </si>
  <si>
    <t>joseph.hoffman@uni-bielefeld.de</t>
  </si>
  <si>
    <t>Forcada, Jaume/GYU-0677-2022; Hoffman, Joseph/K-7725-2012</t>
  </si>
  <si>
    <t>Hoffman, Joseph/0000-0001-5895-8949</t>
  </si>
  <si>
    <t>Deutsche Forschungsgemeinschaft [HO 5122/3-1]; European Community [PCIG-GA-2011-303618]; Natural Environment Research Council [bas0100035] Funding Source: researchfish; NERC [bas0100035] Funding Source: UKRI</t>
  </si>
  <si>
    <t>Deutsche Forschungsgemeinschaft(German Research Foundation (DFG)); European Community; Natural Environment Research Council(UK Research &amp; Innovation (UKRI)Natural Environment Research Council (NERC)); NERC(UK Research &amp; Innovation (UKRI)Natural Environment Research Council (NERC))</t>
  </si>
  <si>
    <t>Deutsche Forschungsgemeinschaft (Grant/Award Number: 'HO 5122/3-1') Marie Curie FP7-Reintegration grant, 7th European Community Framework Programme (Grant/Award Number: 'PCIG-GA-2011-303618')</t>
  </si>
  <si>
    <t>10.1002/ece3.2290</t>
  </si>
  <si>
    <t>DT6FF</t>
  </si>
  <si>
    <t>WOS:000381578400012</t>
  </si>
  <si>
    <t>Kim, HR</t>
  </si>
  <si>
    <t>Kim, Hyung Rae</t>
  </si>
  <si>
    <t>Spherical Slepian Harmonic Expression of the Crustal Magnetic Vector and Its Gradient Components</t>
  </si>
  <si>
    <t>ECONOMIC AND ENVIRONMENTAL GEOLOGY</t>
  </si>
  <si>
    <t>Korean</t>
  </si>
  <si>
    <t>global spherical harmonics; spherical Slepian harmonics; gradient; Swarm constellation; Antarctic</t>
  </si>
  <si>
    <t>SATELLITE; ANOMALIES; FIELDS; EARTHQUAKE</t>
  </si>
  <si>
    <t>I presented three vector crustal magnetic anomaly components and six gradients by using spherical Slepian functions over the cap area of 20 degrees of radius centered on the South Pole. The Swarm mission, launched by European Space Agency(ESA) in November of 2013, was planned to put three satellites into the low-Earth orbits, two in parallel in East-West direction and one in cross-over of the higher altitude. This orbit configuration will make the gradient measurements possible in North-South direction, vertical direction, as well as E-W direction. The gravity satellites, such as GRACE and GOCE, have already implemented their gradient measurements for recovering the accurate gravity of the Earth and its temporal variation due to mass changes on the subsurface. However, the magnetic gradients have little been applied since Swarm launched. A localized magnetic modeling method is useful in taking an account for a region where data availability was limited or of interest was special. In particular, computation to get the localized solutions is much more efficient and it has an advantage of presenting high frequency anomaly features with numbers of solutions fewer than the global ones. Besides, these localized basis functions that were done by a linear transformation of the spherical harmonic functions, are orthogonal so that they can be used for power spectrum analysis by transforming the global spherical harmonic coefficients. I anticipate in scientific and technical progress in the localized modeling with the gradient measurements from Swarm and here will do discussion on the results of the localized solution to represent the three vector and six gradient anomalies over the Antarctic area from the synthetic data derived from a global solution of the spherical harmonics for the crustal magnetic anomalies of Swarm measurements.</t>
  </si>
  <si>
    <t>[Kim, Hyung Rae] Kongju Nat Univ, Dept Geoenvron Sci, 182 Shinkwan Dong, Gongju 32588, South Korea</t>
  </si>
  <si>
    <t>Kongju National University</t>
  </si>
  <si>
    <t>Kim, HR (corresponding author), Kongju Nat Univ, Dept Geoenvron Sci, 182 Shinkwan Dong, Gongju 32588, South Korea.</t>
  </si>
  <si>
    <t>kimhr@kongju.ac.kr</t>
  </si>
  <si>
    <t>KOREA SOC ECONOMIC &amp; ENVIRONMENTAL GEOLOGY</t>
  </si>
  <si>
    <t>SEOUL</t>
  </si>
  <si>
    <t>YONSEI UNIV, 134 SINCHON-DONG, SEODAEMUN-GU, SEOUL, 120-749, SOUTH KOREA</t>
  </si>
  <si>
    <t>1225-7281</t>
  </si>
  <si>
    <t>2288-7962</t>
  </si>
  <si>
    <t>ECON ENVIRON GEOL</t>
  </si>
  <si>
    <t>Econ. Environ. Geol.</t>
  </si>
  <si>
    <t>10.9719/EEG.2016.49.4.269</t>
  </si>
  <si>
    <t>FH8VF</t>
  </si>
  <si>
    <t>WOS:000411480800002</t>
  </si>
  <si>
    <t>Power, ML; Samuel, A; Smith, JJ; Stark, JS; Gillings, MR; Gordon, DM</t>
  </si>
  <si>
    <t>Power, Michelle L.; Samuel, Angelingifta; Smith, James J.; Stark, Jonathon S.; Gillings, Michael R.; Gordon, David M.</t>
  </si>
  <si>
    <t>Escherichia coli out in the cold: Dissemination of human-derived bacteria into the Antarctic microbiome</t>
  </si>
  <si>
    <t>Sewage; ST95; ST131; Class 1 integron; Wildlife; Human impacts</t>
  </si>
  <si>
    <t>WASTE-WATER; ENTERIC BACTERIA; ANTIBIOTIC-RESISTANCE; CLASS-1 INTEGRONS; RESEARCH STATION; URINARY-TRACT; EVOLUTION; GENES; MICROORGANISMS; IDENTIFICATION</t>
  </si>
  <si>
    <t>Discharge of untreated sewage into Antarctic environments presents a risk of introducing non-native microorganisms, but until now, adverse consequences have not been conclusively identified. Here we show that sewage disposal introduces human derived Escherichia coli carrying mobile genetic elements and virulence traits with the potential to affect the diversity and evolution of native Antarctic microbial communities. We compared E. coli recovered from environmental and animal sources in Antarctica to a reference collection of E. coli from humans and non-Antarctic animals. The distribution of phylogenetic groups and frequency of 11 virulence factors amongst the Antarctic isolates were characteristic of E. coli strains more commonly associated with humans. The rapidly emerging E. coli ST131 and ST95 clones were found amongst the Antarctic isolates, and ST95 was the predominant E. coli recovered from Weddell seals. Class 1 integrons were found in 15% of the Antarctic E. coli with 4 of 5 identified gene cassette arrays containing antibiotic resistance genes matching those common in clinical contexts. Disposing untreated sewage into the Antarctic environment does disseminate non-native microorganisms, but the extent of this impact and implications for Antarctic ecosystem health are, as yet, poorly understood. (C) 2016 Elsevier Ltd. All rights reserved.</t>
  </si>
  <si>
    <t>[Power, Michelle L.; Gillings, Michael R.] Macquarie Univ, Fac Sci &amp; Engn, Biol Sci, N Ryde, NSW 2109, Australia; [Samuel, Angelingifta; Gordon, David M.] Australian Natl Univ, Res Sch Biol, Div Evolut Ecol &amp; Genet, 116 Daley Rd, Acton, ACT 2601, Australia; [Smith, James J.] Queensland Univ Technol, Fac Sci &amp; Engn, Sch Earth Environm &amp; Biol Sci, GPO Box 2434, Brisbane, Qld 4001, Australia; [Smith, James J.] JJSC Consulting Ltd, 16 Mullacor St, Ferny Grove, Qld 4055, Australia; [Stark, Jonathon S.] Australian Antarctic Div, Antarctic Conservat &amp; Management, 203 Channel Highway, Kingston, Tas 7050, Australia</t>
  </si>
  <si>
    <t>Macquarie University; Australian National University; Queensland University of Technology (QUT); Australian Antarctic Division</t>
  </si>
  <si>
    <t>Power, ML (corresponding author), Macquarie Univ, Fac Sci &amp; Engn, Biol Sci, N Ryde, NSW 2109, Australia.</t>
  </si>
  <si>
    <t>michelle.power@mq.edu.au; angelingifta.robinson@anu.edu.au; smithjj16@tpg.com.au; jonny.stark@aad.gov.au; david.gordon@anu.edu.au</t>
  </si>
  <si>
    <t>Gillings, Michael R/C-6553-2008; Gordon, David M/C-9298-2009; Gordon, David/N-1395-2019; Stark, Jonathan/ABF-4025-2020</t>
  </si>
  <si>
    <t>Gillings, Michael R/0000-0002-4043-4351; Gordon, David/0000-0002-2880-3003; Stark, Jonathan/0000-0002-4268-8072; Power, Michelle/0000-0003-3160-4301; Smith, James/0000-0001-9687-3022</t>
  </si>
  <si>
    <t>Australian Antarctic Science Scheme AAS [2936]</t>
  </si>
  <si>
    <t>Australian Antarctic Science Scheme AAS</t>
  </si>
  <si>
    <t>This research was funded through the Australian Antarctic Science Scheme AAS#2936.</t>
  </si>
  <si>
    <t>10.1016/j.envpol.2016.04.013</t>
  </si>
  <si>
    <t>DQ1KX</t>
  </si>
  <si>
    <t>WOS:000378961000007</t>
  </si>
  <si>
    <t>Chernonozhkin, SM; Goderis, S; Costas-Rodríguez, M; Claeys, P; Vanhaecke, F</t>
  </si>
  <si>
    <t>Chernonozhkin, Stepan M.; Goderis, Steven; Costas-Rodriguez, Marta; Claeys, Philippe; Vanhaecke, Frank</t>
  </si>
  <si>
    <t>Effect of parent body evolution on equilibrium and kinetic isotope fractionation: a combined Ni and Fe isotope study of iron and stony-iron meteorites</t>
  </si>
  <si>
    <t>Fe and Ni isotopic composition; Pallasites; Mesosiderites; Iron meteorites; Mass-dependent isotope fractionation; Core formation</t>
  </si>
  <si>
    <t>MAIN-GROUP PALLASITES; PLASMA-MASS SPECTROMETRY; EARLY SOLAR-SYSTEM; COOLING RATES; IIIAB IRONS; ICP-MS; CHEMICAL CLASSIFICATION; CHONDRULE FORMATION; PROTOSOLAR NEBULA; GE CONCENTRATIONS</t>
  </si>
  <si>
    <t>Various iron and stony-iron meteorites have been characterized for their Ni and Fe isotopic compositions using multi-collector inductively coupled plasma-mass spectrometry (MC-ICP-MS) after sample digestion and chromatographic separation of the target elements in an attempt to further constrain the planetary differentiation processes that shifted these isotope ratios and to shed light on the formational history and evolution of selected achondrite parent body asteroids. Emphasis was placed on spatially resolved isotopic analysis of iron meteorites, known to be inhomogeneous at the mu m to mm scale, and on the isotopic characterization of adjacent metal and silicate phases in main group pallasites (PMG), mesosiderites, and the IIE and IAB complex silicate-bearing iron meteorites. In a 3-isotope plot of Ni-60/58 versus Ni-62/58, the slope of the best-fitting straight line through the laterally resolved Ni isotope ratio data for iron meteorites reveals kinetically controlled isotope fractionation (beta(exper) = 1.981 +/- 0.039, 1 SD), predominantly resulting from sub-solidus diffusion (with the fractionation exponent beta connecting the isotope fractionation factors, as alpha(62/58) = alpha(beta)(60/58)). The observed relation between delta Fe-56/54 and Ir concentration in the metal fractions of PMGs and in IIIAB iron meteorites indicates a dependence of the bulk Fe isotopic composition on the fractional crystallization of an asteroidal metal core. No such fractional crystallization trends were found for the corresponding Ni isotope ratios or for other iron meteorite groups, such as the IIABs. In the case of the IIE and IAB silicate-bearing iron meteorites, the Fe and Ni isotopic signatures potentially reflect the influence of impact processes, as the degree of diffusion-controlled Ni isotope fractionation is closer to that of Fe compared to what is observed for magmatic iron meteorite types. Between the metal and olivine counterparts of pallasites, the Fe and Ni isotopic compositions show clearly resolvable differences, similar in magnitude but opposite in sign (Delta Fe-56/54(met-oliv) of +0.178 +/- 0.092% and Delta Ni-60/58(met-oliv) of -0.212 +/- 0.082%, 2SD). As such, the heavier Fe isotope ratios for the metal (delta Fe-56/54 = +0.023% to +0.247%) and lighter values for the corresponding olivines (delta Fe-56/54 = -0.155% to -0.075%) are interpreted to reflect later-stage Fe isotopic re-equilibration between these phases, rather than a pristine record of mantle-core differentiation. In the case of mesosiderites, the similarly lighter Ni and Fe isotopic signatures found for the silicate phase (-0.149% to + 0.023% for delta Ni-60/58, -0.214% to -0.149% for delta Fe-56/54) compared to the metal phase (+0.168% to +0.191% for delta Ni-60/58, +0.018% to +0.120% for delta Fe-56/54) likely result from Fe and Ni diffusion. Overall, the Fe and Ni isotopic compositions of iron-rich meteorites reflect multiple, often super-imposed, processes of equilibrium or kinetic nature, illustrating convoluted parent body histories and late-stage interaction between early-formed planetesimal reservoirs. (C) 2016 Elsevier Ltd. All rights reserved.</t>
  </si>
  <si>
    <t>[Chernonozhkin, Stepan M.; Goderis, Steven; Costas-Rodriguez, Marta; Vanhaecke, Frank] Univ Ghent, Dept Analyt Chem, Krijgslaan 281-S12, B-9000 Ghent, Belgium; [Chernonozhkin, Stepan M.; Goderis, Steven; Claeys, Philippe] Vrije Univ Brussel, Analyt Environm &amp; Geochem, Pl Laan 2, B-1050 Brussels, Belgium</t>
  </si>
  <si>
    <t>Ghent University; Vrije Universiteit Brussel</t>
  </si>
  <si>
    <t>Vanhaecke, F (corresponding author), Univ Ghent, Dept Analyt Chem, Krijgslaan 281-S12, B-9000 Ghent, Belgium.</t>
  </si>
  <si>
    <t>Frank.Vanhaecke@UGent.be</t>
  </si>
  <si>
    <t>Costas Rodriguez, Marta/K-3862-2012; Vanhaecke, Frank/AAO-4582-2020; (VUB), VRIJE UNIVERSITEIT BRUSSEL/B-4895-2008; Goderis, Steven/F-9908-2011</t>
  </si>
  <si>
    <t>Costas Rodriguez, Marta/0000-0002-8159-9961; Vanhaecke, Frank/0000-0002-1884-3853; (VUB), VRIJE UNIVERSITEIT BRUSSEL/0000-0002-4585-7687; Goderis, Steven/0000-0002-6666-7153; Chernonozhkin, Stepan/0000-0003-4521-0805</t>
  </si>
  <si>
    <t>Planet Topers, Interuniversity Attraction Poles Program; Hercules Foundation; NSF; NASA; BELSPO; Teledyne Cetac Technologies; Belgian Science Policy Office (BELSPO)</t>
  </si>
  <si>
    <t>Planet Topers, Interuniversity Attraction Poles Program; Hercules Foundation; NSF(National Science Foundation (NSF)); NASA(National Aeronautics &amp; Space Administration (NASA)); BELSPO(Belgian Federal Science Policy Office); Teledyne Cetac Technologies; Belgian Science Policy Office (BELSPO)(Belgian Federal Science Policy Office)</t>
  </si>
  <si>
    <t>This research project has been funded by the Planet Topers, Interuniversity Attraction Poles Program initiated by the Belgian Science Policy Office (BELSPO). Steven Goderis and Marta Costas Rodriguez are postdoctoral fellows of the Research Foundation Flanders (FWO). The support of the Hercules Foundation is acknowledged.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collection of iron meteorites from east Russia and northern Kazakhstan was kindly donated by Felix P. Lesnov (IGM SB RAS). The ordinary chondrites, provided by the RBINS, are part of the Antarctic meteorite collection that was recovered through the SAMBA project, also funded by BELSPO, in collaboration with the Japanese National Institute of Polar Research (NIRP). Frank Vanhaecke acknowledges Teledyne Cetac Technologies for financial support of his LA-ICP-MS research projects. Authors acknowledge the highly constructive comments supplied by two anonymous reviewers, Thomas Mueller (University of Leeds), and by editor Nicolas Dauphas (University of Chicago). Stef Vansteenberge and Christina Makarona (VUB) are kindly acknowledged for their technical help with the MicroMill and XRF units. The authors appreciate valuable discussions with Seann McKibbin and Lidia Pittarello (VUB).</t>
  </si>
  <si>
    <t>10.1016/j.gca.2016.04.050</t>
  </si>
  <si>
    <t>DP9SF</t>
  </si>
  <si>
    <t>WOS:000378836600011</t>
  </si>
  <si>
    <t>Kim, BH; Eom, J; Seo, KW; Wilson, CR</t>
  </si>
  <si>
    <t>Kim, Byeong-Hoon; Eom, Jooyoung; Seo, Ki-Weon; Wilson, Clark R.</t>
  </si>
  <si>
    <t>Spurious barometric pressure acceleration in Antarctica and propagation into GRACE Antarctic mass change estimates</t>
  </si>
  <si>
    <t>Satellite gravity; Time variable gravity</t>
  </si>
  <si>
    <t>ENSEMBLE PREDICTION SYSTEM; ICE-SHEET; ATMOSPHERIC MASS; REANALYSIS; GRAVIMETRY; ACCURACY</t>
  </si>
  <si>
    <t>Apparent acceleration in Gravity Recovery and Climate Experiment (GRACE) Antarctic ice mass time-series may reflect both ice discharge and surface mass balance contributions. However, a recent study suggests there is also contamination from errors in atmospheric pressure de-aliasing fields [European Center for Medium-Range Weather Forecast (ECMWF) operational products] used during GRACE data processing. To further examine this question, we compare GRACE atmospheric pressure de-aliasing (GAA) fields with in situ surface pressure data from coastal and inland stations. Differences between the two are likely due to GAA errors, and provide a measure of error in GRACE solutions. Time-series of differences at individual weather stations are fit to four presumed error components: annual sinusoids, a linear trend, an acceleration term and jumps at times of known ECMWF model changes. Using data from inland stations, we estimate that atmospheric pressure error causes an acceleration error of about +7.0 Gt yr(-2), which is large relative to prior GRACE estimates of Antarctic ice mass acceleration in the range of -12 to -14 Gt yr(-2). We also estimate apparent acceleration rates from other barometric pressure (reanalysis) fields, including ERA-Interim, MERRA and NCEP/DOE. When integrated over East Antarctica, the four mass acceleration estimates (from GAA and the three reanalysis fields) vary considerably (by similar to 2-16 Gt yr(-2)). This shows the need for further effort to improve atmospheric mass estimates in this region of sparse in situ observations, in order to use GRACE observations to measure ice mass acceleration and related sea level change.</t>
  </si>
  <si>
    <t>[Kim, Byeong-Hoon; Eom, Jooyoung; Seo, Ki-Weon] Seoul Natl Univ, Dept Earth Sci Educ, Seoul 151742, South Korea; [Wilson, Clark R.] Univ Texas Austin, Dept Geol Sci, Jackson Sch Geosci, Austin, TX 78712 USA; [Wilson, Clark R.] Univ Texas Austin, Ctr Space Res, Austin, TX 78759 USA; [Eom, Jooyoung] Korea Polar Res Inst, Dept Polar Geophys, Div Earth Syst Sci, Inchon 21990, South Korea</t>
  </si>
  <si>
    <t>Seoul National University (SNU); University of Texas System; University of Texas Austin; University of Texas System; University of Texas Austin; Korea Polar Research Institute (KOPRI)</t>
  </si>
  <si>
    <t>Seo, KW (corresponding author), Seoul Natl Univ, Dept Earth Sci Educ, Seoul 151742, South Korea.</t>
  </si>
  <si>
    <t>seokiweon@snu.ac.kr</t>
  </si>
  <si>
    <t>Seo, Ki-weon/AAH-7729-2021</t>
  </si>
  <si>
    <t>Seo, Ki-weon/0000-0001-5523-4996</t>
  </si>
  <si>
    <t>national research foundation [NRF-2013R1A1A2008368]; Korea Polar Research Institute (KOPRI) [PM15020]; Korea Meteorological Administration Research and Development Program [KMIPA2015-3030]; Brain Korea 21 Plus Project; US National Science Foundation OPP Program [ANT-1043750]</t>
  </si>
  <si>
    <t>national research foundation; Korea Polar Research Institute (KOPRI); Korea Meteorological Administration Research and Development Program(Korea Meteorological Administration (KMA)); Brain Korea 21 Plus Project; US National Science Foundation OPP Program(National Science Foundation (NSF))</t>
  </si>
  <si>
    <t>This work was supported by national research foundation grant NRF-2013R1A1A2008368, Korea Polar Research Institute (KOPRI) research grant PM15020, Korea Meteorological Administration Research and Development Program grant KMIPA2015-3030 and Brain Korea 21 Plus Project in 2016. CRW was supported by US National Science Foundation OPP Program (ANT-1043750).</t>
  </si>
  <si>
    <t>10.1093/gji/ggw211</t>
  </si>
  <si>
    <t>WOS:000379772500040</t>
  </si>
  <si>
    <t>Boyd, PW; Cornwall, CE; Davison, A; Doney, SC; Fourquez, M; Hurd, CL; Lima, ID; McMinn, A</t>
  </si>
  <si>
    <t>Boyd, Philip W.; Cornwall, Christopher E.; Davison, Andrew; Doney, Scott C.; Fourquez, Marion; Hurd, Catriona L.; Lima, Ivan D.; McMinn, Andrew</t>
  </si>
  <si>
    <t>Biological responses to environmental heterogeneity under future ocean conditions</t>
  </si>
  <si>
    <t>GLOBAL CHANGE BIOLOGY</t>
  </si>
  <si>
    <t>climate variability; emergence; marine life; ocean climate change; phenotypic plasticity</t>
  </si>
  <si>
    <t>LONG-TERM TRENDS; CLIMATE-CHANGE; PHENOTYPIC PLASTICITY; SOUTHERN-OCEAN; EVOLUTIONARY RESPONSES; THERMAL TOLERANCE; VARIABLE PH; PHYTOPLANKTON; VARIABILITY; ACIDIFICATION</t>
  </si>
  <si>
    <t>Organisms are projected to face unprecedented rates of change in future ocean conditions due to anthropogenic climate-change. At present, marine life encounters a wide range of environmental heterogeneity from natural fluctuations to mean climate change. Manipulation studies suggest that biota from more variable marine environments have more phenotypic plasticity to tolerate environmental heterogeneity. Here, we consider current strategies employed by a range of representative organisms across various habitats - from short-lived phytoplankton to long-lived corals - in response to environmental heterogeneity. We then discuss how, if and when organismal responses (acclimate/migrate/adapt) may be altered by shifts in the magnitude of the mean climate-change signal relative to that for natural fluctuations projected for coming decades. The findings from both novel climate-change modelling simulations and prior biological manipulation studies, in which natural fluctuations are superimposed on those of mean change, provide valuable insights into organismal responses to environmental heterogeneity. Manipulations reveal that different experimental outcomes are evident between climate-change treatments which include natural fluctuations vs. those which do not. Modelling simulations project that the magnitude of climate variability, along with mean climate change, will increase in coming decades, and hence environmental heterogeneity will increase, illustrating the need for more realistic biological manipulation experiments that include natural fluctuations. However, simulations also strongly suggest that the timescales over which the mean climate-change signature will become dominant, relative to natural fluctuations, will vary for individual properties, being most rapid for CO2 (-10years from present day) to 4 decades for nutrients. We conclude that the strategies used by biota to respond to shifts in environmental heterogeneity may be complex, as they will have to physiologically straddle wide-ranging timescales in the alteration of ocean conditions, including the need to adapt to rapidly rising CO2 and also acclimate to environmental heterogeneity in more slowly changing properties such as warming.</t>
  </si>
  <si>
    <t>[Boyd, Philip W.; Cornwall, Christopher E.; Fourquez, Marion; Hurd, Catriona L.; McMinn, Andrew] Univ Tasmania, Inst Marine &amp; Antarctic Studies, Private Bag 129, Hobart, Tas 7001, Australia; [Boyd, Philip W.; Fourquez, Marion; McMinn, Andrew] UTAS, ACE CRC Antarctic Climate &amp; Ecosyst CRC, Private Bag 80, Hobart, Tas 7001, Australia; [Davison, Andrew] Australian Antarctic Div, Kingston, Tas 7050, Australia; [Doney, Scott C.; Lima, Ivan D.] Woods Hole Oceanog Inst, Marine Chem &amp; Geochem, Woods Hole, MA 02543 USA; [Cornwall, Christopher E.] Univ Western Australia, Sch Earth &amp; Environm, 35 Stirling Highway, Crawley, WA 6009, Australia; [Cornwall, Christopher E.] Univ Western Australia, ARC Ctr Excellence Coral Reef Studies, 35 Stirling Highway, Crawley, WA 6009, Australia</t>
  </si>
  <si>
    <t>University of Tasmania; University of Tasmania; Australian Antarctic Division; Woods Hole Oceanographic Institution; University of Western Australia; University of Western Australia</t>
  </si>
  <si>
    <t>Boyd, PW (corresponding author), Univ Tasmania, Inst Marine &amp; Antarctic Studies, Private Bag 129, Hobart, Tas 7001, Australia.;Boyd, PW (corresponding author), UTAS, ACE CRC Antarctic Climate &amp; Ecosyst CRC, Private Bag 80, Hobart, Tas 7001, Australia.</t>
  </si>
  <si>
    <t>philip.boyd@utas.edu.au</t>
  </si>
  <si>
    <t>Cornwall, Christopher Edward/J-3982-2012; Doney, Scott/F-9247-2010; McMinn, Andrew/A-9910-2008; Hurd, Catriona/J-2411-2013; Lima, Ivan/A-6823-2016; Boyd, Philip/J-7624-2014</t>
  </si>
  <si>
    <t>Cornwall, Christopher Edward/0000-0002-6154-4082; Doney, Scott/0000-0002-3683-2437; Fourquez, Marion/0000-0001-5395-4877; Hurd, Catriona/0000-0001-9965-4917; Lima, Ivan/0000-0001-5345-0652; Boyd, Philip/0000-0001-7850-1911</t>
  </si>
  <si>
    <t>IMAS/UTAS; National Science Foundation Polar Programs [PLR-1440435]; Office of Polar Programs (OPP); Directorate For Geosciences [1440435] Funding Source: National Science Foundation</t>
  </si>
  <si>
    <t>IMAS/UTAS; National Science Foundation Polar Programs; Office of Polar Programs (OPP); Directorate For Geosciences(National Science Foundation (NSF)NSF - Directorate for Geosciences (GEO))</t>
  </si>
  <si>
    <t>P.W.B., C.C. and C.L.H. were supported by IMAS/UTAS funding. S.C.D. acknowledges the Palmer Long Term Ecological Research (LTER) Project supported by the National Science Foundation Polar Programs (PLR-1440435).</t>
  </si>
  <si>
    <t>1354-1013</t>
  </si>
  <si>
    <t>1365-2486</t>
  </si>
  <si>
    <t>GLOBAL CHANGE BIOL</t>
  </si>
  <si>
    <t>Glob. Change Biol.</t>
  </si>
  <si>
    <t>10.1111/gcb.13287</t>
  </si>
  <si>
    <t>DR6MU</t>
  </si>
  <si>
    <t>WOS:000380016800001</t>
  </si>
  <si>
    <t>Loose, B; Jenkins, WJ; Moriarty, R; Brown, P; Jullion, L; Garabato, ACN; Torres Valdes, S; Hoppema, M; Ballentine, C; Meredith, MP</t>
  </si>
  <si>
    <t>Loose, Brice; Jenkins, William J.; Moriarty, Roisin; Brown, Peter; Jullion, Loic; Garabato, Alberto C. Naveira; Torres Valdes, Sinhue; Hoppema, Mario; Ballentine, Chris; Meredith, Michael P.</t>
  </si>
  <si>
    <t>Estimating the recharge properties of the deep ocean using noble gases and helium isotopes</t>
  </si>
  <si>
    <t>SEA-ICE; SOUTHERN-OCEAN; OVERTURNING CIRCULATION; WATER MASSES; EXCHANGE; TRACERS; SOLUBILITY; MODEL; NEON; RENEWAL</t>
  </si>
  <si>
    <t>The distribution of noble gases and helium isotopes in the dense shelf waters of Antarctica reflects the boundary conditions near the ocean surface: air-sea exchange, sea ice formation, and subsurface ice melt. We use a nonlinear least squares solution to determine the value of the recharge temperature and salinity, as well as the excess air injection and glacial meltwater content throughout the water column and in the precursor to Antarctic Bottom Water. The noble gas-derived recharge temperature and salinity in the Weddell Gyre are -1.95 degrees C and 34.95 psu near 5500 m; these cold, salty recharge values are a result of surface cooling as well as brine rejection during sea ice formation in Antarctic polynyas. In comparison, the global value for deep water recharge temperature is -0.44 degrees C at 5500 m, which is 1.5 degrees C warmer than the southern hemisphere deep water recharge temperature, reflecting a distinct contribution from the north Atlantic. The contrast between northern and southern hemisphere recharge properties highlights the impact of sea ice formation on setting the gas properties in southern sourced deep water. Below 1000 m, glacial meltwater averages 3.5 parts per thousand by volume and represents greater than 50% of the excess neon and argon found in the water column. These results indicate glacial melt has a nonnegligible impact on the atmospheric gas content of Antarctic Bottom Water.</t>
  </si>
  <si>
    <t>[Loose, Brice] Univ Rhode Isl, Grad Sch Oceanog, Narragansett, RI 02882 USA; [Jenkins, William J.] Woods Hole Oceanog Inst, Marine Chem &amp; Geochem, Woods Hole, MA 02543 USA; [Moriarty, Roisin] Univ East Anglia, Norwich, Norfolk, England; [Brown, Peter; Torres Valdes, Sinhue] Natl Oceanog Ctr, Southampton, Hants, England; [Jullion, Loic] Aix Marseille Univ, Inst Mediterran Oceanog, Marseille, France; [Garabato, Alberto C. Naveira] Univ Southampton, Natl Oceanog Ctr, Southampton, Hants, England; [Hoppema, Mario] Helmholtz Ctr Polar &amp; Marine Res, Alfred Wegener Inst, Climate Sci, Bremerhaven, Germany; [Ballentine, Chris] Univ Oxford, Dept Earth Sci, Oxford, England; [Meredith, Michael P.] British Antarctic Survey, Cambridge, England</t>
  </si>
  <si>
    <t>University of Rhode Island; Woods Hole Oceanographic Institution; University of East Anglia; NERC National Oceanography Centre; Aix-Marseille Universite; University of Southampton; NERC National Oceanography Centre; Helmholtz Association; Alfred Wegener Institute, Helmholtz Centre for Polar &amp; Marine Research; University of Oxford; UK Research &amp; Innovation (UKRI); Natural Environment Research Council (NERC); NERC British Antarctic Survey</t>
  </si>
  <si>
    <t>Loose, B (corresponding author), Univ Rhode Isl, Grad Sch Oceanog, Narragansett, RI 02882 USA.</t>
  </si>
  <si>
    <t>bloose@uri.edu</t>
  </si>
  <si>
    <t>Torres-Valdés, Sinhué/O-6436-2019; Brown, Peter/AAN-4372-2020; Torres Valdés, Sinhué/A-1435-2013; Moriarty, Róisín/AFR-8291-2022; Garabato, Alberto Naveira/AAQ-1114-2020; Jullion, Loic/B-3304-2011; Hoppema, Mario/I-6286-2013</t>
  </si>
  <si>
    <t>Torres-Valdés, Sinhué/0000-0003-2749-4170; Brown, Peter/0000-0002-1152-1114; Torres Valdés, Sinhué/0000-0003-2749-4170; Moriarty, Róisín/0000-0003-1993-1756; Garabato, Alberto Naveira/0000-0001-6071-605X; Ballentine, Chris/0000-0001-9382-070X; Jullion, Loic/0000-0001-6269-6750; Meredith, Michael/0000-0002-7342-7756; Hoppema, Mario/0000-0002-2326-619X</t>
  </si>
  <si>
    <t>National Science Foundation [OCE-0825394]; NERC [noc010009, bas0100033, NE/E013341/1, NE/H003711/1, NE/N018095/1, NE/E013538/1, NE/E01366X/1] Funding Source: UKRI; Natural Environment Research Council [NE/E01366X/1, NE/E013341/1, noc010009, NE/E013538/1, noc010012, NE/H003711/1, bas0100033] Funding Source: researchfish</t>
  </si>
  <si>
    <t>National Science Foundation(National Science Foundation (NSF)); NERC(UK Research &amp; Innovation (UKRI)Natural Environment Research Council (NERC)); Natural Environment Research Council(UK Research &amp; Innovation (UKRI)Natural Environment Research Council (NERC))</t>
  </si>
  <si>
    <t>We are grateful to the National Science Foundation (OCE-0825394) for support of this research, and to D.C.E. Bakker who provided critical assistance during the JR239 cruise. We also thank Dempsey E. Lott III for laboratory support. We appreciate the insightful comments and suggestions of W. Aeschbach-Hertig and one anonymous reviewer. ANDREX program cruise data including discrete noble gas and helium isotope samples are available upon request from the British Oceanographic Data Centre, http://www.bodc.ac.uk/projects/uk/andrex/.</t>
  </si>
  <si>
    <t>10.1002/2016JC011809</t>
  </si>
  <si>
    <t>WOS:000386912700034</t>
  </si>
  <si>
    <t>Gallaher, SG; Stanton, TP; Shaw, WJ; Cole, ST; Toole, JM; Wilkinson, JP; Maksym, T; Hwang, B</t>
  </si>
  <si>
    <t>Gallaher, Shawn G.; Stanton, Timothy P.; Shaw, William J.; Cole, Sylvia T.; Toole, John M.; Wilkinson, Jeremy P.; Maksym, Ted; Hwang, Byongjun</t>
  </si>
  <si>
    <t>Evolution of a Canada Basin ice-ocean boundary layer and mixed layer across a developing thermodynamically forced marginal ice zone</t>
  </si>
  <si>
    <t>ARCTIC SEA-ICE; HEAT; VARIABILITY; TRANSPORT; IMPACT; ALBEDO; FLUX</t>
  </si>
  <si>
    <t>A comprehensive set of autonomous, ice-ocean measurements were collected across the Canada Basin to study the summer evolution of the ice-ocean boundary layer (IOBL) and ocean mixed layer (OML). Evaluation of local heat and freshwater balances and associated turbulent forcing reveals that melt ponds (MPs) strongly influence the summer IOBL-OML evolution. Areal expansion of MPs in mid-June start the upper ocean evolution resulting in significant increases to ocean absorbed radiative flux (19 W m(-2) in this study). Buoyancy provided by MP drainage shoals and freshens the IOBL resulting in a 39 MJ m(-2) increase in heat storage in just 19 days (52% of the summer total). Following MP drainage, a near-surface fresh layer deepens through shear-forced mixing to form the summer mixed layer (sML). In late summer, basal melt increases due to stronger turbulent mixing in the thin sML and the expansion of open water areas due in part to wind-forced divergence of the sea ice. Thermal heterogeneities in the marginal ice zone (MIZ) upper ocean led to large ocean-to-ice heat fluxes (100-200 W m(-2)) and enhanced basal ice melt (36 cm d(-1)), well away from the ice edge. Calculation of the upper ocean heat budget shows that local radiative heat input accounted for at least 89% of the observed latent heat losses and heat storage (partitioned 0.77/0.23). These results suggest that the extensive area of deteriorating sea ice observed away from the ice edge during the 2014 season, termed the thermodynamically forced MIZ, was driven primarily by local shortwave radiative forcing.</t>
  </si>
  <si>
    <t>[Gallaher, Shawn G.; Stanton, Timothy P.; Shaw, William J.] Naval Postgrad Sch, Monterey, CA 93943 USA; [Cole, Sylvia T.; Toole, John M.; Maksym, Ted] Woods Hole Oceanog Inst, Woods Hole, MA 02543 USA; [Wilkinson, Jeremy P.] British Antarctic Survey, Cambridge, England; [Hwang, Byongjun] Scottish Assoc Marine Sci, Oban, Argyll, Scotland</t>
  </si>
  <si>
    <t>United States Department of Defense; United States Navy; Naval Postgraduate School; Woods Hole Oceanographic Institution; UK Research &amp; Innovation (UKRI); Natural Environment Research Council (NERC); NERC British Antarctic Survey; UHI Millennium Institute</t>
  </si>
  <si>
    <t>Gallaher, SG (corresponding author), Naval Postgrad Sch, Monterey, CA 93943 USA.</t>
  </si>
  <si>
    <t>sggallah1@nps.edu</t>
  </si>
  <si>
    <t>Cole, Sylvia/K-6388-2013</t>
  </si>
  <si>
    <t>Cole, Sylvia/0000-0001-6579-142X; Toole, John/0000-0003-2905-0637; Hwang, Byongjun/0000-0003-4579-2040</t>
  </si>
  <si>
    <t>U.S. Office of Naval Research [N0001414WX20089, N0001415WX01195, N00014-12-1-0140]; Office of Polar Programs (OPP); Directorate For Geosciences [1560908] Funding Source: National Science Foundation; Natural Environment Research Council [NE/M00600X/1, NE/L012707/1, bas0100032] Funding Source: researchfish; NERC [bas0100032, NE/L012707/1, NE/M00600X/1] Funding Source: UKRI</t>
  </si>
  <si>
    <t>U.S. Office of Naval Research(Office of Naval Research);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</si>
  <si>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We would like to thank the three anonymous reviewers whose comments and suggestions substantially improved the quality of this paper. This material is based upon research supported by, or in part by, the U.S. Office of Naval Research under award numbers N0001414WX20089, N0001415WX01195, and N00014-12-1-0140. Jim Stockel contributed extensively to the software development, assembly, and data processing of the AOFB sensor suite. We would also like to thank the MIZ DRI team for their assistance in deploying the AOFB sensors during the 2014 field program. The MIZ experiment data were consolidated and made available by the University of Washington Applied Physics Lab (APL) on their collaboratory site (http://www.apl.washington.edu/project/project.php?id=miz). IMB 2014C data were provided courtesy of Cold Regions Research and Engineering Laboratory (CRREL) (http://imb.crrel.usace.army.mil/). Declassified electro-optical imagery was made available by the U.S. intelligence community with assistance from Rob Graydon of Scitor Corporation and is hosted on the U.S. Geological Survey Global Fiducials Library Data Access Portal (http://gfl.usgs.gov/gallery_main.shtml?current=4). SAR imagery was provided by the Center for Southeastern Tropical Advanced Remote Sensing (CSTARS) and is available on the APL-MIZ remote sensing webpage (http://www.apl.washington.edu/project/project.php?id=miz). CFSR data were provided courtesy of NOAA's Environmental Modeling Center at the National Centers for Environmental Prediction (http://rda.ucar.edu/datasets/ds094.0/).</t>
  </si>
  <si>
    <t>10.1002/2016JC011778</t>
  </si>
  <si>
    <t>hybrid, Green Accepted, Green Submitted</t>
  </si>
  <si>
    <t>WOS:000386912700049</t>
  </si>
  <si>
    <t>Pasquier, B; Holzer, M</t>
  </si>
  <si>
    <t>Pasquier, Benoit; Holzer, Mark</t>
  </si>
  <si>
    <t>The plumbing of the global biological pump: Efficiency control through leaks, pathways, and time scales</t>
  </si>
  <si>
    <t>OXYGEN UTILIZATION RATES; ATMOSPHERIC CO2; THERMOHALINE CIRCULATION; SULFUR-HEXAFLUORIDE; PACIFIC-OCEAN; DISTRIBUTIONS; TRANSPORT; CHLOROFLUOROCARBONS; PHOSPHORUS; LIMITATION</t>
  </si>
  <si>
    <t>We systematically quantify the pathways and time scales that set the efficiency, E-bio, of the global biological pump by applying Green-function-based diagnostics to a data-assimilated phosphorus cycle embedded in a jointly assimilated ocean circulation. We consider bio pipes that consist of phosphorus paths that connect specified regions of last biological utilization with regions where regenerated phosphate first reemerges into the euphotic zone. The bio pipes that contribute most to E-bio connect the Eastern Equatorial Pacific (EEqP) and Equatorial Atlantic to the Southern Ocean ((21+/-3)% of E-bio), as well as the Southern Ocean to itself ((15+/-3)% of E-bio). The bio pipes with the largest phosphorus flow rates connect the EEqP to itself and the subantarctic Southern Ocean to itself. The global mean sequestration time of the biological pump is 130+/-70 years, while the sequestration time of the bio pipe from anywhere to the Antarctic region of the Southern Ocean is 430+/-30 years. The distribution of phosphorus flowing within a given bio pipe is quantified by its transit-time partitioned path density. For the largest bio pipes, similar to 1/7 of their phosphorus is carried by thermocline paths with transit times less than similar to 300-400 years, while similar to 4/7 of their phosphorus is carried by abyssal paths with transit times exceeding similar to 700 years. The path density reveals that Antarctic Intermediate Water carries about a third of the regenerated phosphate last utilized in the EEqP that is destined for the Southern Ocean euphotic zone. The Southern Ocean is where (62+/-2)% of the regenerated inventory and (69+/-1)% of the preformed inventory first reemerge into the euphotic zone.</t>
  </si>
  <si>
    <t>[Pasquier, Benoit; Holzer, Mark] Univ New South Wales, Sch Math &amp; Stat, Dept Appl Math, Sydney, NSW, Australia; [Holzer, Mark] Columbia Univ, Dept Appl Phys &amp; Appl Math, New York, NY USA</t>
  </si>
  <si>
    <t>University of New South Wales Sydney; Columbia University</t>
  </si>
  <si>
    <t>Pasquier, B (corresponding author), Univ New South Wales, Sch Math &amp; Stat, Dept Appl Math, Sydney, NSW, Australia.</t>
  </si>
  <si>
    <t>b.pasquier@student.unsw.edu.au</t>
  </si>
  <si>
    <t>; Holzer, Mark/E-8735-2011</t>
  </si>
  <si>
    <t>Pasquier, Benoit/0000-0002-3838-5976; Holzer, Mark/0000-0002-9568-1763</t>
  </si>
  <si>
    <t>Australian Research Council [DP120100674]; Government of Monaco; Scientific Centre of Monaco; Freres Louis et Max Principale Foundation; Cuomo Foundation</t>
  </si>
  <si>
    <t>Australian Research Council(Australian Research Council); Government of Monaco; Scientific Centre of Monaco; Freres Louis et Max Principale Foundation; Cuomo Foundation</t>
  </si>
  <si>
    <t>We thank Francois Primeau for making the data-assimilated circulation and phosphorus cycle available to us. The data used to constrain the phosphorus cycling model are available from the World Ocean Atlas 09 (https://www.nodc.noaa.gov/OC5/WOA09/woa09-data.html). We thank Andreas Oschlies and Jonathan Lauderdale for reviews that led to an improved manuscript. This work was supported by grant DP120100674 from the Australian Research Council (M.H.). B.P. gratefully acknowledges scholarship support from the Government of Monaco, the Scientific Centre of Monaco, the Freres Louis et Max Principale Foundation, and the Cuomo Foundation.</t>
  </si>
  <si>
    <t>10.1002/2016JC011821</t>
  </si>
  <si>
    <t>WOS:000386912700057</t>
  </si>
  <si>
    <t>Nemec, F; Hospodarsky, G; Pickett, JS; Santolk, O; Kurth, WS; Kletzing, C</t>
  </si>
  <si>
    <t>Nemec, F.; Hospodarsky, G.; Pickett, J. S.; Santolk, O.; Kurth, W. S.; Kletzing, C.</t>
  </si>
  <si>
    <t>Conjugate observations of quasiperiodic emissions by the Cluster, Van Allen Probes, and THEMIS spacecraft</t>
  </si>
  <si>
    <t>ELF-VLF EMISSIONS; ELF/VLF WAVE EMISSIONS; FIELD LINE RESONANCES; MAGNETIC PULSATIONS; SATELLITE-OBSERVATIONS; DEMETER SPACECRAFT; ANTARCTIC STATIONS; CYCLOTRON MASER; MAGNETOSPHERE; MODEL</t>
  </si>
  <si>
    <t>We present results of a detailed analysis of two electromagnetic wave events observed in the inner magnetosphere at frequencies of a few kilohertz, which exhibit a quasiperiodic (QP) time modulation of the wave intensity. The events were observed by the Cluster and Van Allen Probes spacecraft and in one event also by the THEMIS E spacecraft. The spacecraft were significantly separated in magnetic local time, demonstrating a huge azimuthal extent of the events. Geomagnetic conditions at the times of the observations were very quiet, and the events occurred inside the plasmasphere. The modulation period observed by the Van Allen Probes and THEMIS E spacecraft (duskside) was in both events about twice larger than the modulation period observed by the Cluster spacecraft (dawnside). Moreover, individual QP elements occur about 15 s earlier on THEMIS E than on Van Allen Probes, which might be related to a finite propagation speed of a modulating ULF wave.</t>
  </si>
  <si>
    <t>[Nemec, F.; Santolk, O.] Charles Univ Prague, Fac Math &amp; Phys, Prague, Czech Republic; [Hospodarsky, G.; Pickett, J. S.; Kurth, W. S.; Kletzing, C.] Univ Iowa, Dept Phys &amp; Astron, Iowa City, IA 52242 USA; [Santolk, O.] Czech Acad Sci, Inst Atmospher Phys, Prague, Czech Republic</t>
  </si>
  <si>
    <t>Charles University Prague; University of Iowa; Czech Academy of Sciences; Institute of Atmospheric Physics of the Czech Academy of Sciences</t>
  </si>
  <si>
    <t>Hospodarsky, George B/A-7996-2015; Kurth, William/AAA-7334-2019; Nemec, Frantisek/H-7027-2013; Santolik, Ondrej/F-7766-2014</t>
  </si>
  <si>
    <t>Kurth, William/0000-0002-5471-6202; Nemec, Frantisek/0000-0002-3233-2718; Santolik, Ondrej/0000-0002-4891-9273</t>
  </si>
  <si>
    <t>JHU/APL under NASA [921647, NAS5-01072]; Canadian Space Agency; GACR [15-01775Y]; MSMT [LH 14010, 15304]; Praemium Academiae award from CAS; NASA [NNX14AB10G]; NASA [NNX14AB10G, 686949] Funding Source: Federal RePORTER</t>
  </si>
  <si>
    <t>JHU/APL under NASA; Canadian Space Agency(Canadian Space Agency); GACR(Grant Agency of the Czech Republic); MSMT(Ministry of Education, Youth &amp; Sports - Czech Republic); Praemium Academiae award from CAS; NASA(National Aeronautics &amp; Space Administration (NASA)); NASA(National Aeronautics &amp; Space Administration (NASA))</t>
  </si>
  <si>
    <t>We would like to thank M. Balikhin for initiating and organizing the Cluster close separation campaign and N. Cornilleau-Wehrlin and other colleagues for supporting this campaign. A part of the Cluster WBD data set for this study has been received at the Panska Ves Observatory of the Institute of Atmospheric Physics CAS, and we would like to thank its personnel. The Cluster WBD data used in this study can be downloaded from http://www-pw.physics.uiowa.edu/cluster, and we acknowledge all the involved personnel at the University of Iowa. The research at the University of Iowa was supported by JHU/APL contract 921647 under NASA Prime contract NAS5-01072. Density data measured by the WHISPER instruments on board the Cluster spacecraft are accessible from the Cluster Science Archive (http://www.cosmos.esa.int/web/csa/access), and we would like to thank all the involved personnel. Van Allen Probes data used in this paper can be found in the EMFISIS archive (http://emfisis.physics.uiowa.edu/data/index). THEMIS data used in this paper are accessible from the CDAWEB (http://cdaweb.gsfc.nasa.gov), and we would like to acknowledge all the involved personnel. CARISMA magnetometer data can be downloaded from http://www.carisma.ca. The authors thank I. R. Mann, D. K. Milling, and the rest of the CARISMA team for data. CARISMA is operated by the University of Alberta and funded by the Canadian Space Agency. IMAGE magnetometer data can be downloaded from http://www.ava.fmi.fi/image. We thank the institutes who maintain the IMAGE Magnetometer Array. The work of F.N. was supported by GACR grant 15-01775Y. The work of O.S. was supported by MSMT grants LH 14010 and 15304 and by the Praemium Academiae award from the CAS. The work of J.S.P. was partially supported by NASA under grant NNX14AB10G.</t>
  </si>
  <si>
    <t>10.1002/2016JA022774</t>
  </si>
  <si>
    <t>WOS:000385811500024</t>
  </si>
  <si>
    <t>Tartari, A; Aumont, J; Banfi, S; Battaglia, P; Battistelli, ES; Baù, A; Bélier, B; Bennett, D; Bergé, L; Bernard, JP; Bersanelli, M; Bigot-Sazy, MA; Bleurvacq, N; Bordier, G; Brossard, J; Bunn, EF; Buzi, D; Cammilleri, D; Cavaliere, F; Chanial, P; Chapron, C; Coppolecchia, A; D'Alessandro, G; De Bernardis, P; Decourcelle, T; Del Torto, F; De Petris, M; Dumoulin, L; Franceschet, C; Gault, A; Gayer, D; Gervasi, M; Ghribi, A; Giard, M; Giraud-Héraud, Y; Gradziel, M; Grandsire, L; Hamilton, JC; Haynes, V; Holtzer, N; Kaplan, J; Korotkov, A; Lande, J; Lowitz, A; Maffei, B; Marnieros, S; Martino, J; Masi, S; McCulloch, M; Melhuish, S; Mennella, A; Montier, L; Murphy, A; Néel, D; Ng, MW; O'Sullivan, C; Pajot, F; Passerini, A; Perbost, C; Piacentini, F; Piat, M; Piccirillo, L; Pisano, G; Prêle, D; Rambaud, D; Rigaut, O; Salatino, M; Schillaci, A; Scully, S; Stolpovskiy, MM; Timbie, P; Tucker, G; Viganò, D; Voisin, F; Watson, B; Zannoni, M</t>
  </si>
  <si>
    <t>Tartari, A.; Aumont, J.; Banfi, S.; Battaglia, P.; Battistelli, E. S.; Bau, A.; Belier, B.; Bennett, D.; Berge, L.; Bernard, J. Ph.; Bersanelli, M.; Bigot-Sazy, M. A.; Bleurvacq, N.; Bordier, G.; Brossard, J.; Bunn, E. F.; Buzi, D.; Cammilleri, D.; Cavaliere, F.; Chanial, P.; Chapron, C.; Coppolecchia, A.; D'Alessandro, G.; De Bernardis, P.; Decourcelle, T.; Del Torto, F.; De Petris, M.; Dumoulin, L.; Franceschet, C.; Gault, A.; Gayer, D.; Gervasi, M.; Ghribi, A.; Giard, M.; Giraud-Heraud, Y.; Gradziel, M.; Grandsire, L.; Hamilton, J. Ch.; Haynes, V.; Holtzer, N.; Kaplan, J.; Korotkov, A.; Lande, J.; Lowitz, A.; Maffei, B.; Marnieros, S.; Martino, J.; Masi, S.; McCulloch, M.; Melhuish, S.; Mennella, A.; Montier, L.; Murphy, A.; Neel, D.; Ng, M. W.; O'Sullivan, C.; Pajot, F.; Passerini, A.; Perbost, C.; Piacentini, F.; Piat, M.; Piccirillo, L.; Pisano, G.; Prele, D.; Rambaud, D.; Rigaut, O.; Salatino, M.; Schillaci, A.; Scully, S.; Stolpovskiy, M. M.; Timbie, P.; Tucker, G.; Vigano, D.; Voisin, F.; Watson, B.; Zannoni, M.</t>
  </si>
  <si>
    <t>QUBIC: A Fizeau Interferometer Targeting Primordial B-Modes</t>
  </si>
  <si>
    <t>JOURNAL OF LOW TEMPERATURE PHYSICS</t>
  </si>
  <si>
    <t>Cosmic microwave background; Polarisation; B-mode</t>
  </si>
  <si>
    <t>Q and U Bolometric Interferometer for Cosmology (QUBIC) is a Fizeau interferometer sensitive to linear polarisation, to be deployed at the Antarctic station of Dome C. This experiment in its final configuration will be operated at 97, 150 and 220 GHz and is intended to target CMB primordial B-modes in a multipole window . A sensitivity of (95 % CL) can be reached by the first module alone, after 2 years of operation. Here we review in particular its working principles, and we show how the QUBIC interferometric configuration can be considered equivalent to a pupil-plane filtered imaging system. In this context, we show how our instrument can be self-calibrated. Finally, we conclude by showing an overview of the first dual-band module (150/220 GHz), which will serve also as a demonstrator for the subsequent units, and review the technological choices we made for each subsystem, with particular emphasis on the detection system.</t>
  </si>
  <si>
    <t>[Tartari, A.; Bigot-Sazy, M. A.; Bleurvacq, N.; Brossard, J.; Cammilleri, D.; Chanial, P.; Chapron, C.; Decourcelle, T.; Ghribi, A.; Giraud-Heraud, Y.; Grandsire, L.; Hamilton, J. Ch.; Kaplan, J.; Martino, J.; Perbost, C.; Piat, M.; Prele, D.; Stolpovskiy, M. M.; Voisin, F.] Univ Paris Diderot, CNRS, Lab APC, F-75205 Paris, France; [Aumont, J.; Pajot, F.] Inst Astrophys Spatiale, Orsay, France; [Banfi, S.; Gervasi, M.; Passerini, A.; Zannoni, M.] Univ Milano Bicocca, Milan, Italy; [Battaglia, P.; Bersanelli, M.; Cavaliere, F.; Del Torto, F.; Franceschet, C.; Mennella, A.; Vigano, D.] Univ Milan, Milan, Italy; [Battistelli, E. S.; Buzi, D.; Coppolecchia, A.; D'Alessandro, G.; De Bernardis, P.; De Petris, M.; Masi, S.; Piacentini, F.; Salatino, M.; Schillaci, A.] Univ Roma La Sapienza, Rome, Italy; [Belier, B.; Bordier, G.] Inst Elect Fondamentale, Orsay, France; [Bennett, D.; Gayer, D.; Gradziel, M.; Murphy, A.; O'Sullivan, C.; Scully, S.] NUI, Maynooth, Kildare, Ireland; [Berge, L.; Dumoulin, L.; Holtzer, N.; Lande, J.; Marnieros, S.; Neel, D.; Rigaut, O.] Univ Paris Sud, CSNSM, CNRS, IN2P3, F-91405 Orsay, France; [Bernard, J. Ph.; Giard, M.; Montier, L.; Rambaud, D.] Inst Rech Astrophys &amp; Planetol, Toulouse, France; [Bunn, E. F.] Univ Richmond, Richmond, VA 23173 USA; [Gault, A.; Lowitz, A.; Timbie, P.] Univ Wisconsin, Madison, WI USA; [Haynes, V.; Maffei, B.; McCulloch, M.; Melhuish, S.; Ng, M. W.; Piccirillo, L.; Watson, B.] Univ Manchester, Sch Phys &amp; Astron, Manchester, Lancs, England; [Korotkov, A.; Tucker, G.] Brown Univ, Providence, RI 02912 USA; [Pisano, G.] Cardiff Univ, Sch Phys &amp; Astron, Cardiff, S Glam, Wales</t>
  </si>
  <si>
    <t>Universite PSL; Observatoire de Paris; CEA; Centre National de la Recherche Scientifique (CNRS); Universite Paris Cite; Sorbonne Universite; Universite Paris Saclay; University of Milano-Bicocca; University of Milan; Sapienza University Rome; Universite Paris Saclay; Maynooth University; Universite Paris Cite; Centre National de la Recherche Scientifique (CNRS); CNRS - National Institute of Nuclear and Particle Physics (IN2P3); Universite Paris Saclay; Universite de Toulouse; Universite Toulouse III - Paul Sabatier; University of Richmond; University of Wisconsin System; University of Wisconsin Madison; University of Manchester; Brown University; Cardiff University</t>
  </si>
  <si>
    <t>Tartari, A (corresponding author), Univ Paris Diderot, CNRS, Lab APC, F-75205 Paris, France.</t>
  </si>
  <si>
    <t>tartari@apc.univ-paris7.fr</t>
  </si>
  <si>
    <t>Piacentini, Francesco/E-7234-2010; Maffei, Bruno/ISA-8539-2023; Piacentini, Francesco/ABD-3434-2020; PRELE, Damien/AAI-3497-2020; Parodi, Maurizio Battaglia/K-7876-2016; McCulloch, Mark/HMD-7373-2023; De Petris, Marco/IXD-7671-2023; Hamilton, Jean-Christophe/AAW-8855-2020; Gervasi, Massimo/AAG-7022-2020; Pisano, Giampaolo/M-7218-2016; PRELE, Damien/HSD-3777-2023; Chapron, Charles/O-8567-2017; Dalessandro, Giuseppe/AAN-4438-2020; Tartari, Andrea/AAE-7150-2019; Zannoni, Mario/H-6391-2017</t>
  </si>
  <si>
    <t>Piacentini, Francesco/0000-0002-5444-9327; Maffei, Bruno/0000-0002-2214-5329; PRELE, Damien/0000-0002-6680-1930; Pisano, Giampaolo/0000-0003-4302-5681; PRELE, Damien/0000-0002-6680-1930; Dalessandro, Giuseppe/0000-0001-8717-0843; Tartari, Andrea/0000-0003-3082-138X; Aumont, Jonathan/0000-0001-6279-0691; Schillaci, Alessandro/0000-0002-0512-1042; Lowitz, Amy/0000-0002-4747-4276; Hamilton, Jean-Christophe/0000-0002-7820-8405; Coppolecchia, Alessandro/0000-0003-4522-5214; Franceschet, Cristian/0000-0002-3528-5240; Zannoni, Mario/0000-0002-4495-571X; Salatino, Maria/0000-0003-4006-1134; Ghribi, Adnan/0000-0001-9634-4526; Belier, Benoit/0000-0003-1654-5243; Marnieros, Stefanos/0000-0003-0558-2807; MENNELLA, ANIELLO/0000-0002-5343-6655; Vigano, Daniele/0000-0001-7795-6850; De Petris, Marco/0000-0001-7859-2139; D'Alessandro, Giuseppe/0000-0002-2580-043X; Watson, Robert/0000-0002-5873-0124; Scully, Stephen/0000-0003-1632-9823</t>
  </si>
  <si>
    <t>UnivEarthS Labex programme of Sorbonne Paris Cite [ANR-10-LABX-0023, ANR-11-IDEX-0005-02]; CNRS; ANR; Region Ile de France through the DIM-ACAV programme; PNRA; STFC [ST/L000768/1] Funding Source: UKRI; Science and Technology Facilities Council [ST/L000768/1] Funding Source: researchfish</t>
  </si>
  <si>
    <t>UnivEarthS Labex programme of Sorbonne Paris Cite; CNRS(Centre National de la Recherche Scientifique (CNRS)); ANR(Agence Nationale de la Recherche (ANR)); Region Ile de France through the DIM-ACAV programme(Region Ile-de-France); PNRA; STFC(UK Research &amp; Innovation (UKRI)Science &amp; Technology Facilities Council (STFC)); Science and Technology Facilities Council(UK Research &amp; Innovation (UKRI)Science &amp; Technology Facilities Council (STFC))</t>
  </si>
  <si>
    <t>We acknowledge the financial support from UnivEarthS Labex programme of Sorbonne Paris Cite (ANR-10-LABX-0023 and ANR-11-IDEX-0005-02), the CNRS, the ANR and the Region Ile de France that is supporting us through the DIM-ACAV programme. We acknowledge also the financial support from PNRA.</t>
  </si>
  <si>
    <t>SPRINGER/PLENUM PUBLISHERS</t>
  </si>
  <si>
    <t>0022-2291</t>
  </si>
  <si>
    <t>1573-7357</t>
  </si>
  <si>
    <t>J LOW TEMP PHYS</t>
  </si>
  <si>
    <t>J. Low Temp. Phys.</t>
  </si>
  <si>
    <t>10.1007/s10909-015-1398-3</t>
  </si>
  <si>
    <t>Physics, Applied; Physics, Condensed Matter</t>
  </si>
  <si>
    <t>DQ2HF</t>
  </si>
  <si>
    <t>WOS:000379022700033</t>
  </si>
  <si>
    <t>Guly, H; Sullivan, P; Pearn, J</t>
  </si>
  <si>
    <t>Guly, Henry; Sullivan, Peter; Pearn, John</t>
  </si>
  <si>
    <t>Medical memorials of the Heroic Age of Antarctic exploration</t>
  </si>
  <si>
    <t>JOURNAL OF MEDICAL BIOGRAPHY</t>
  </si>
  <si>
    <t>Explorers; medical memorials; Antarctic and Heroic Age</t>
  </si>
  <si>
    <t>The Heroic Age of Antarctic exploration spanned the period from 1895 to 1922. Medical men who took part in the expeditions of that period made significant contributions to the expeditions in medical treatment of expedition members, geographical discovery and science and, as a result of such contributions, many had geographical features named after them. A recent paper listed five doctors from the Heroic Age who were so honoured. We now add biographical precises of a further 17 personnel, including two medical students who have geographical features named after them.</t>
  </si>
  <si>
    <t>[Guly, Henry; Sullivan, Peter; Pearn, John] Derriford Hosp, Yelverton, Devon, England</t>
  </si>
  <si>
    <t>Derriford Hospital</t>
  </si>
  <si>
    <t>Guly, H (corresponding author), Derriford Hosp, Emergency Med &amp; British Antarctic Survey Med Unit, Bedford Rd, Yelverton PL20 7QH, Devon, England.</t>
  </si>
  <si>
    <t>hguly@aol.com; psullivan@dfr.com.au</t>
  </si>
  <si>
    <t>Pearn, John/0000-0002-8815-2994</t>
  </si>
  <si>
    <t>NERC [bas010011] Funding Source: UKRI; Natural Environment Research Council [bas010011] Funding Source: researchfish</t>
  </si>
  <si>
    <t>SAGE PUBLICATIONS INC</t>
  </si>
  <si>
    <t>THOUSAND OAKS</t>
  </si>
  <si>
    <t>2455 TELLER RD, THOUSAND OAKS, CA 91320 USA</t>
  </si>
  <si>
    <t>0967-7720</t>
  </si>
  <si>
    <t>1758-1087</t>
  </si>
  <si>
    <t>J MED BIOGR</t>
  </si>
  <si>
    <t>J. Med. Biogr.</t>
  </si>
  <si>
    <t>10.1177/0967772014532897</t>
  </si>
  <si>
    <t>History &amp; Philosophy Of Science</t>
  </si>
  <si>
    <t>Arts &amp; Humanities Citation Index (A&amp;HCI)</t>
  </si>
  <si>
    <t>History &amp; Philosophy of Science</t>
  </si>
  <si>
    <t>DU8FT</t>
  </si>
  <si>
    <t>WOS:000382449400020</t>
  </si>
  <si>
    <t>Burri, L; Hoem, N; Monakhova, YB; Diehl, BWK</t>
  </si>
  <si>
    <t>Burri, Lena; Hoem, Nils; Monakhova, Yulia B.; Diehl, Bernd W. K.</t>
  </si>
  <si>
    <t>Fingerprinting Krill Oil by 31P, 1H and 13C NMR Spectroscopies</t>
  </si>
  <si>
    <t>JOURNAL OF THE AMERICAN OIL CHEMISTS SOCIETY</t>
  </si>
  <si>
    <t>Krill oil; NMR spectroscopy; Phospholipid; Triacylglycerol; Fatty acid profile</t>
  </si>
  <si>
    <t>N-3 FATTY-ACIDS; FISH-OIL; SUPPLEMENTATION; PHOSPHOLIPIDS; LIPIDS; RATS; MICE</t>
  </si>
  <si>
    <t>The detailed analysis of krill oil is of importance to be able to differentiate other oils, identify adulterated products, and provide the highest quality associated with its beneficial health effects. The objective of this study was to demonstrate the usefulness of the combination of P-31, H-1 and C-13 nuclear magnetic resonance (NMR) spectroscopies to characterize the krill oil profile. It was found that in contrast to fish oil, where eicosapentaenoic acid (EPA) and docosahexaenoic acid (DHA) fatty acids are found in triacylglycerol, krill oil is characterized by a more asymmetric fatty acid distribution with a higher polyunsaturated fatty acids PUFA content in the sn-2 position of phospholipids and lower amounts in triacylglycerol. Besides the typical asymmetric fatty acid composition, several other markers were investigated for krill oil origin test. The validation of the P-31 NMR spectroscopic method regarding major phospholipid species was performed according to the Good Laboratory Practice (GLP) and International Council for Harmonisation (ICH) guidelines. The method was characterized by high sensitivity, accuracy, and reproducibility. Interlaboratory testing showed satisfactory robustness regardless of the type of NMR equipment used by different laboratories. High-resolution NMR spectroscopy has proven to be a convenient and exact method for providing a characteristic fingerprint of krill oil. By this technique, clear distinctions to other oils can be made through qualitative and quantitative analysis of krill oil.</t>
  </si>
  <si>
    <t>[Burri, Lena; Hoem, Nils] Aker BioMarine AS, Fjordalleen 16, N-0115 Oslo, Norway; [Monakhova, Yulia B.; Diehl, Bernd W. K.] Spectral Serv AG, Emil Hoffmann Str 33, D-50996 Cologne, Germany</t>
  </si>
  <si>
    <t>Diehl, BWK (corresponding author), Spectral Serv AG, Emil Hoffmann Str 33, D-50996 Cologne, Germany.</t>
  </si>
  <si>
    <t>diehl@spectralservice.de</t>
  </si>
  <si>
    <t>Hoem, Nils/0000-0002-3124-8290</t>
  </si>
  <si>
    <t>Aker BioMarine Antarctic AS, Oslo, Norway</t>
  </si>
  <si>
    <t>Krill oil (Superba (TM)) was supplied by Aker BioMarine Antarctic AS, Oslo, Norway, which also funded the study.</t>
  </si>
  <si>
    <t>0003-021X</t>
  </si>
  <si>
    <t>1558-9331</t>
  </si>
  <si>
    <t>J AM OIL CHEM SOC</t>
  </si>
  <si>
    <t>J. Am. Oil Chem. Soc.</t>
  </si>
  <si>
    <t>10.1007/s11746-016-2836-3</t>
  </si>
  <si>
    <t>DS0GT</t>
  </si>
  <si>
    <t>WOS:000380274200003</t>
  </si>
  <si>
    <t>Johnson, KM; Hofmann, GE</t>
  </si>
  <si>
    <t>Johnson, Kevin M.; Hofmann, Gretchen E.</t>
  </si>
  <si>
    <t>A transcriptome resource for the Antarctic pteropod Limacina helicina antarctica</t>
  </si>
  <si>
    <t>Southern Ocean; RNA sequencing; De novo assembly; Ocean acidification; Ocean warming</t>
  </si>
  <si>
    <t>OCEAN ACIDIFICATION; ORGANIC LAYER; IMPACT; DISSOLUTION</t>
  </si>
  <si>
    <t>The pteropod Limacina helicina antarctica is a dominant member of the zooplankton assemblage in the Antarctic marine ecosystem, and is part of a relatively simple food web in nearshore marine Antarctic waters. As a shelled pteropod, Limacina has been suggested as a candidate sentinel organism for the impacts of ocean acidification, due to the potential for shell dissolution in undersaturated waters. In this study, our goal was to develop a transcriptomic resource for Limacina that would support mechanistic studies to explore the physiological response of Limacina to abiotic stressors such as ocean acidification and ocean warming. To this end, RNA sequencing libraries were prepared from Limacina that had been exposed to a range of pH levels and an elevated temperature to maximize the diversity of expressed genes. RNA sequencing (RNA-seq) was conducted on an Illumina NextSeq500 which produced 339,000,000150 bp paired-end reads. The de novo transcriptome was produced using Trinity and annotation of the assembled transcriptome resulted in the identification of 81,229 transcripts in 137 KEGG pathways. This RNA-seq effort resulted in a transcriptome for the Antarctic pteropod, Limacina helicina antarctica, that is a major resource for an international marine science research community studying these pelagic molluscs in a global change context. (C) 2016 Elsevier B.V. All rights reserved.</t>
  </si>
  <si>
    <t>[Johnson, Kevin M.; Hofmann, Gretchen E.] Univ Calif Santa Barbara, Dept Ecol Evolut &amp; Marine Biol, Santa Barbara, CA 93106 USA</t>
  </si>
  <si>
    <t>University of California System; University of California Santa Barbara</t>
  </si>
  <si>
    <t>Johnson, KM (corresponding author), Univ Calif Santa Barbara, Dept Ecol Evolut &amp; Marine Biol, Santa Barbara, CA 93106 USA.</t>
  </si>
  <si>
    <t>kevin.johnson@lifesci.ucsb.edu; gretchen.hofmann@lifesci.ucsb.edu</t>
  </si>
  <si>
    <t>Marquez Johnson, Kevin/Q-1310-2018</t>
  </si>
  <si>
    <t>Marquez Johnson, Kevin/0000-0003-3278-3508</t>
  </si>
  <si>
    <t>U.S. Antarctic Program and Lockheed's Antarctic Support Corporation (ASC); U.S. National Science Foundation (NSF) through the Division of Polar Programs [PLR-1246202]; NSF Graduate Research Fellowship; UC Santa Barbara; University of California, Office of the President; Center for Scientific Computing at the CNSI and MRL: an NSF MRSEC [DMR-1121053]; NSF [CNS-0960316]; Directorate For Geosciences [1246202] Funding Source: National Science Foundation; Office of Polar Programs (OPP) [1246202] Funding Source: National Science Foundation</t>
  </si>
  <si>
    <t>U.S. Antarctic Program and Lockheed's Antarctic Support Corporation (ASC); U.S. National Science Foundation (NSF) through the Division of Polar Programs; NSF Graduate Research Fellowship(National Science Foundation (NSF)); UC Santa Barbara; University of California, Office of the President(University of California System); Center for Scientific Computing at the CNSI and MRL: an NSF MRSEC(National Science Foundation (NSF)NSF - Directorate for Mathematical &amp; Physical Sciences (MPS)); NSF(National Science Foundation (NSF)); Directorate For Geosciences(National Science Foundation (NSF)NSF - Directorate for Geosciences (GEO)); Office of Polar Programs (OPP)(National Science Foundation (NSF)NSF - Directorate for Geosciences (GEO))</t>
  </si>
  <si>
    <t>The authors would like to thank members of the U.S. Antarctic Program and Lockheed's Antarctic Support Corporation (ASC) for support at McMurdo Station, Antarctica during the 2014-2015 Summer Field Season. In addition, we thank Professor Mary Sewell (University of Auckland) for the loan of the collapsible plankton net. This research was supported by a grant from the U.S. National Science Foundation (NSF) through the Division of Polar Programs (PLR-1246202 to GEH). During the course of this project, KMJ was supported by a NSF Graduate Research Fellowship. We acknowledge the use of the Biological Nanostructures Laboratory within the California NanoSystems Institute, supported by UC Santa Barbara, and the University of California, Office of the President. Lastly, we acknowledge support from the Center for Scientific Computing at the CNSI and MRL: an NSF MRSEC (DMR-1121053) and NSF CNS-0960316.</t>
  </si>
  <si>
    <t>10.1016/j.margen.2016.04.002</t>
  </si>
  <si>
    <t>WOS:000382271800007</t>
  </si>
  <si>
    <t>See-Too, WS; Tan, JY; Ee, R; Lim, YL; Convey, P; Pearce, DA; Yin, WF; Chan, KG</t>
  </si>
  <si>
    <t>See-Too, Wah-Seng; Tan, Jia Yi; Ee, Robson; Lim, Yan-Lue; Convey, Peter; Pearce, David A.; Yin, Wai-Fong; Chan, Kok-Gan</t>
  </si>
  <si>
    <t>De novo assembly of complete genome sequence of Planococcus kocurii ATCC 43650T, a potential plant growth promoting bacterium</t>
  </si>
  <si>
    <t>Halotolerant; Psychrotolerant; Butanol biosynthesis; Glutamate dehydrogenase; SMRT sequencing</t>
  </si>
  <si>
    <t>RNA GENES</t>
  </si>
  <si>
    <t>Planococcus kocurii ATCC 43650(T) is a halotolerant and psychrotolerant bacterium isolated from the skin of a North sea cod. Here, we present the first complete genome and annotation of P. kocurii ATCC 43650(T), identifying its potential as a plant growth promoting bacterium and its capability in the biosynthesis of butanol. (C) 2016 Elsevier B.V. All rights reserved.</t>
  </si>
  <si>
    <t>[See-Too, Wah-Seng; Tan, Jia Yi; Ee, Robson; Lim, Yan-Lue; Yin, Wai-Fong; Chan, Kok-Gan] Univ Malaya, Fac Sci, Inst Biol Sci, Div Genet &amp; Mol Biol, Kuala Lumpur, Malaysia; [See-Too, Wah-Seng; Convey, Peter; Pearce, David A.] Univ Malaya, Inst Postgrad Studies, NARC, Kuala Lumpur 50603, Malaysia; [Convey, Peter; Pearce, David A.] British Antarctic Survey, NERC, High Cross,Madingley Rd, Cambridge CB3 0ET, England; [Pearce, David A.] Northumbria Univ, Fac Hlth &amp; Life Sci, Newcastle Upon Tyne NE1 8ST, Tyne &amp; Wear, England; [Chan, Kok-Gan] Univ Malaya, UM Om Ctr, Kuala Lumpur, Malaysia</t>
  </si>
  <si>
    <t>Universiti Malaya; Universiti Malaya; UK Research &amp; Innovation (UKRI); Natural Environment Research Council (NERC); NERC British Antarctic Survey; Northumbria University; Universiti Malaya</t>
  </si>
  <si>
    <t>Chan, KG (corresponding author), Univ Malaya, Fac Sci, Inst Biol Sci, Div Genet &amp; Mol Biol, Kuala Lumpur, Malaysia.</t>
  </si>
  <si>
    <t>kokgan@um.edu.my</t>
  </si>
  <si>
    <t>Convey, Peter/AAV-5728-2020; Tan, Chloe/AEO-5027-2022; Chan, Kok-Gan/B-8347-2010; See-Too, Wah-Seng/O-9330-2019</t>
  </si>
  <si>
    <t>Convey, Peter/0000-0001-8497-9903; Chan, Kok-Gan/0000-0002-1883-1115; See-Too, Wah-Seng/0000-0003-0843-1895; Pearce, David/0000-0001-5292-4596</t>
  </si>
  <si>
    <t>University of Malaya High Impact Research Grants (UMMOHE HIR) [UM.C/625/1/HIR/MOHE/CHAN/14/1, H-50001-A000027, UM.C/625/1/HIR/MOHE/CHAN/01, A-000001-50001]; NERC; Natural Environment Research Council [bas0100036] Funding Source: researchfish; NERC [bas0100036] Funding Source: UKRI</t>
  </si>
  <si>
    <t>University of Malaya High Impact Research Grants (UMMOHE HIR); 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</si>
  <si>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University of Malaya High Impact Research Grants (UMMOHE HIR Grant UM.C/625/1/HIR/MOHE/CHAN/14/1, Grant No. H-50001-A000027; UMMOHE HIR Grant UM.C/625/1/HIR/MOHE/CHAN/01, Grant No. A-000001-50001) awarded to Kok-Gan Chan. Peter Convey is supported by NERC core funding to the British Antarctic Survey's 'Biodiversity, Evolution and Adaptation' Team.</t>
  </si>
  <si>
    <t>10.1016/j.margen.2016.04.007</t>
  </si>
  <si>
    <t>WOS:000382271800009</t>
  </si>
  <si>
    <t>Kim, HS; Lee, BY; Han, J; Lee, YH; Min, GS; Kim, S; Lee, JS</t>
  </si>
  <si>
    <t>Kim, Hui-Su; Lee, Bo-Young; Han, Jeonghoon; Lee, Young Hwan; Min, Gi-Sik; Kim, Sanghee; Lee, Jae-Seong</t>
  </si>
  <si>
    <t>De novo assembly and annotation of the Antarctic copepod (Tigriopus kingsejongensis) transcriptome</t>
  </si>
  <si>
    <t>Transcriptome; RNA-seq; Antarctic; Copepod; Tigriopus kingsejongensis; Lipid metabolism</t>
  </si>
  <si>
    <t>HARPACTICOIDA; ADAPTATION; GENOMICS</t>
  </si>
  <si>
    <t>The whole transcriptome of the Antarctic copepod (Tigriopus kingsejongensis) was sequenced using Illumina RNA-seq. De novo assembly was performed with 64,785,098 raw reads using Trinity, which assembled into 81,653 contigs. TransDecoder found 38,250 candidate coding contigs which showed homology to other species by BLAST analysis. Functional gene annotation was performed by Gene Ontology (GO), InterProScan, and KEGG pathway analyses. Finally, we identified a number of expressed gene catalog for T. kingsejongensis that is a useful model animal for gene information-based polar research to uncover molecular mechanisms of environmental adaptation on harsh environments. In particular, we observed highly developing lipid metabolism in T. kingsejongensis directly compared to those of the Far East Pacific coast copepod Tigriopus japonicus at the transcriptome level. (C) 2016 Elsevier B.V. All rights reserved.</t>
  </si>
  <si>
    <t>[Kim, Hui-Su; Lee, Bo-Young; Han, Jeonghoon; Lee, Young Hwan; Lee, Jae-Seong] Sungkyunkwan Univ, Coll Sci, Dept Biol Sci, Suwon 16419, South Korea; [Min, Gi-Sik] Inha Univ, Coll Nat Sci, Dept Biol Sci, Inchon 22212, South Korea; [Kim, Sanghee] Korea Polar Res Inst, Div Life Sci, Inchon 21990, South Korea</t>
  </si>
  <si>
    <t>Sungkyunkwan University (SKKU); Inha University; Korea Polar Research Institute (KOPRI)</t>
  </si>
  <si>
    <t>Lee, JS (corresponding author), Sungkyunkwan Univ, Coll Sci, Dept Biol Sci, Suwon 16419, South Korea.;Kim, S (corresponding author), Korea Polar Res Inst, Div Life Sci, Inchon 21990, South Korea.</t>
  </si>
  <si>
    <t>sangheekim@kopri.re.kr; jslee2@skku.edu</t>
  </si>
  <si>
    <t>Han, Jeonghoon/ABI-6920-2020; Lee, Young Hwan/ABI-5927-2020; Kim, Hui-Su/AAD-2640-2020; Lee, Young Hwan/HSG-6487-2023; Lee, Jae-Seong/H-6013-2015</t>
  </si>
  <si>
    <t>Lee, Young Hwan/0000-0003-1579-0263; Lee, Jae-Seong/0000-0003-0944-5172</t>
  </si>
  <si>
    <t>Marine Biotechnology Program - Ministry of Oceans and Fisheries of Korea [PJT200620]; Korea-Polar Ocean Development: K-POD - Ministry of Oceans and Fisheries, Korea [PM15050]</t>
  </si>
  <si>
    <t>Marine Biotechnology Program - Ministry of Oceans and Fisheries of Korea; Korea-Polar Ocean Development: K-POD - Ministry of Oceans and Fisheries, Korea</t>
  </si>
  <si>
    <t>We thank Prof. Hans-U. Dahms for his comments on the manuscript This work was supported by a grant from the Marine Biotechnology Program (PJT200620, Genome analysis of marine organisms and development of functional application) funded by the Ministry of Oceans and Fisheries of Korea to Jae-Seong Lee and also supported by the project titled Korea-Polar Ocean Development: K-POD (project no. PM15050) funded by the Ministry of Oceans and Fisheries, Korea.</t>
  </si>
  <si>
    <t>10.1016/j.margen.2016.04.009</t>
  </si>
  <si>
    <t>WOS:000382271800010</t>
  </si>
  <si>
    <t>Kantor, YI; Harasewych, MG; Puillandre, N</t>
  </si>
  <si>
    <t>Kantor, Yuri I.; Harasewych, Myroslaw G.; Puillandre, Nicolas</t>
  </si>
  <si>
    <t>A critical review of Antarctic Conoidea (Neogastropoda)</t>
  </si>
  <si>
    <t>MOLLUSCAN RESEARCH</t>
  </si>
  <si>
    <t>Antarctic Convergence; bathymetric distribution; endemism; new name; new species</t>
  </si>
  <si>
    <t>SOUTH SHETLAND ISLANDS; GASTROPODA CONOIDEA; BELLINGSHAUSEN SEA; WEST ANTARCTICA; MOLECULAR PHYLOGENY; MOLLUSCA; DIVERSITY; GENUS; BUCCINOIDEA; SYSTEMATICS</t>
  </si>
  <si>
    <t>The Antarctic Conoidean fauna is critically reviewed based on published data and specimens in the collections of the USNM, IORAS and MNHN. Forty-two species and subspecies of the superfamily Conoidea are recorded as occurring within the Antarctic Convergence (excluding the fauna of the Kerguelen Islands) and are attributed to 14 genera and seven families. These include the new taxa: Antarctospira n. gen. (type speciesLeucosyrinx badenpowelli Dell, 1990); Drilliola antarctica n. sp.; Pleurotomella (Pleutoromella) tippetti n. sp.; Pleurotomella (Anomalotomella) petiti n. sp.; Xanthodaphne pastorinoi n. sp. Aforia watsoni is introduced as a new name for Pleurotoma (Surcula) lepta Watson, 1881, non Pleurotoma lepta Edwards, 1861. A lectotype is designated for Conorbella antarctica (Strebel, 1908). New combinations are also proposed. Antarctospira badenpowelli (Dell, 1990), n. comb. (previously assigned to Leucosyrinx); Antarctospira principalis (Thiele, 1912), n. comb. (previously assigned to Typhlomangelia); Antarctospira mawsoni (Powell, 1958), n. comb. (previously assigned to Leucosyrinx); Typhlodaphne paratenoceras (Powell, 1951), n. comb. (previously assigned to Leucosyrinx); Belalora weirichi (Engl, 2008), n. comb. (previously assigned to Oenopota); Pleurotomella (Anomalotomella) innocentia (Dell, 1990), n. comb. (previously assigned to Typhlodaphne); Pleurotomella (Anomalotomella) nipri (Numanami, 1996), n. comb. (previously assigned to Typhlodaphne); Xanthodaphne raineri (Engl, 2008), n. comb. (previously assigned to Pleurotomella); Aforia hedleyi (Dell, 1990), n. comb. (previously assigned to Pontiothauma). The majority of Antarctic conoidean taxa have hypodermic marginal teeth. Although there is a similar relative abundance of conoideans in Antarctic waters to that seen in other well-studied faunas, the low number of conoideans is indicative of the general impoverishment of the gastropod fauna in the region. Fourteen percent (2 of 14) of conoidean genera that occur within the Antarctic Convergence are endemic to Antarctic waters, as are 82% (34 of 42) of the species. Most taxa have very broad bathymetric ranges, some extending from bathyal to hadal depths. The greatest species diversity was at bathyal depths.</t>
  </si>
  <si>
    <t>[Kantor, Yuri I.] Russian Acad Sci, AN Severtzov Inst Ecol &amp; Evolut, Moscow, Russia; [Harasewych, Myroslaw G.] Smithsonian Inst, Natl Museum Nat Hist, Dept Invertebrate Zool, Washington, DC 20560 USA; [Puillandre, Nicolas] Museum Natl Hist Nat, Dept Systemat &amp; Evolut, Paris, France</t>
  </si>
  <si>
    <t>Russian Academy of Sciences; Saratov Scientific Center of the Russian Academy of Sciences; Severtsov Institute of Ecology &amp; Evolution; Smithsonian Institution; Smithsonian National Museum of Natural History; Museum National d'Histoire Naturelle (MNHN)</t>
  </si>
  <si>
    <t>Kantor, YI (corresponding author), Russian Acad Sci, AN Severtzov Inst Ecol &amp; Evolut, Moscow, Russia.</t>
  </si>
  <si>
    <t>kantor.yuri1956@gmail.com</t>
  </si>
  <si>
    <t>Puillandre, Nicolas/C-9208-2012; Kantor, Yuri/D-5259-2014; Kantor, Yuri/HKW-8238-2023</t>
  </si>
  <si>
    <t>Kantor, Yuri/0000-0002-3209-4940; Kantor, Yuri/0000-0002-3209-4940</t>
  </si>
  <si>
    <t>RFBR [14-04-00481]; Service de Systematique Moleculaire [UMS 2700 CNRS-MNHN]; project CONOTAX - French ANR [ANR-13-JSV7-0013-01]; Australian Antarctic Division [53]; Japanese Science Foundation; French polar institute IPEV (ICOTA programme); French polar institute IPEV (REVOLTA programme); CNRS; MNHN; ANR (White Project ANTFLOCKs USAR) [07-BLAN-0213-01]; Agence Nationale de la Recherche (ANR) [ANR-13-JSV7-0013] Funding Source: Agence Nationale de la Recherche (ANR)</t>
  </si>
  <si>
    <t>RFBR(Russian Foundation for Basic Research (RFBR)); Service de Systematique Moleculaire; project CONOTAX - French ANR(Agence Nationale de la Recherche (ANR)); Australian Antarctic Division; Japanese Science Foundation; French polar institute IPEV (ICOTA programme); French polar institute IPEV (REVOLTA programme); CNRS(Centre National de la Recherche Scientifique (CNRS)); MNHN; ANR (White Project ANTFLOCKs USAR)(Agence Nationale de la Recherche (ANR)); Agence Nationale de la Recherche (ANR)(Agence Nationale de la Recherche (ANR))</t>
  </si>
  <si>
    <t>This work is partially financed by the Grant of RFBR No. 14-04-00481 (PI Yu. I. Kantor), by the Service de Systematique Moleculaire (UMS 2700 CNRS-MNHN) and by the project CONOTAX, funded by the French ANR (grant number ANR-13-JSV7-0013-01). The authors also thank Barbara Buge, Julien Brisset and Laetitia Aznar-Cormano for their help in curating the specimens.; The CAML-CEAMARC cruises of RSV Aurora Australis and TRV Umitaka Maru (IPY project no. 53) were supported by the Australian Antarctic Division, the Japanese Science Foundation, the French polar institute IPEV (ICOTA and REVOLTA programmes), the CNRS, the MNHN and the ANR (White Project ANTFLOCKs USAR no.07-BLAN-0213-01 directed by Guillaume Lecointre).</t>
  </si>
  <si>
    <t>1323-5818</t>
  </si>
  <si>
    <t>1448-6067</t>
  </si>
  <si>
    <t>MOLLUSCAN RES</t>
  </si>
  <si>
    <t>Molluscan Res.</t>
  </si>
  <si>
    <t>10.1080/13235818.2015.1128523</t>
  </si>
  <si>
    <t>DV4VM</t>
  </si>
  <si>
    <t>WOS:000382923500001</t>
  </si>
  <si>
    <t>Belt, ST; Smik, L; Brown, A; Kim, JH; Rowland, SJ; Allen, CS; Gal, JK; Shin, KH; Lee, JI; Taylor, KWR</t>
  </si>
  <si>
    <t>Belt, S. T.; Smik, L.; Brown, A.; Kim, J. -H.; Rowland, S. J.; Allen, C. S.; Gal, J. -K.; Shin, K. -H.; Lee, J. I.; Taylor, K. W. R.</t>
  </si>
  <si>
    <t>Source identification and distribution reveals the potential of the geochemical Antarctic sea ice proxy IPSO25</t>
  </si>
  <si>
    <t>HIGHLY BRANCHED ISOPRENOIDS; LAND-FAST ICE; SOUTHERN-OCEAN; PLATELET ICE; WEDDELL SEA; ORGANIC-MATTER; MCMURDO SOUND; ADELIE LAND; PENINSULA; SEDIMENTS</t>
  </si>
  <si>
    <t>The presence of a di-unsaturated highly branched isoprenoid (HBI) lipid biomarker (diene II) in Southern Ocean sediments has previously been proposed as a proxy measure of palaeo Antarctic sea ice. Here we show that a source of diene II is the sympagic diatom Berkeleya adeliensis Medlin. Furthermore, the propensity for B. adeliensis to flourish in platelet ice is reflected by an offshore downward gradient in diene II concentration in &gt;100 surface sediments from Antarctic coastal and near-coastal environments. Since platelet ice formation is strongly associated with super-cooled freshwater inflow, we further hypothesize that sedimentary diene II provides a potentially sensitive proxy indicator of landfast sea ice influenced by meltwater discharge from nearby glaciers and ice shelves, and re-examination of some previous diene II downcore records supports this hypothesis. The term IPSO25-Ice Proxy for the Southern Ocean with 25 carbon atoms-is proposed as a proxy name for diene II.</t>
  </si>
  <si>
    <t>[Belt, S. T.; Smik, L.; Brown, A.; Rowland, S. J.] Univ Plymouth, Sch Geog Earth &amp; Environm Sci, Plymouth PL4 8AA, Devon, England; [Kim, J. -H.; Gal, J. -K.; Shin, K. -H.] Hanyang Univ, Dept Marine Sci &amp; Convergence Technol, ERICA Campus,55 Hanyangdaehak Ro, Ansan 426791, Gyeonggi Do, South Korea; [Allen, C. S.] British Antarctic Survey, Madingley Rd, Cambridge CB3 0ET, England; [Lee, J. I.] Korea Polar Res Inst, 26 Songdomirae Ro, Inchon 21990, South Korea; [Taylor, K. W. R.] Isoprime Ltd, Isoprime House,Earl Rd, Stockport SK8 6PT, Lancs, England</t>
  </si>
  <si>
    <t>University of Plymouth; Hanyang University; UK Research &amp; Innovation (UKRI); Natural Environment Research Council (NERC); NERC British Antarctic Survey; Korea Polar Research Institute (KOPRI)</t>
  </si>
  <si>
    <t>Belt, ST (corresponding author), Univ Plymouth, Sch Geog Earth &amp; Environm Sci, Plymouth PL4 8AA, Devon, England.</t>
  </si>
  <si>
    <t>sbelt@plymouth.ac.uk</t>
  </si>
  <si>
    <t>Shin, Kyung-Hoon/AAD-6999-2021; Gal, Jong-Ku/JMC-5276-2023; Rowland, Steven/JFK-4987-2023</t>
  </si>
  <si>
    <t>Shin, Kyung-Hoon/0000-0002-3169-4274; Brown, Thomas/0000-0003-0322-474X; Smik, Lukas/0000-0003-2280-7342</t>
  </si>
  <si>
    <t>University of Plymouth; Korea Polar Research Institute (KOPRI) [PD15010]; NERC [bas0100030, bosc01001] Funding Source: UKRI; Natural Environment Research Council [bas0100030, bosc01001] Funding Source: researchfish</t>
  </si>
  <si>
    <t>University of Plymouth; Korea Polar Research Institute (KOPRI)(Korea Polar Research Institute of Marine Research Placement (KOPRI)); NERC(UK Research &amp; Innovation (UKRI)Natural Environment Research Council (NERC)); Natural Environment Research Council(UK Research &amp; Innovation (UKRI)Natural Environment Research Council (NERC))</t>
  </si>
  <si>
    <t>This work was supported by the University of Plymouth and the Korea Polar Research Institute (KOPRI, PD15010). We thank Mairi Fenton (BAS) for carrying out the sea ice sampling, Suzanne Maclachlan (British Ocean Sediment Core Research Facility, BOS-CORF, UK) and Rainer Gersonde (AWI, Germany) for sending us with some of the surface sediment material described in this study, and Xavier Crosta (EPOC, France) for providing us with previously reported diene II data. We also acknowledge Peter Bond from the University of Plymouth Electron Microscopy Centre for assistance with SEM and Robert Berstan from Isoprime Limited for assistance with GC-IRMS analysis.</t>
  </si>
  <si>
    <t>10.1038/ncomms12655</t>
  </si>
  <si>
    <t>DX9BM</t>
  </si>
  <si>
    <t>WOS:000384688300001</t>
  </si>
  <si>
    <t>Darelius, E; Fer, I; Nicholls, KW</t>
  </si>
  <si>
    <t>Darelius, E.; Fer, I.; Nicholls, K. W.</t>
  </si>
  <si>
    <t>Observed vulnerability of Filchner-Ronne Ice Shelf to wind-driven inflow of warm deep water</t>
  </si>
  <si>
    <t>ANTARCTIC SLOPE FRONT; EASTERN WEDDELL SEA; CIRCULATION; TRANSPORT; SURFACE; SYSTEM</t>
  </si>
  <si>
    <t>The average rate of melting at the base of the large Filchner-Ronne Ice Shelf in the southern Weddell Sea is currently low, but projected to increase dramatically within the next century. In a model study, melt rates increase as changing ice conditions cause a redirection of a coastal current, bringing warm water of open ocean origin through the Filchner Depression and into the Filchner Ice Shelf cavity. Here we present observations from near Filchner Ice Shelf and from the Filchner Depression, which show that pulses of warm water already arrive as far south as the ice front. This southward heat transport follows the eastern flank of the Filchner Depression and is found to be directly linked to the strength of a wind-driven coastal current. Our observations emphasize the potential sensitivity of Filchner-Ronne Ice Shelf melt rates to changes in wind forcing.</t>
  </si>
  <si>
    <t>[Darelius, E.; Fer, I.] Univ Bergen, Geophys Insitute, Alleg 70, N-5007 Bergen, Norway; [Darelius, E.; Fer, I.] Bjerknes Ctr Climate Res, Alleg 70, N-5007 Bergen, Norway; [Darelius, E.] UNI Res Climate, Nygardsgaten 112-114, N-5008 Bergen, Norway; [Nicholls, K. W.] British Antarctic Survey, High Cross Madingley Rd, Cambridge CB3 0ET, England</t>
  </si>
  <si>
    <t>University of Bergen; Bjerknes Centre for Climate Research; UK Research &amp; Innovation (UKRI); Natural Environment Research Council (NERC); NERC British Antarctic Survey</t>
  </si>
  <si>
    <t>Darelius, E (corresponding author), Univ Bergen, Geophys Insitute, Alleg 70, N-5007 Bergen, Norway.;Darelius, E (corresponding author), Bjerknes Ctr Climate Res, Alleg 70, N-5007 Bergen, Norway.;Darelius, E (corresponding author), UNI Res Climate, Nygardsgaten 112-114, N-5008 Bergen, Norway.</t>
  </si>
  <si>
    <t>darelius@gfi.uib.no</t>
  </si>
  <si>
    <t>Darelius, Elin/O-4096-2015; Fer, Ilker/C-7820-2012</t>
  </si>
  <si>
    <t>Fer, Ilker/0000-0002-2427-2532</t>
  </si>
  <si>
    <t>Norwegian Research council; NERC [NE/G014086/1, NE/L013770/1, bas0100033] Funding Source: UKRI; Natural Environment Research Council [NE/G014086/1, NE/L013770/1, bas0100033] Funding Source: researchfish</t>
  </si>
  <si>
    <t>Norwegian Research council(Research Council of Norway); NERC(UK Research &amp; Innovation (UKRI)Natural Environment Research Council (NERC)); Natural Environment Research Council(UK Research &amp; Innovation (UKRI)Natural Environment Research Council (NERC))</t>
  </si>
  <si>
    <t>The work was funded by the Norwegian Research council through the projects Weddell, WARM and AISESS. We are thankful to M. Schroder and the Alfred Wegener Institute for assistance in mooring recovery with RV Polarstern (PS82) and to S. Osterhus, S. Semper, H. Bryhni, K. Vage and M. Jensen for help with instrumentation during mooring recovery and deployment.</t>
  </si>
  <si>
    <t>10.1038/ncomms12300</t>
  </si>
  <si>
    <t>DS5XO</t>
  </si>
  <si>
    <t>WOS:000380856500001</t>
  </si>
  <si>
    <t>Hein, AS; Marrero, SM; Woodward, J; Dunning, SA; Winter, K; Westoby, MJ; Freeman, SPHT; Shanks, RP; Sugden, DE</t>
  </si>
  <si>
    <t>Hein, Andrew S.; Marrero, Shasta M.; Woodward, John; Dunning, Stuart A.; Winter, Kate; Westoby, Matthew J.; Freeman, Stewart P. H. T.; Shanks, Richard P.; Sugden, David E.</t>
  </si>
  <si>
    <t>Mid-Holocene pulse of thinning in the Weddell Sea sector of the West Antarctic ice sheet</t>
  </si>
  <si>
    <t>LAST GLACIAL MAXIMUM; NUCLIDE PRODUCTION-RATES; HALF-LIFE; LEVEL; EMBAYMENT; STREAM; BE-10; FLOW; AMS; DEGLACIATION</t>
  </si>
  <si>
    <t>Establishing the trajectory of thinning of the West Antarctic ice sheet (WAIS) since the last glacial maximum (LGM) is important for addressing questions concerning ice sheet (in) stability and changes in global sea level. Here we present detailed geomorphological and cosmogenic nuclide data from the southern Ellsworth Mountains in the heart of the Weddell Sea embayment that suggest the ice sheet, nourished by increased snowfall until the early Holocene, was close to its LGM thickness at 10 ka. A pulse of rapid thinning caused the ice elevation to fall similar to 400 m to the present level at 6.5-3.5 ka, and could have contributed 1.4-2m to global sea-level rise. These results imply that the Weddell Sea sector of the WAIS contributed little to late-glacial pulses in sea-level rise but was involved in mid-Holocene rises. The stepped decline is argued to reflect marine downdraw triggered by grounding line retreat into Hercules Inlet.</t>
  </si>
  <si>
    <t>[Hein, Andrew S.; Marrero, Shasta M.; Sugden, David E.] Univ Edinburgh, Sch GeoSci, Drummond St, Edinburgh EH8 9XP, Midlothian, Scotland; [Woodward, John; Dunning, Stuart A.; Winter, Kate; Westoby, Matthew J.] Northumbria Univ, Dept Geog, Ellison Pl, Newcastle Upon Tyne NE1 8ST, Tyne &amp; Wear, England; [Dunning, Stuart A.] Newcastle Univ, Sch Geog Polit &amp; Sociol, Newcastle Upon Tyne NE1 7RU, Tyne &amp; Wear, England; [Freeman, Stewart P. H. T.; Shanks, Richard P.] Scottish Univ Environm Res Ctr, E Kilbride G75 0QF, Lanark, Scotland</t>
  </si>
  <si>
    <t>University of Edinburgh; Northumbria University; Newcastle University - UK; Scottish Universities Research &amp; Reactor Center</t>
  </si>
  <si>
    <t>Hein, AS (corresponding author), Univ Edinburgh, Sch GeoSci, Drummond St, Edinburgh EH8 9XP, Midlothian, Scotland.</t>
  </si>
  <si>
    <t>Andy.Hein@ed.ac.uk</t>
  </si>
  <si>
    <t>Westoby, Matthew/JNE-9260-2023; Shanks, Richard P/M-4074-2013; Woodward, John/I-1046-2013; Hein, Andrew/JWO-3756-2024; Freeman, Stewart/AAA-6544-2020; Dunning, Stuart/A-1820-2010; Westoby, Matthew/D-3880-2016</t>
  </si>
  <si>
    <t>Freeman, Stewart/0000-0001-6148-3171; Woodward, John/0000-0002-4980-4080; Dunning, Stuart/0000-0002-2310-7367; Marrero, Shasta/0000-0003-2917-0292; Winter, Kate/0000-0003-2389-8637; Westoby, Matthew/0000-0002-2070-5580</t>
  </si>
  <si>
    <t>UK Natural Environment Research Council lead grant [NE/I025840/1, NE/I024194/1]; Natural Environment Research Council [NE/I027576/1, NE/I025840/1, NE/I024194/1] Funding Source: researchfish; NERC [NE/I024194/1, NE/I025840/1, NE/I027576/1] Funding Source: UKRI</t>
  </si>
  <si>
    <t>UK Natural Environment Research Council lead grant; Natural Environment Research Council(UK Research &amp; Innovation (UKRI)Natural Environment Research Council (NERC)); NERC(UK Research &amp; Innovation (UKRI)Natural Environment Research Council (NERC))</t>
  </si>
  <si>
    <t>The research was funded by the UK Natural Environment Research Council lead grant numbers NE/I025840/1 and NE/I024194/1, and all the data are provided in the Supplementary Materials. We thank the British Antarctic Survey for logistical and field support. We thank three anonymous reviewers for their constructive comments.</t>
  </si>
  <si>
    <t>10.1038/ncomms12511</t>
  </si>
  <si>
    <t>DU0OT</t>
  </si>
  <si>
    <t>Green Submitted, Green Accepted, Green Published, gold</t>
  </si>
  <si>
    <t>WOS:000381905100001</t>
  </si>
  <si>
    <t>Holloway, MD; Sime, LC; Singarayer, JS; Tindall, JC; Bunch, P; Valdes, PJ</t>
  </si>
  <si>
    <t>Holloway, Max D.; Sime, Louise C.; Singarayer, Joy S.; Tindall, Julia C.; Bunch, Pete; Valdes, Paul J.</t>
  </si>
  <si>
    <t>Antarctic last interglacial isotope peak in response to sea ice retreat not ice-sheet collapse</t>
  </si>
  <si>
    <t>EPICA DOME-C; PROBABILISTIC ASSESSMENT; CLIMATE VARIABILITY; BIPOLAR SEESAW; TEMPERATURE; LEVEL; MODEL; TRANSPORT; SURFACE; CORES</t>
  </si>
  <si>
    <t>Several studies have suggested that sea-level rise during the last interglacial implies retreat of the West Antarctic Ice Sheet (WAIS). The prevalent hypothesis is that the retreat coincided with the peak Antarctic temperature and stable water isotope values from 128,000 years ago (128 ka); very early in the last interglacial. Here, by analysing climate model simulations of last interglacial WAIS loss featuring water isotopes, we show instead that the isotopic response to WAIS loss is in opposition to the isotopic evidence at 128 ka. Instead, a reduction in winter sea ice area of 65 +/- 7% fully explains the 128 ka ice core evidence. Our finding of a marked retreat of the sea ice at 128 ka demonstrates the sensitivity of Antarctic sea ice extent to climate warming.</t>
  </si>
  <si>
    <t>[Holloway, Max D.; Sime, Louise C.] British Antarctic Survey, Ice Dynam &amp; Paleoclimate, Cambridge CB3 0ET, England; [Holloway, Max D.; Valdes, Paul J.] Univ Bristol, Sch Geog Sci, Bristol BS8 1SS, Avon, England; [Singarayer, Joy S.] Univ Reading, Dept Meteorol, Reading RG6 6BB, Berks, England; [Tindall, Julia C.] Univ Leeds, Sch Earth &amp; Environm, Leeds LS2 9JT, W Yorkshire, England; [Bunch, Pete] Univ Cambridge, Dept Engn, Cambridge CB2 1PZ, England</t>
  </si>
  <si>
    <t>UK Research &amp; Innovation (UKRI); Natural Environment Research Council (NERC); NERC British Antarctic Survey; University of Bristol; University of Reading; University of Leeds; University of Cambridge</t>
  </si>
  <si>
    <t>Holloway, MD (corresponding author), British Antarctic Survey, Ice Dynam &amp; Paleoclimate, Cambridge CB3 0ET, England.;Holloway, MD (corresponding author), Univ Bristol, Sch Geog Sci, Bristol BS8 1SS, Avon, England.</t>
  </si>
  <si>
    <t>mh12534@bristol.ac.uk</t>
  </si>
  <si>
    <t>Valdes, Paul J/C-4129-2013; Sime, Louise/AAX-7730-2021; Valdes, Paul/T-2004-2019</t>
  </si>
  <si>
    <t>Sime, Louise/0000-0002-9093-7926; Valdes, Paul/0000-0002-1902-3283; Holloway, Max/0000-0003-0709-3644</t>
  </si>
  <si>
    <t>Natural Environment Research Council (NERC) studentship; British Antarctic Survey Polar Science for Planet Earth Programme; European Research Council under the European Union's Seventh Framework Programme/ERC [278636]; NERC [NE/J004804/1]; NERC [NE/P009271/1, NE/J004804/1, bas0100034] Funding Source: UKRI; Natural Environment Research Council [NE/J004804/1, bas0100034, NE/P009271/1, 1246172] Funding Source: researchfish</t>
  </si>
  <si>
    <t>Natural Environment Research Council (NERC) studentship(UK Research &amp; Innovation (UKRI)Natural Environment Research Council (NERC)); British Antarctic Survey Polar Science for Planet Earth Programme; European Research Council under the European Union's Seventh Framework Programme/ERC(European Research Council (ERC));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</si>
  <si>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Pepijn Bakker for supplying sea ice model output from a selection of PMIP3 models covering the LIG, Peter Hopcroft for his advice on sea ice forcing and Eric Wolff for constructive discussion. We thank the four reviewers for their constructive comments, which helped improved the manuscript through the review process. M.D.H. is supported by a Natural Environment Research Council (NERC) studentship tied between the British Antarctic Survey and the University of Bristol. The work was partially funded by NERC grant NE/J004804/1, and also forms part of the British Antarctic Survey Polar Science for Planet Earth Programme. J.C.T. has received funding from the European Research Council under the European Union's Seventh Framework Programme (FP7/2007-2013)/ERC grant number 278636. The climate model simulations were carried out using the computational facilities of the Advanced Computing Research Centre, University of Bristol (http://www.bris.ac.uk/acrc/) and the ARCHER UK National Supercomputing Service (http://www.archer.ac.uk).</t>
  </si>
  <si>
    <t>10.1038/ncomms12293</t>
  </si>
  <si>
    <t>DT7TM</t>
  </si>
  <si>
    <t>Green Accepted, gold, Green Submitted, Green Published</t>
  </si>
  <si>
    <t>WOS:000381690200001</t>
  </si>
  <si>
    <t>Williams, GD; Herraiz-Borreguero, L; Roquet, F; Tamura, T; Ohshima, KI; Fukamachi, Y; Fraser, AD; Gao, L; Chen, H; McMahon, CR; Harcourt, R; Hindell, M</t>
  </si>
  <si>
    <t>Williams, G. D.; Herraiz-Borreguero, L.; Roquet, F.; Tamura, T.; Ohshima, K. I.; Fukamachi, Y.; Fraser, A. D.; Gao, L.; Chen, H.; McMahon, C. R.; Harcourt, R.; Hindell, M.</t>
  </si>
  <si>
    <t>The suppression of Antarctic bottom water formation by melting ice shelves in Prydz Bay</t>
  </si>
  <si>
    <t>SEA-ICE; EAST ANTARCTICA; CAPE DARNLEY; CIRCULATION; REGION; VARIABILITY; RATES; OCEANOGRAPHY; POLYNYA; BENEATH</t>
  </si>
  <si>
    <t>A fourth production region for the globally important Antarctic bottom water has been attributed to dense shelf water formation in the Cape Darnley Polynya, adjoining Prydz Bay in East Antarctica. Here we show new observations from CTD-instrumented elephant seals in 2011-2013 that provide the first complete assessment of dense shelf water formation in Prydz Bay. After a complex evolution involving opposing contributions from three polynyas (positive) and two ice shelves (negative), dense shelf water (salinity 34.65-34.7) is exported through Prydz Channel. This provides a distinct, relatively fresh contribution to Cape Darnley bottom water. Elsewhere, dense water formation is hindered by the freshwater input from the Amery and West Ice Shelves into the Prydz Bay Gyre. This study highlights the susceptibility of Antarctic bottom water to increased freshwater input from the enhanced melting of ice shelves, and ultimately the potential collapse of Antarctic bottom water formation in a warming climate.</t>
  </si>
  <si>
    <t>[Williams, G. D.; Hindell, M.] Univ Tasmania, Inst Marine &amp; Antarct Studies, Private Bag 129, Hobart, Tas 7001, Australia; [Williams, G. D.; Tamura, T.; Fraser, A. D.; Hindell, M.] Univ Tasmania, Antarctic Climate &amp; Ecosyst Cooperat Res Ctr, Private Bag 80, Hobart, Tas 7001, Australia; [Herraiz-Borreguero, L.] Univ Copenhagen, Niels Bohr Inst, Ctr Ice &amp; Climate, Julianne Marie Vej 30, DK-2100 Copenhagen, Denmark; [Roquet, F.] Stockholm Univ, Dept Meteorol, S-10691 Stockholm, Sweden; [Tamura, T.] Natl Inst Polar Res, Tokyo 1908518, Japan; [Tamura, T.] Sokendai Grad Univ Adv Studies, Tokyo 1908518, Japan; [Ohshima, K. I.; Fukamachi, Y.; Fraser, A. D.] Hokkaido Univ, Inst Low Temp Sci, Kita 19,Nishi 8, Sapporo, Hokkaido 0600819, Japan; [Gao, L.; Chen, H.] State Ocean Adm, Inst Oceanog 1, 6 Xianxialing Rd, Qingdao 266061, Peoples R China; [McMahon, C. R.; Harcourt, R.] Sydney Inst Marine Sci, 19 Chowder Bay Rd, Mosman, NSW 2088, Australia; [Harcourt, R.] Macquarie Univ, Dept Biol Sci, Sydney, NSW 2109, Australia</t>
  </si>
  <si>
    <t>University of Tasmania; Antarctic Climate &amp; Ecosystems Cooperative Research Centre (ACE CRC); University of Tasmania; University of Copenhagen; Niels Bohr Institute; Stockholm University; Research Organization of Information &amp; Systems (ROIS); National Institute of Polar Research (NIPR) - Japan; Graduate University for Advanced Studies - Japan; Hokkaido University; First Institute of Oceanography, Ministry of Natural Resources; Sydney Institute of Marine Science; Macquarie University</t>
  </si>
  <si>
    <t>Williams, GD (corresponding author), Univ Tasmania, Inst Marine &amp; Antarct Studies, Private Bag 129, Hobart, Tas 7001, Australia.;Williams, GD (corresponding author), Univ Tasmania, Antarctic Climate &amp; Ecosyst Cooperat Res Ctr, Private Bag 80, Hobart, Tas 7001, Australia.</t>
  </si>
  <si>
    <t>guy.darvall.williams@gmail.com</t>
  </si>
  <si>
    <t>Hindell, Mark A/K-1131-2013; Ohshima, Kay I/D-6909-2012; Fraser, Alexander/AFO-7186-2022; Roquet, Fabien/N-3221-2019; Fukamachi, Yasushi/D-1895-2012; McMahon, Clive R/D-5713-2013; Roquet, Fabien/D-4848-2013; Herraiz-Borreguero, Laura/D-5795-2015</t>
  </si>
  <si>
    <t>Fraser, Alexander/0000-0003-1924-0015; Roquet, Fabien/0000-0003-1124-4564; Fukamachi, Yasushi/0000-0001-5798-9380; McMahon, Clive R/0000-0001-5241-8917; Gao, Libao/0000-0002-0402-9340; Harcourt, Robert/0000-0003-4666-2934; Herraiz-Borreguero, Laura/0000-0002-4455-801X; Hindell, Mark/0000-0002-7823-7185</t>
  </si>
  <si>
    <t>Australian Research Council; Australian Cooperative Research Centre program; Ministry of Education, Culture, Sports, Science and Technology in Japan [20221001, 20540419, 23340135, 25241001]; Chinese Arctic and Antarctic Administration (CAA) in China [CHINARE2016-01-01]; State Oceanographic Administration (SOA) in China; Canon Foundation Ltd.; Australian Government through the National Collaborative Research Infrastructure Strategy; Australian Government through Super Science Initiative; Grants-in-Aid for Scientific Research [26740007, 23340135, 20540419, 25241001] Funding Source: KAKEN</t>
  </si>
  <si>
    <t>Australian Research Council(Australian Research Council); Australian Cooperative Research Centre program(Australian GovernmentDepartment of Industry, Innovation and ScienceCooperative Research Centres (CRC) Programme); Ministry of Education, Culture, Sports, Science and Technology in Japan(Ministry of Education, Culture, Sports, Science and Technology, Japan (MEXT)); Chinese Arctic and Antarctic Administration (CAA) in China; State Oceanographic Administration (SOA) in China; Canon Foundation Ltd.; Australian Government through the National Collaborative Research Infrastructure Strategy(Australian GovernmentDepartment of Industry, Innovation and Science); Australian Government through Super Science Initiative(Australian Government); Grants-in-Aid for Scientific Research(Ministry of Education, Culture, Sports, Science and Technology, Japan (MEXT)Japan Society for the Promotion of ScienceGrants-in-Aid for Scientific Research (KAKENHI))</t>
  </si>
  <si>
    <t>This study was funded by the Australian Research Council and supported by the Australian Cooperative Research Centre program. Complimentary support provided by Grants-in-Aid for Scientific Research (20221001, 20540419, 23340135, 25241001) from the Ministry of Education, Culture, Sports, Science and Technology in Japan and by the CHINARE2016-01-01 project from the Chinese Arctic and Antarctic Administration (CAA) and State Oceanographic Administration (SOA) in China. T.T. and G.D.W. were supported by the Canon Foundation Ltd. Important discussions were made possible through the Group of Eight China-Australia 'Young Researcher Exchange Program'. Data were sourced from the Integrated Marine Observing System (IMOS)-IMOS is supported by the Australian Government through the National Collaborative Research Infrastructure Strategy and the Super Science Initiative. The manuscript benefited greatly as a result of the critical input from two anonymous reviewers.</t>
  </si>
  <si>
    <t>10.1038/ncomms12577</t>
  </si>
  <si>
    <t>DU1DS</t>
  </si>
  <si>
    <t>Green Submitted, gold, Green Published, Green Accepted</t>
  </si>
  <si>
    <t>WOS:000381949000001</t>
  </si>
  <si>
    <t>Bindoff, NL; Hobbs, WR</t>
  </si>
  <si>
    <t>Bindoff, Nathaniel L.; Hobbs, William R.</t>
  </si>
  <si>
    <t>SOUTHERN OCEAN Sea-ice-driven shallow overturning</t>
  </si>
  <si>
    <t>CIRCULATION; WATER</t>
  </si>
  <si>
    <t>[Bindoff, Nathaniel L.; Hobbs, William R.] UNSW Sydney, ARC Ctr Excellence Climate Syst Sci, Sydney, NSW 2052, Australia; [Bindoff, Nathaniel L.; Hobbs, William R.] Univ Tasmania, Antarctic Climate &amp; Ecosyst Cooperat Res Ctr, Private Bag 80, Hobart, Tas 7001, Australia; [Bindoff, Nathaniel L.] Univ Tasmania, IMAS, Sandy Bay, Tas 7005, Australia; [Bindoff, Nathaniel L.] CSIRO Marine &amp; Atmospher Res, Hobart, Tas 7000, Australia</t>
  </si>
  <si>
    <t>University of New South Wales Sydney; ARC Centre of Excellence for Climate System Science; Antarctic Climate &amp; Ecosystems Cooperative Research Centre (ACE CRC); University of Tasmania; University of Tasmania; Commonwealth Scientific &amp; Industrial Research Organisation (CSIRO)</t>
  </si>
  <si>
    <t>Bindoff, NL (corresponding author), UNSW Sydney, ARC Ctr Excellence Climate Syst Sci, Sydney, NSW 2052, Australia.;Bindoff, NL (corresponding author), Univ Tasmania, Antarctic Climate &amp; Ecosyst Cooperat Res Ctr, Private Bag 80, Hobart, Tas 7001, Australia.</t>
  </si>
  <si>
    <t>N.Bindoff@utas.edu.au; will.hobbs@utas.edu.au</t>
  </si>
  <si>
    <t>Bindoff, Nathaniel Lee/IVV-0333-2023; Bindoff, Nathaniel Lee/C-8050-2011; Hobbs, Will/P-8094-2019</t>
  </si>
  <si>
    <t>Bindoff, Nathaniel Lee/0000-0001-5662-9519; Bindoff, Nathaniel Lee/0000-0001-5662-9519; Hobbs, Will/0000-0002-2061-0899</t>
  </si>
  <si>
    <t>10.1038/ngeo2766</t>
  </si>
  <si>
    <t>DU3UO</t>
  </si>
  <si>
    <t>WOS:000382137900006</t>
  </si>
  <si>
    <t>Meehl, GA; Arblaster, JM; Bitz, CM; Chung, CTY; Teng, HY</t>
  </si>
  <si>
    <t>Meehl, Gerald A.; Arblaster, Julie M.; Bitz, Cecilia M.; Chung, Christine T. Y.; Teng, Haiyan</t>
  </si>
  <si>
    <t>Antarctic sea-ice expansion between 2000 and 2014 driven by tropical Pacific decadal climate variability</t>
  </si>
  <si>
    <t>CIRCULATION; HIATUS; TRENDS; OCEAN; IMPACTS; EXTENT; HOLE</t>
  </si>
  <si>
    <t>Antarctic sea-ice extent has been slowly increasing in the satellite record that began in 1979(1,2). Since the late 1990s, the increase has accelerated, but the average of all climate models shows a decline(3). Meanwhile, the Interdecadal Pacific Oscillation, an internally generated mode of climate variability(4), transitioned from positive to negative(5), with an average cooling of tropical Pacific sea surface temperatures(5), a slowdown of the global warming trend(6-8) and a deepening of the Amundsen Sea Low near Antarctica(1,9-12) that has contributed to regional circulation changes in the Ross Sea region and expansion of sea ice(10). Here we show that the negative phase of the Interdecadal Pacific Oscillation in global coupled climate models is characterized by anomalies similar to the observed sea-level pressure and near-surface 850 hPa wind changes near Antarctica since 2000 that are conducive to expanding Antarctic sea-ice extent, particularly in the Ross Sea region in all seasons, involving a deepening of the Amundsen Sea Low. These atmospheric circulation changes are shown to be mainly driven by precipitation and convective heating anomalies related to the Interdecadal Pacific Oscillation in the equatorial eastern Pacific, with additional contributions from convective heating anomalies in the South Pacific convergence zone and tropical Atlantic regions.</t>
  </si>
  <si>
    <t>[Meehl, Gerald A.; Arblaster, Julie M.; Teng, Haiyan] Natl Ctr Atmospher Res, POB 3000, Boulder, CO 80307 USA; [Arblaster, Julie M.] Monash Univ, Melbourne, Vic 3008, Australia; [Bitz, Cecilia M.] Univ Washington, Seattle, WA 98195 USA; [Chung, Christine T. Y.] Bur Meteorol, Melbourne, Vic 3001, Australia</t>
  </si>
  <si>
    <t>National Center Atmospheric Research (NCAR) - USA; Monash University; Melbourne Genomics Health Alliance; University of Washington; University of Washington Seattle; Bureau of Meteorology - Australia</t>
  </si>
  <si>
    <t>Meehl, GA (corresponding author), Natl Ctr Atmospher Res, POB 3000, Boulder, CO 80307 USA.</t>
  </si>
  <si>
    <t>meehl@ucar.edu</t>
  </si>
  <si>
    <t>Bitz, Cecilia M/S-8423-2016; Arblaster, Julie/C-1342-2010</t>
  </si>
  <si>
    <t>Arblaster, Julie/0000-0002-4287-2363; Bitz, Cecilia/0000-0002-9477-7499</t>
  </si>
  <si>
    <t>Regional and Global Climate Modeling Program (RGCM) of the US Department of Energy's Office of Biological &amp; Environmental Research (BER) Cooperative Agreement [DE-FC02-97ER62402]; National Science Foundation; National Science Foundation [PLR-1341497]; Office of Science of the US Department of Energy [DE-AC02-05CH11231]; Office of Polar Programs (OPP); Directorate For Geosciences [1341497] Funding Source: National Science Foundation</t>
  </si>
  <si>
    <t>Regional and Global Climate Modeling Program (RGCM) of the US Department of Energy's Office of Biological &amp; Environmental Research (BER) Cooperative Agreement(United States Department of Energy (DOE)); National Science Foundation(National Science Foundation (NSF)); National Science Foundation(National Science Foundation (NSF)); Office of Science of the US Department of Energy(United States Department of Energy (DOE)); Office of Polar Programs (OPP); Directorate For Geosciences(National Science Foundation (NSF)NSF - Directorate for Geosciences (GEO))</t>
  </si>
  <si>
    <t>Portions of this study were supported by the Regional and Global Climate Modeling Program (RGCM) of the US Department of Energy's Office of Biological &amp; Environmental Research (BER) Cooperative Agreement no. DE-FC02-97ER62402, and the National Science Foundation. C.M.B. is grateful for funding from the National Science Foundation through grant PLR-1341497. We acknowledge the World Climate Research Programme's Working Group on Coupled Modelling, which is responsible for CMIP, and we thank the climate modelling groups for producing and making available their model output. Parts of this research used resources of the National Energy Research Scientific Computing Center, which is supported by the Office of Science of the US Department of Energy under Contract No. DE-AC02-05CH11231. For CMIP, the US Department of Energy's Program for Climate Model Diagnosis and Intercomparison provides coordinating support and led development of software infrastructure in partnership with the Global Organization for Earth System Science Portals. The National Center for Atmospheric Research is sponsored by the National Science Foundation.</t>
  </si>
  <si>
    <t>10.1038/NGEO2751</t>
  </si>
  <si>
    <t>WOS:000382137900014</t>
  </si>
  <si>
    <t>Abernathey, RP; Cerovecki, I; Holland, PR; Newsom, E; Mazlo, M; Talley, LD</t>
  </si>
  <si>
    <t>Abernathey, Ryan P.; Cerovecki, Ivana; Holland, Paul R.; Newsom, Emily; Mazlo, Matt; Talley, Lynne D.</t>
  </si>
  <si>
    <t>Water-mass transformation by sea ice in the upper branch of the Southern Ocean overturning</t>
  </si>
  <si>
    <t>MIXED-LAYER; CIRCULATION; TRANSPORT; DRIVEN; MODEL; FLUX; ENHANCEMENT; VENTILATION; EVOLUTION; CLOSURE</t>
  </si>
  <si>
    <t>Ocean overturning circulation requires a continuous thermodynamic transformation of the buoyancy of seawater. The steeply sloping isopycnals of the Southern Ocean provide a pathway for Circumpolar Deep Water to upwell from mid depth without strong diapycnal mixing(1-3), where it is transformed directly by surface fluxes of heat and freshwater and splits into an upper and lower branch(4-6). While brine rejection from sea ice is thought to contribute to the lower branch(7), the role of sea ice in the upper branch is less well understood, partly due to a paucity of observations of sea-ice thickness and transport(8,9). Here we quantify the sea-ice freshwater flux using the Southern Ocean State Estimate, a state-of-the-art data assimilation that incorporates millions of ocean and ice observations. We then use the water-mass transformation framework(10) to compare the relative roles of atmospheric, sea-ice, and glacial freshwater fluxes, heat fluxes, and upper-ocean mixing in transforming buoyancy within the upper branch. We find that sea ice is a dominant term, with differential brine rejection and ice melt transforming upwelled Circumpolar Deep Water at a rate of similar to 22 x 10(6) m(3) s(-1). These results imply a prominent role for Antarctic sea ice in the upper branch and suggest that residual overturning and wind-driven sea-ice transport are tightly coupled.</t>
  </si>
  <si>
    <t>[Abernathey, Ryan P.] Columbia Univ, Lamont Doherty Earth Observ, Palisades, NY 10964 USA; [Cerovecki, Ivana; Mazlo, Matt; Talley, Lynne D.] Scripps Inst Oceanog, La Jolla, CA 92093 USA; [Holland, Paul R.] British Antarctic Survey, Cambridge CB3 0ET, England; [Newsom, Emily] Univ Washington, Seattle, WA 98195 USA</t>
  </si>
  <si>
    <t>Columbia University; University of California System; University of California San Diego; Scripps Institution of Oceanography; UK Research &amp; Innovation (UKRI); Natural Environment Research Council (NERC); NERC British Antarctic Survey; University of Washington; University of Washington Seattle</t>
  </si>
  <si>
    <t>Abernathey, RP (corresponding author), Columbia Univ, Lamont Doherty Earth Observ, Palisades, NY 10964 USA.</t>
  </si>
  <si>
    <t>rpa@ldeo.columbia.edu</t>
  </si>
  <si>
    <t>Holland, Paul R/G-2796-2012; Mazloff, Matthew/AAG-6463-2019</t>
  </si>
  <si>
    <t>Mazloff, Matthew/0000-0002-1650-5850; Talley, Lynne/0000-0003-1574-729X; Newsom, Emily/0000-0002-3436-3833</t>
  </si>
  <si>
    <t>NSF [OCE-1357133, OCE-1357072, PLR-1425989, OCE-1234473]; New International Fellowship Mobility Programme for Experienced Researchers-NEWFELPRO under the European Union's Seventh Framework Programme for research, technological development and demonstration (FP7-PEOPLE-COFUND-MCA); Yellowstone; National Science Foundation; Yeti HPC cluster; Columbia University Research Computing Services; NSF-XSEDE [OCE130007]; Natural Environment Research Council [bas0100033] Funding Source: researchfish; NERC [bas0100033] Funding Source: UKRI; Directorate For Geosciences; Division Of Ocean Sciences [1234473] Funding Source: National Science Foundation; Division Of Ocean Sciences; Directorate For Geosciences [1357133] Funding Source: National Science Foundation; Office of Polar Programs (OPP); Directorate For Geosciences [1425989] Funding Source: National Science Foundation</t>
  </si>
  <si>
    <t>NSF(National Science Foundation (NSF)); New International Fellowship Mobility Programme for Experienced Researchers-NEWFELPRO under the European Union's Seventh Framework Programme for research, technological development and demonstration (FP7-PEOPLE-COFUND-MCA); Yellowstone; National Science Foundation(National Science Foundation (NSF)); Yeti HPC cluster; Columbia University Research Computing Services; NSF-XSEDE; Natural Environment Research Council(UK Research &amp; Innovation (UKRI)Natural Environment Research Council (NERC)); NERC(UK Research &amp; Innovation (UKRI)Natural Environment Research Council (NERC)); Directorate For Geosciences; Division Of Ocean Sciences(National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</si>
  <si>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R.P.A. acknowledges support from NSF grant OCE-1357133. I.C., L.D.T. and M.M. acknowledge support from NSF grant OCE-1357072. L.D.T. and M.M. acknowledge additional support from NSF grant PLR-1425989, and M.M. from OCE-1234473. I.C. acknowledges additional support from the New International Fellowship Mobility Programme for Experienced Researchers-NEWFELPRO under the European Union's Seventh Framework Programme for research, technological development and demonstration (FP7-PEOPLE-2011-COFUND-MCA). We acknowledge high-performance computing support from Yellowstone (ark:/85065/d7wd3xhc) provided by NCAR's Computational and Information Systems Laboratory, sponsored by the National Science Foundation, and from the Yeti HPC cluster, provided by Columbia University Research Computing Services. SOSE was produced with support from NSF-XSEDE grant OCE130007.</t>
  </si>
  <si>
    <t>10.1038/NGEO2749</t>
  </si>
  <si>
    <t>WOS:000382137900015</t>
  </si>
  <si>
    <t>Barthélemy, A; Fichefet, T; Goosse, H; Madec, G</t>
  </si>
  <si>
    <t>Barthelemy, Antoine; Fichefet, Thierry; Goosse, Hugues; Madec, Gurvan</t>
  </si>
  <si>
    <t>A multi-column vertical mixing scheme to parameterize the heterogeneity of oceanic conditions under sea ice</t>
  </si>
  <si>
    <t>Model; Ice thickness distribution; Subgrid-scale; Ocean vertical mixing; Arctic; Antarctic</t>
  </si>
  <si>
    <t>DEEP-WATER FORMATION; MIXED-LAYER; THICKNESS DISTRIBUTION; SUMMERTIME LEADS; MASS-BALANCE; ARCTIC-OCEAN; FLOE SIZE; MODEL; HEAT; EXCHANGE</t>
  </si>
  <si>
    <t>The heterogeneity of ocean surface conditions associated with a spatially variable sea ice cover needs to be represented in models in order to represent adequately mixed layer processes and the upper ocean density structure. This study assesses the sensitivity of the ocean-sea ice model NEMO-LIM to a subgrid-scale representation of ice-ocean interactions. The sea ice component includes an ice thickness distribution, which provides heterogeneous surface buoyancy fluxes and stresses. A multi-column ocean scheme is developed to take them explicitly into account, by computing convection and turbulent vertical mixing separately in the open water/lead fraction of grid cells and below each ice thickness category. For the first time in a three-dimensional simulation, the distinct temperature and salinity profiles of the ocean columns are allowed to be maintained over several time steps. It is shown that the model response is highly sensitive to the homogenization time scale between the columns. If the latter are laterally mixed with time scales shorter than 10 h, subgrid-scale effects exist but the mean state is practically unaffected. For longer mixing time scales, in both hemispheres, the main impacts are reductions in under-ice mean mixed layer depths and in the summer melt of sea ice, following decreased oceanic heat flux at the ice base. Large changes in the open water temperature in summer suggest that the scheme could trigger important feedback processes in coupled simulations. (C) 2016 Elsevier Ltd. All rights reserved.</t>
  </si>
  <si>
    <t>[Barthelemy, Antoine; Fichefet, Thierry; Goosse, Hugues] Catholic Univ Louvain, Earth &amp; Life Inst, Georges Lemaitre Ctr Earth &amp; Climate Res TECLIM, Louvain La Neuve, Belgium; [Madec, Gurvan] Univ Paris 06, Sorbonne Univ, CNRS,IRD,MNHN, LOCEAN,IPSL, Paris, France; [Madec, Gurvan] Natl Oceanog Ctr, Southampton, Hants, England</t>
  </si>
  <si>
    <t>Universite Catholique Louvain; Museum National d'Histoire Naturelle (MNHN); Sorbonne Universite; Institut de Recherche pour le Developpement (IRD); Centre National de la Recherche Scientifique (CNRS); Universite Paris Cite; NERC National Oceanography Centre</t>
  </si>
  <si>
    <t>Barthélemy, A (corresponding author), Georges Lemaitre Ctr Earth &amp; Climate Res, Pl Louis Pasteur 3,Box L4-03-08, B-1348 Louvain La Neuve, Belgium.</t>
  </si>
  <si>
    <t>antoine.barthelemy@uclouvain.be; thierry.fichefet@uclouvain.be; hugues.goosse@uclouvain.be; gm@locean-ipsl.upmc.fr</t>
  </si>
  <si>
    <t>madec, gurvan/E-7825-2010</t>
  </si>
  <si>
    <t>madec, gurvan/0000-0002-6447-4198</t>
  </si>
  <si>
    <t>Fonds de la Recherche Scientifique (F.R.S.-FNRS/Belgium); EU-FP7 project SWARP [607476]; F.R.S.-FNRS [2.5020.11]; NERC [noc010010] Funding Source: UKRI; Natural Environment Research Council [noc010010] Funding Source: researchfish</t>
  </si>
  <si>
    <t>Fonds de la Recherche Scientifique (F.R.S.-FNRS/Belgium)(Fonds de la Recherche Scientifique - FNRS); EU-FP7 project SWARP; F.R.S.-FNRS(Fonds de la Recherche Scientifique - FNRS); NERC(UK Research &amp; Innovation (UKRI)Natural Environment Research Council (NERC)); Natural Environment Research Council(UK Research &amp; Innovation (UKRI)Natural Environment Research Council (NERC))</t>
  </si>
  <si>
    <t>A. Barthelemy and H. Goosse are respectively Research Assistant and Research Director with the Fonds de la Recherche Scientifique (F.R.S.-FNRS/Belgium), which supports this work. G. Madec was also supported by EU-FP7 project SWARP under grant agreement 607476. Computational resources have been provided by the supercomputing facilities of the Universite catholique de Louvain (CISM/UCL) and the Consortium des Equipements de Calcul Intensif en Federation Wallonie Bruxelles (CECI) funded by the F.R.S.-FNRS under convention 2.5020.11.</t>
  </si>
  <si>
    <t>10.1016/j.ocemod.2016.05.005</t>
  </si>
  <si>
    <t>DS3HH</t>
  </si>
  <si>
    <t>WOS:000380673200003</t>
  </si>
  <si>
    <t>Merino, N; Le Sommer, J; Durand, G; Jourdain, NC; Madec, G; Mathiot, P; Tournadre, J</t>
  </si>
  <si>
    <t>Merino, Nacho; Le Sommer, Julien; Durand, Gael; Jourdain, Nicolas C.; Madec, Gurvan; Mathiot, Pierre; Tournadre, Jean</t>
  </si>
  <si>
    <t>Antarctic icebergs melt over the Southern Ocean: Climatology and impact on sea ice</t>
  </si>
  <si>
    <t>Icebergs; Southern Ocean; Sea ice; Freshwater fluxes</t>
  </si>
  <si>
    <t>FRESH-WATER FLUX; INTERACTIVE ICEBERGS; TRENDS; VARIABILITY; EXTENT; THERMODYNAMICS; SENSITIVITY; RECORD; MODEL</t>
  </si>
  <si>
    <t>Recent increase in Antarctic freshwater release to the Southern Ocean is suggested to contribute to change in water masses and sea ice. However, climate models differ in their representation of the freshwater sources. Recent improvements in altimetry-based detection of small icebergs and in estimates of the mass loss of Antarctica may help better constrain the values of Antarctic freshwater releases. We propose a model-based seasonal climatology of iceberg melt over the Southern Ocean using state-of-the-art observed glaciological estimates of the Antarctic mass loss. An improved version of a Lagrangian iceberg model is coupled with a global, eddy-permitting ocean/sea ice model and compared to small icebergs observations. Iceberg melt increases sea ice cover, about 10% in annual mean sea ice volume, and decreases sea surface temperature over most of the Southern Ocean, but with distinctive regional patterns. Our results underline the importance of improving the representation of Antarctic freshwater sources. This can be achieved by forcing ocean/sea ice models with a climatological iceberg fresh-water flux. (C) 2016 Elsevier Ltd. All rights reserved.</t>
  </si>
  <si>
    <t>[Merino, Nacho; Le Sommer, Julien; Durand, Gael; Jourdain, Nicolas C.] CNRS, LGGE, F-38041 Grenoble, France; [Merino, Nacho; Le Sommer, Julien; Durand, Gael; Jourdain, Nicolas C.] Univ Grenoble Alpes, LGGE, F-38041 Grenoble, France; [Madec, Gurvan] CNRS MNHN IRD UPMC, LOCEAN, Paris, France; [Madec, Gurvan] NOC, Southampton, Hants, England; [Mathiot, Pierre] Met Off, Exeter, Devon, England; [Tournadre, Jean] IFREMER, LOS, Brest, France</t>
  </si>
  <si>
    <t>Communaute Universite Grenoble Alpes; Universite Grenoble Alpes (UGA); Centre National de la Recherche Scientifique (CNRS); Communaute Universite Grenoble Alpes; Universite Grenoble Alpes (UGA); Sorbonne Universite; Museum National d'Histoire Naturelle (MNHN); Institut de Recherche pour le Developpement (IRD); NERC National Oceanography Centre; Met Office - UK; Ifremer</t>
  </si>
  <si>
    <t>Merino, N (corresponding author), CNRS, LGGE, F-38041 Grenoble, France.;Merino, N (corresponding author), Univ Grenoble Alpes, LGGE, F-38041 Grenoble, France.</t>
  </si>
  <si>
    <t>ignacio.merino.cue@gmail.com</t>
  </si>
  <si>
    <t>madec, gurvan/E-7825-2010; Le Sommer, Julien/ABG-8801-2021; Jourdain, Nicolas/B-6899-2015; Tournadre, Jean/F-8402-2010</t>
  </si>
  <si>
    <t>madec, gurvan/0000-0002-6447-4198; Le Sommer, Julien/0000-0002-6882-2938; Jourdain, Nicolas/0000-0002-1372-2235; Mathiot, Pierre/0000-0002-2001-0762; Tournadre, Jean/0000-0003-1159-4388; Durand, Gael/0000-0001-8979-2355</t>
  </si>
  <si>
    <t>French National Research Agency (ANR) under the SUMER (Blanc SIMI 6) project [ANR-12-BS06-0018]; Natural Environment Research Council [noc010010] Funding Source: researchfish; NERC [noc010010] Funding Source: UKRI</t>
  </si>
  <si>
    <t>French National Research Agency (ANR) under the SUMER (Blanc SIMI 6) project(Agence Nationale de la Recherche (ANR)); Natural Environment Research Council(UK Research &amp; Innovation (UKRI)Natural Environment Research Council (NERC)); NERC(UK Research &amp; Innovation (UKRI)Natural Environment Research Council (NERC))</t>
  </si>
  <si>
    <t>We would like to thank Jean Marc Molines for his invaluable help with model configuration. Numerical simulations were performed on IDRIS supercomputers (Saclay, France). The study was partially funded by the French National Research Agency (ANR) under the SUMER (Blanc SIMI 6) 2012 project, referenced as ANR-12-BS06-0018. NCJ is an Associate Investigator with the ARCCSS (ARC Centre of Excellence for Climate System Science). Finally, we would like to thank the three anonymous reviewers and the editor Stephen Griffies for their helpful and constructive contribution to this work.</t>
  </si>
  <si>
    <t>10.1016/j.ocemod.2016.05.001</t>
  </si>
  <si>
    <t>WOS:000380673200008</t>
  </si>
  <si>
    <t>Balmer, S; Sarnthein, M; Mudelsee, M; Grootes, PM</t>
  </si>
  <si>
    <t>Balmer, Sven; Sarnthein, Michael; Mudelsee, Manfred; Grootes, Pieter M.</t>
  </si>
  <si>
    <t>Refined modeling and 14C plateau tuning reveal consistent patterns of glacial and deglacial 14C reservoir ages of surface waters in low-latitude Atlantic</t>
  </si>
  <si>
    <t>C-14 reservoir ages; Atlantic paleoceangoraphy; surface water hydrography; glacial-to-deglacial variability; data-model comparison</t>
  </si>
  <si>
    <t>PLANKTIC FORAMINIFERA; OCEAN CIRCULATION; UPWELLING DRIVEN; LAST GLACIATION; SOUTH ATLANTIC; VENTILATION; CARBON; CALIBRATION; RECORD; BRAZIL</t>
  </si>
  <si>
    <t>Modeling studies predict that changes in radiocarbon (C-14) reservoir ages of surface waters during the last deglacial episode will reflect changes in both atmospheric C-14 concentration and ocean circulation including the Atlantic Meridional Overturning Circulation. Tests of these models require the availability of accurate C-14 reservoir ages in well-dated late Quaternary time series. We here test two models using plateau-tuned C-14 time series in multiple well-placed sediment core age-depth sequences throughout the lower latitudes of the Atlantic Ocean. C-14 age plateau tuning in glacial and deglacial sequences provides accurate calendar year ages that differ by as much as 500-2500years from those based on assumed global reservoir ages around 400years. This study demonstrates increases in local Atlantic surface reservoir ages of up to 1000years during the Last Glacial Maximum, ages that reflect stronger trades off Benguela and summer winds off southern Brazil. By contrast, surface water reservoir ages remained close to zero in the Cariaco Basin in the southern Caribbean due to lagoon-style isolation and persistently strong atmospheric CO2 exchange. Later, during the early deglacial (16ka) reservoir ages decreased to a minimum of 170-420 (14)Cyears throughout the South Atlantic, likely in response to the rapid rise in atmospheric pCO(2) and Antarctic temperatures occurring then. Changes in magnitude and geographic distribution of C-14 reservoir ages of peak glacial and deglacial surface waters deviate from the results of Franke et al. (2008) but are generally consistent with those of the more advanced ocean circulation model of Butzin et al. (2012).</t>
  </si>
  <si>
    <t>[Balmer, Sven; Sarnthein, Michael] Univ Kiel, Inst Geosci, Kiel, Germany; [Mudelsee, Manfred] Climate Risk Anal, Bad Gandersheim, Germany; [Mudelsee, Manfred] Helmholtz Ctr Polar &amp; Marine Res, Alfred Wegener Inst, Bremerhaven, Germany; [Grootes, Pieter M.] Univ Kiel, Inst Ecosyst Res, Kiel, Germany</t>
  </si>
  <si>
    <t>University of Kiel; Helmholtz Association; Alfred Wegener Institute, Helmholtz Centre for Polar &amp; Marine Research; University of Kiel</t>
  </si>
  <si>
    <t>Balmer, S (corresponding author), Univ Kiel, Inst Geosci, Kiel, Germany.</t>
  </si>
  <si>
    <t>balmer@gpi.uni-kiel.de</t>
  </si>
  <si>
    <t>Grootes, Pieter M/F-4952-2011; Mudelsee, Manfred/C-6063-2018</t>
  </si>
  <si>
    <t>Grootes, Pieter/0000-0003-4265-3168; Mudelsee, Manfred/0000-0002-2364-9561</t>
  </si>
  <si>
    <t>DFG [Sa207/48]</t>
  </si>
  <si>
    <t>We acknowledge valuable discussions with Gerrit Lohmann and Birgit Schneider, as well as most constructive suggestions of reviewers on an earlier version of this manuscript. We thank the Kiel Leibniz Laboratory for AMS 14C ages and John Southon, University of California Irvine, for measuring AMS 14C ages on extremely small foraminifera samples, as well as various students for careful help in sample preparation. Samples from South Atlantic cores were kindly provided by Delia Oppo, Woods Hole, and MARUM, Bremen, that also gave access to an XRF facility. Our study was supported by DFG grant Sa207/48. Scientific data are stored at http://doi.pangaea.de/10.1594/PANGAEA.</t>
  </si>
  <si>
    <t>10.1002/2016PA002953</t>
  </si>
  <si>
    <t>DW4MF</t>
  </si>
  <si>
    <t>WOS:000383616500001</t>
  </si>
  <si>
    <t>Zhang, F; Lin, L; Gao, Y; Cao, SN; He, JF</t>
  </si>
  <si>
    <t>Zhang, Fang; Lin, Ling; Gao, Yuan; Cao, Shunan; He, Jianfeng</t>
  </si>
  <si>
    <t>Ecophysiology of picophytoplankton in different water masses of the northern Bering Sea</t>
  </si>
  <si>
    <t>Bering Sea; Picophytoplankton; Ecophysiology; Physicochemical correlation; Seasonal water mass</t>
  </si>
  <si>
    <t>ARCTIC PACIFIC-OCEAN; COMMUNITY STRUCTURE; PHYTOPLANKTON; PICOPLANKTON; SIZE; TEMPERATURE; ABUNDANCE; BIOMASS; SUMMER; NANOPHYTOPLANKTON</t>
  </si>
  <si>
    <t>Picophytoplankton are important primary producers in oligotrophic waters and sensitive to environmental changes. However, little is known about their ecophysiology in the northern Bering Sea with complex water masses. The distribution of picophytoplankton with their optical physiological features and physicochemical characteristics as well as water masses were investigated on the northern Bering Sea Shelf during the summer of 2008. Flow cytometry and statistical analysis including Pearson correlation analysis and cluster analysis were the main methods used. Synechococcus and picoeukaryotes were the primary existing picophytoplankton assemblages, with their respective abundances ranging from 0 to 2.69 x 10(6) and 0.47 x 10(6) to 13.20 x 10(6) cells l(-1) and peaking at water depths of 10-30 m with surface light levels of 30-50 %. Larger Synechococcus cells contained larger amounts of chlorophyll a (Chl a) and phycoerythrin. Low temperature, high nutrient concentrations and a high N/P value (&gt; 7) might limit cell abundance of picoeukaryotes, as shown by their close relationships. With an increase of temperature and oligotrophic freshwater input, smaller picophytoplankton would thrive and the cellular Chl a (Chl a/cell) increase with higher contribution to total Chl a. Seven water types with different physicochemical and biological characteristics were differentiated using the mini-ecosystem (a descriptor of a composite of parameters defining a composite water type community, including temperature, salinity, macronutrients and community abundance of picophytoplankton) as an indicator. They are Alaska Coastal Water, Bering Shelf Surface Water, 20-40 m of Bering Shelf Water, Bering Shelf Cold Water, Anadyr Water, Anadyr-Bering Shelf Water (Bering Sea Water) and Cold Pool.</t>
  </si>
  <si>
    <t>[Zhang, Fang; Lin, Ling; Gao, Yuan; Cao, Shunan; He, Jianfeng] Polar Res Inst China, SOA Key Lab Polar Sci, Shanghai 200136, Peoples R China; [Gao, Yuan] Xiamen Univ, Dept Oceanog, Xiamen 361005, Peoples R China</t>
  </si>
  <si>
    <t>Polar Research Institute of China; Xiamen University</t>
  </si>
  <si>
    <t>Zhang, F (corresponding author), Polar Res Inst China, SOA Key Lab Polar Sci, Shanghai 200136, Peoples R China.</t>
  </si>
  <si>
    <t>zhangfang@pric.org.cn</t>
  </si>
  <si>
    <t>Gao, yuan/HLH-1794-2023; Gao, Yuanhao/KFS-3943-2024; GAO, YUAN/HMP-5961-2023; Zhang, Fang/AAX-3262-2021</t>
  </si>
  <si>
    <t>Zhang, Fang/0000-0002-0300-8273</t>
  </si>
  <si>
    <t>National Natural Science Foundation [41206189, 41076130]; China International Polar Year Plan and Foreign Cooperation - CAAA [IC201307]</t>
  </si>
  <si>
    <t>National Natural Science Foundation(National Natural Science Foundation of China (NSFC)); China International Polar Year Plan and Foreign Cooperation - CAAA</t>
  </si>
  <si>
    <t>This work was supported by the National Natural Science Foundation (41206189, 41076130), the China International Polar Year Plan and Foreign Cooperation supported by CAAA (IC201307). The data were collected from the third Chinese National Arctic Expedition and issued by the Data-sharing Platform of Polar Science (http://www.chinare.org.cn) maintained by the Polar Research Institute of China (PRIC) and Chinese National Arctic and Antarctic Data Center (CN-NADC).</t>
  </si>
  <si>
    <t>10.1007/s00300-015-1860-3</t>
  </si>
  <si>
    <t>WOS:000381405400003</t>
  </si>
  <si>
    <t>Li, T; Ding, YF; Zhao, TC; Cheng, X</t>
  </si>
  <si>
    <t>Li, Tian; Ding, Yifan; Zhao, Tiancheng; Cheng, Xiao</t>
  </si>
  <si>
    <t>Iceberg calving from the Antarctic Nansen Ice Shelf in April 2016 and its local impact</t>
  </si>
  <si>
    <t>SCIENCE BULLETIN</t>
  </si>
  <si>
    <t>SEA</t>
  </si>
  <si>
    <t>[Li, Tian; Ding, Yifan; Zhao, Tiancheng; Cheng, Xiao] Beijing Normal Univ, Coll Global Change &amp; Earth Syst Sci, State Key Lab Remote Sensing Sci, Beijing 100875, Peoples R China; [Li, Tian; Ding, Yifan; Zhao, Tiancheng; Cheng, Xiao] Joint Ctr Global Change Studies, Beijing 100875, Peoples R China</t>
  </si>
  <si>
    <t>Beijing Normal University</t>
  </si>
  <si>
    <t>Cheng, X (corresponding author), Beijing Normal Univ, Coll Global Change &amp; Earth Syst Sci, State Key Lab Remote Sensing Sci, Beijing 100875, Peoples R China.</t>
  </si>
  <si>
    <t>xcheng@bnu.edu.cn</t>
  </si>
  <si>
    <t>Li, Tian/0000-0002-1577-4004</t>
  </si>
  <si>
    <t>2095-9273</t>
  </si>
  <si>
    <t>2095-9281</t>
  </si>
  <si>
    <t>SCI BULL</t>
  </si>
  <si>
    <t>Sci. Bull.</t>
  </si>
  <si>
    <t>10.1007/s11434-016-1124-9</t>
  </si>
  <si>
    <t>DS9IA</t>
  </si>
  <si>
    <t>WOS:000381095100003</t>
  </si>
  <si>
    <t>Meredith, NP; Horne, RB; Isles, JD; Ryden, KA; Hands, ADP; Heynderickx, D</t>
  </si>
  <si>
    <t>Meredith, Nigel P.; Horne, Richard B.; Isles, John D.; Ryden, Keith A.; Hands, Alex D. P.; Heynderickx, Daniel</t>
  </si>
  <si>
    <t>Extreme internal charging currents in medium Earth orbit: Analysis of SURF plate currents on Giove-A</t>
  </si>
  <si>
    <t>ELECTRON ACCELERATION; ENHANCEMENTS; ANOMALIES; ENERGIES</t>
  </si>
  <si>
    <t>Relativistic electrons can penetrate spacecraft shielding and can damage satellite components. Spacecraft in medium Earth orbit pass through the heart of the outer radiation belt and may be exposed to large fluxes of relativistic electrons, particularly during extreme space weather events. In this study we perform an extreme value analysis of the daily average internal charging currents at three different shielding depths in medium Earth orbit as a function of L* and along the orbit path. We use data from the SURF instrument on board the European Space Agency's Giove-A spacecraft from December 2005 to January 2016. The top, middle, and bottom plates of this instrument respond to electrons with energies &gt;500 keV, &gt;700 keV, and &gt;1.1 MeV, respectively. The 1 in 10 year daily average top plate current decreases with increasing L* ranging from 1.0 pA cm(-2) at L* = 4.75 to 0.03 pA cm(-2) at L* = 7.0. The 1 in 100 year daily average top plate current is a factor of 1.2 to 1.8 larger than the corresponding 1 in 10 year current. The 1 in 10 year daily average middle and bottom plate currents also decrease with increasing L* ranging from 0.4 pA cm(-2) at L* = 4.75 to 0.01 pA cm(-2) at L* = 7.0. The 1 in 100 year daily average middle and bottom plate currents are a factor of 1.2 to 2.7 larger than the corresponding 1 in 10 year currents. Averaged along the orbit path the 1 in 10 year daily average top, middle, and bottom plate currents are 0.22, 0.094, and 0.094 pA cm(-2), respectively.</t>
  </si>
  <si>
    <t>[Meredith, Nigel P.; Horne, Richard B.; Isles, John D.] British Antarctic Survey, Nat Environm Res Council, Cambridge, England; [Ryden, Keith A.; Hands, Alex D. P.] Univ Surrey, Surrey Space Ctr, Guildford, Surrey, England; [Heynderickx, Daniel] DHC Consultancy, Leuven, Belgium</t>
  </si>
  <si>
    <t>UK Research &amp; Innovation (UKRI); Natural Environment Research Council (NERC); NERC British Antarctic Survey; University of Surrey</t>
  </si>
  <si>
    <t>Meredith, NP (corresponding author), British Antarctic Survey, Nat Environm Res Council, Cambridge, England.</t>
  </si>
  <si>
    <t>nmer@bas.ac.uk</t>
  </si>
  <si>
    <t>Horne, Richard B/U-3764-2019; Heynderickx, Daniel/JBS-0816-2023; Meredith, Nigel P/C-5806-2018</t>
  </si>
  <si>
    <t>Horne, Richard B/0000-0002-0412-6407; Heynderickx, Daniel/0000-0001-7136-9014; Meredith, Nigel/0000-0001-5032-3463</t>
  </si>
  <si>
    <t>European Union Seventh Framework Programme (FP7) [606716]; Natural Environment Research Council; Belgian Institute for Space Aeronomy under ESA/GSTP; NERC [bas0100031] Funding Source: UKRI; Natural Environment Research Council [bas0100031] Funding Source: researchfish</t>
  </si>
  <si>
    <t>European Union Seventh Framework Programme (FP7)(European Union (EU)); Natural Environment Research Council(UK Research &amp; Innovation (UKRI)Natural Environment Research Council (NERC)); Belgian Institute for Space Aeronomy under ESA/GSTP; NERC(UK Research &amp; Innovation (UKRI)Natural Environment Research Council (NERC)); Natural Environment Research Council(UK Research &amp; Innovation (UKRI)Natural Environment Research Council (NERC))</t>
  </si>
  <si>
    <t>We would like to thank Sam Rason and Richard Hebden at SSTL for their work in extending the Giove-A operations and enabling us to receive the data. We would also like to thank David Pitchford, Justin Likar, and David Wade for useful discussions. The research leading to these results has received funding from the European Union Seventh Framework Programme (FP7/2007-2013) under grant agreement 606716 (SPACESTORM) and the Natural Environment Research Council. The UNILIB library used in this study was developed by the Belgian Institute for Space Aeronomy under ESA/GSTP funding and is available at http://www.mag-unilib.eu/. The data used to generate the plots in this paper are available on request.</t>
  </si>
  <si>
    <t>10.1002/2016SW001404</t>
  </si>
  <si>
    <t>EC0OV</t>
  </si>
  <si>
    <t>WOS:000387801400006</t>
  </si>
  <si>
    <t>Kim, J; Yu, J; Wang, L; Liu, HX; Shin, H</t>
  </si>
  <si>
    <t>Kim, Jieun; Yu, Jaehyung; Wang, Lei; Liu, Hongxing; Shin, Haein</t>
  </si>
  <si>
    <t>Morphological Characteristics of the Ice Margins of Antarctic Ice Shelf and Outlet Glacier Extracted from ICESat Laser Altimetry Along-Track Profiles</t>
  </si>
  <si>
    <t>TERRESTRIAL ATMOSPHERIC AND OCEANIC SCIENCES</t>
  </si>
  <si>
    <t>22nd International Symposium on Remote Sensing (ISRS)</t>
  </si>
  <si>
    <t>APR 22-24, 2015</t>
  </si>
  <si>
    <t>Tainan, TAIWAN</t>
  </si>
  <si>
    <t>Morphological characteristic; Laser altimetry profile; Bottom-up segmentation algorithm</t>
  </si>
  <si>
    <t>EQUILIBRIUM BEACH PROFILES; FLOW</t>
  </si>
  <si>
    <t>The Antarctic ice sheet topography including elevation and slope is a key parameter for understanding ice sheet dynamics because the surface slope is a major controller of the ice flow gravitational driving stress magnitude. This study used Ice, Cloud, and land Elevation Satellite (ICES at) laser altimetry data to analyze the ice margin morphological parameters for 20 ice shelves and 12 outlet glaciers distributed over Antarctica. The bottom-up segmentation algorithm application effectively extracted the morphological parameters from the laser altimetry profiles. The ice shelves had an average boundary elevation of 29.5 m and a slope of 7.8 degrees, with a decreasing surface slope pattern from the boundary to the inner side. The average number of segments and the length of the coastal margin for ice shelves extracted from the bottom-up segmentation algorithm is 3.2 and is 18.4 km, respectively. The outlet glaciers had a boundary elevation of 29.7 m with a slope of 7.4 degrees. The average number of segments for outlet glaciers is 5.03, and the distance to the margin is 10.38 km. The outlet glaciers were of two types. The first type had a higher ice margin slope, a shorter ice margin distance and concave shape to the surface profile. The second type had a much shorter ice margin distance and an undulating surface profile shape. The ice margin morphology shows distinctive characteristics depending on the major ice loss process.</t>
  </si>
  <si>
    <t>[Kim, Jieun; Shin, Haein] Chungnam Natl Univ, Dept Astron Space Sci &amp; Geol, Daejeon, South Korea; [Yu, Jaehyung] Chungnam Natl Univ, Dept Geol &amp; Earth Environm Sci, Daejeon, South Korea; [Wang, Lei] Louisiana State Univ, Dept Geog &amp; Anthropol, Baton Rouge, LA 70803 USA; [Liu, Hongxing] Univ Cincinnati, Dept Geog, Cincinnati, OH 45221 USA</t>
  </si>
  <si>
    <t>Chungnam National University; Chungnam National University; Louisiana State University System; Louisiana State University; University System of Ohio; University of Cincinnati</t>
  </si>
  <si>
    <t>Yu, J (corresponding author), Chungnam Natl Univ, Dept Geol &amp; Earth Environm Sci, Daejeon, South Korea.</t>
  </si>
  <si>
    <t>jaeyu@cnu.ac.kr</t>
  </si>
  <si>
    <t>SPRINGERNATURE</t>
  </si>
  <si>
    <t>CAMPUS, 4 CRINAN ST, LONDON, N1 9XW, ENGLAND</t>
  </si>
  <si>
    <t>1017-0839</t>
  </si>
  <si>
    <t>2311-7680</t>
  </si>
  <si>
    <t>TERR ATMOS OCEAN SCI</t>
  </si>
  <si>
    <t>Terr. Atmos. Ocean. Sci.</t>
  </si>
  <si>
    <t>10.3319/TAO.2015.12.24.01(ISRS)</t>
  </si>
  <si>
    <t>Geosciences, Multidisciplinary; Meteorology &amp; Atmospheric Sciences; Oceanography</t>
  </si>
  <si>
    <t>Geology; Meteorology &amp; Atmospheric Sciences; Oceanography</t>
  </si>
  <si>
    <t>DX1WK</t>
  </si>
  <si>
    <t>WOS:000384157500002</t>
  </si>
  <si>
    <t>Hauck, M; Dulamsuren, C; Leuschner, C</t>
  </si>
  <si>
    <t>Hauck, Markus; Dulamsuren, Choimaa; Leuschner, Christoph</t>
  </si>
  <si>
    <t>Anomalous Increase in Winter Temperature and Decline in Forest Growth Associated with Severe Winter Smog in the Ulan Bator Basin</t>
  </si>
  <si>
    <t>WATER AIR AND SOIL POLLUTION</t>
  </si>
  <si>
    <t>Black carbon; Particulatematter; Climate warming; Globalwarming hiatus; Tree-ring analysis; Rural depopulation</t>
  </si>
  <si>
    <t>BLACK CARBON AEROSOLS; TREE-RING WIDTH; LARIX-SIBIRICA; STEPPE ECOTONE; DECADAL VARIABILITY; ANTARCTIC PENINSULA; MONGOLIAN ALTAI; AIR-POLLUTION; CLIMATE; ULAANBAATAR</t>
  </si>
  <si>
    <t>A dramatic increase in winter (December-February) temperature by 7.2 K (1.1K per decade) since 1950 has occurred in the Ulan Bator basin, Mongolia. This increase in temperature strongly exceeds the global average of late twentieth century warming and even exceeds warming in most of the polar regions with pronounced increases in temperature. The exceptional warming is restricted to Ulan Bator within the Mongolian forest-steppe region and to wintertime. This suggests that the observed warming could result from radiative forcing by black carbon aerosols. In winter, Ulan Bator's air is heavily polluted by particulate matter, including black carbon, originating from the combustion of low-quality fuel at low temperature. Winter smog has strongly increased in recent decades, concomitant to the increase in winter temperature, as the result of a strong increase in the city's population. Exponential growth of Ulan Bator's population started in the mid-twentieth century, but since 1990, altered socioeconomic frame conditions and a warming climate have driven more than 700,000 pastoralists from rural Mongolia to Ulan Bator where people live in provisional dwellings and cause Ulan Bator's heavy air pollution. Tree-ring analysis from larch trees growing at the edge of the Ulan Bator basin shows negative correlation of stem increment with December temperature. This result suggests that milder winters promote herbivores and, thus, reduce the tree's productivity. The negative impact of winter warming on the larch forests adds to adverse effects of summer drought and the impact of high sulfur dioxide emissions. Winter warming putatively associated with high atmospheric concentrations of black carbon aerosols in the Ulan Bator basin is an interesting example of a case where greenhouse gas-mediated climate warming in an area where people themselves hardly contribute to global greenhouse gas emissions affects both humans and ecosystems and causes additional local climate warming.</t>
  </si>
  <si>
    <t>[Hauck, Markus] Carl von Ossietzky Univ Oldenburg, Funct Ecol Plants, Inst Biol &amp; Environm Sci, D-26111 Oldenburg, Germany; [Dulamsuren, Choimaa; Leuschner, Christoph] Univ Gottingen, Albrecht von Haller Inst Plant Sci, Plant Ecol, Untere Karspule 2, D-37073 Gottingen, Germany</t>
  </si>
  <si>
    <t>Carl von Ossietzky Universitat Oldenburg; University of Gottingen</t>
  </si>
  <si>
    <t>Hauck, M (corresponding author), Carl von Ossietzky Univ Oldenburg, Funct Ecol Plants, Inst Biol &amp; Environm Sci, D-26111 Oldenburg, Germany.</t>
  </si>
  <si>
    <t>markus.hauck@uni-oldenburg.de</t>
  </si>
  <si>
    <t>Hauck, Markus/0000-0002-8218-8400</t>
  </si>
  <si>
    <t>Volkswagen Foundation [87 175]; German Science Foundation (Deutsche Forschungsgemeinschaft) [Du 1145/1-2]</t>
  </si>
  <si>
    <t>Volkswagen Foundation(Volkswagen); German Science Foundation (Deutsche Forschungsgemeinschaft)(German Research Foundation (DFG))</t>
  </si>
  <si>
    <t>The study was supported by a grant from the Volkswagen Foundation (no. 87 175) to M. Hauck, Ch. Dulamsuren, and Ch. Leuschner. Field work for tree-ring sampling was funded with a grant of the German Science Foundation (Deutsche Forschungsgemeinschaft) to C.D. (Du 1145/1-2).</t>
  </si>
  <si>
    <t>0049-6979</t>
  </si>
  <si>
    <t>1573-2932</t>
  </si>
  <si>
    <t>WATER AIR SOIL POLL</t>
  </si>
  <si>
    <t>Water Air Soil Pollut.</t>
  </si>
  <si>
    <t>10.1007/s11270-016-2957-1</t>
  </si>
  <si>
    <t>Environmental Sciences; Meteorology &amp; Atmospheric Sciences; Water Resources</t>
  </si>
  <si>
    <t>Environmental Sciences &amp; Ecology; Meteorology &amp; Atmospheric Sciences; Water Resources</t>
  </si>
  <si>
    <t>DS9HE</t>
  </si>
  <si>
    <t>WOS:000381092800010</t>
  </si>
  <si>
    <t>Bauer, FU; Jacobs, J; Emmel, BU; van Soest, MC</t>
  </si>
  <si>
    <t>Bauer, Friederike U.; Jacobs, Joachim; Emmel, Benjamin U.; van Soest, Matthijs C.</t>
  </si>
  <si>
    <t>New (U-Th)/He titanite data from a complex orogen-passive margin system: A case study from northern Mozambique</t>
  </si>
  <si>
    <t>JOURNAL OF AFRICAN EARTH SCIENCES</t>
  </si>
  <si>
    <t>Titanite (U-Th)/He thermochronology; Exhumation history Mozambique; Thermal history modelling; Orogen-passive margin system; Gondwana break-up</t>
  </si>
  <si>
    <t>AFRICAN-ANTARCTIC OROGEN; FISSION-TRACK ANALYSIS; HELIUM DIFFUSION; RADIATION-DAMAGE; TECTONIC EVOLUTION; CENTRAL GONDWANA; MONAPO KLIPPE; NE MOZAMBIQUE; ROVUMA BASIN; EAST-AFRICA</t>
  </si>
  <si>
    <t>New titanite (U-Th)/He (He) data on basement rocks from NE Mozambique are presented. The objective was to test the applicability of titanite He thermochronology in an orogen-passive margin setting and to better constrain the exhumation history across the Lurio Belt, a major structural discontinuity in Mozambique. Therefore, samples from existing geochronological and thermochronological studies were dated using titanite He thermochronology. Resulting titanite He data (from abraded crystals) provide average cooling ages from 178 +/- 15 to 383 +/- 23 Ma. The data fit well into the age pattern obtained from previous thermochronological studies in NE Mozambique, revealing differential exhumation across the Lurio Belt. The basement to the north experienced earlier cooling than that to the south, while overall youngest titanite He ages are from the Lurio Belt, indicating reactivation linked to the post-collisional extension and break-up of Gondwana. Thermal history modelling revealed two possibilities, able to account for the different cooling histories of NE Mozambique since initial Gondwana break-up in Permian times: One involves a transient sedimentary overburden that buried and (re)heated the southern basement, with subsequent basin inversion at similar to 250 Ma in response to rift shoulder uplift. The second model implies delayed cooling of the southern basement, possibly due to delamination of the crustal root shortly after Gondwana formation. The formerly upwelling asthenosphere and the subsequently formed sag basin might have caused a prolonged thermal effect. Titanite He ages and thermal histories point to rift shoulder uplift of the southern part and increased thermal activity within the reactivated Lurio Belt, signifying first rifting activities as precursor of Gondwana break-up. (C) 2016 Elsevier Ltd. All rights reserved.</t>
  </si>
  <si>
    <t>[Bauer, Friederike U.; Jacobs, Joachim] Univ Bergen, Dept Earth Sci, Bergen, Norway; [Emmel, Benjamin U.] SINTEF, Trondheim, Norway; [van Soest, Matthijs C.] ASU, Sch Earth &amp; Space Explorat, Tempe, AZ 85287 USA</t>
  </si>
  <si>
    <t>University of Bergen; SINTEF; Arizona State University; Arizona State University-Tempe</t>
  </si>
  <si>
    <t>Bauer, FU (corresponding author), Univ Bergen, Dept Earth Sci, Bergen, Norway.</t>
  </si>
  <si>
    <t>Friederike.Bauer@uib.no</t>
  </si>
  <si>
    <t>Emmel, Benjamin/0000-0002-7138-6831</t>
  </si>
  <si>
    <t>Statoil ASA</t>
  </si>
  <si>
    <t>We would like to thank Statoil ASA for funding research in the frame of the Earth System Modelling project. We also gratefully acknowledge the support of the handling editor and the helpful comments of Robert J. Thomas on an earlier version of the manuscript.</t>
  </si>
  <si>
    <t>1464-343X</t>
  </si>
  <si>
    <t>1879-1956</t>
  </si>
  <si>
    <t>J AFR EARTH SCI</t>
  </si>
  <si>
    <t>J. Afr. Earth Sci.</t>
  </si>
  <si>
    <t>10.1016/j.jafrearsci.2016.04.012</t>
  </si>
  <si>
    <t>DQ1NM</t>
  </si>
  <si>
    <t>WOS:000378967700006</t>
  </si>
  <si>
    <t>Shi, SC; Zhang, W; Li, J; Miao, W; Lin, ZH; Lou, Z; Yao, QJ</t>
  </si>
  <si>
    <t>Shi, Sheng-Cai; Zhang, Wen; Li, Jing; Miao, Wei; Lin, Zhen-Hui; Lou, Zheng; Yao, Qi-Jun</t>
  </si>
  <si>
    <t>A THz Superconducting Imaging Array Developed for the DATE5 Telescope</t>
  </si>
  <si>
    <t>Terahertz; TES; MKIDs; TeSIA; DATE5; Dome A</t>
  </si>
  <si>
    <t>ANTARCTICA; DOME</t>
  </si>
  <si>
    <t>Dome A in Antarctica, located at an altitude of 4093 m and with very low temperature in winter down to 83C, is an exceptionally dry site. Measurements of the atmospheric transmission in the range of 0.75-15 THz by a Far-infrared/THz Fourier transform spectrometer (FTS) strongly suggest that Dome A is a unique site for ground-based THz observations, especially for the 200- and 350-micron windows. A 5-m THz telescope (DATE5) is therefore proposed for Chinese Antarctic Kunlun Observatory. We are currently developing a THz superconducting imaging array (TeSIA) for the DATE5. The TeSIA will be working at the 350-m window, with a pixel number of and a sensitivity (NEP) of 10 W/Hz. Ti transition-edge sensors with time-domain multiplexing and TiN microwave kinetic inductance detectors with frequency-domain multiplexing are both developed for the TeSIA. In this paper, detailed system designs and some measurement results will be presented.</t>
  </si>
  <si>
    <t>[Shi, Sheng-Cai; Zhang, Wen; Li, Jing; Miao, Wei; Lin, Zhen-Hui; Lou, Zheng; Yao, Qi-Jun] Chinese Acad Sci, Purple Mt Observ, Nanjing, Jiangsu, Peoples R China; [Shi, Sheng-Cai; Zhang, Wen; Li, Jing; Miao, Wei; Lin, Zhen-Hui; Lou, Zheng; Yao, Qi-Jun] Chinese Acad Sci, Key Lab Radio Astron, Nanjing, Jiangsu, Peoples R China</t>
  </si>
  <si>
    <t>Purple Mountain Observatory, CAS; Chinese Academy of Sciences; Nanjing Institute of Astronomical Optics &amp; Technology, NAOC, CAS; Chinese Academy of Sciences</t>
  </si>
  <si>
    <t>Shi, SC (corresponding author), Chinese Acad Sci, Purple Mt Observ, Nanjing, Jiangsu, Peoples R China.;Shi, SC (corresponding author), Chinese Acad Sci, Key Lab Radio Astron, Nanjing, Jiangsu, Peoples R China.</t>
  </si>
  <si>
    <t>scshi@pmo.ac.cn</t>
  </si>
  <si>
    <t>yuan, lin/JDW-7387-2023; Miao, Wei/D-1223-2018</t>
  </si>
  <si>
    <t>Miao, Wei/0000-0002-2458-646X</t>
  </si>
  <si>
    <t>National Natural Science Foundation of China (NSFC) [11127903]; Chinese Academy of Sciences (CAS) under the Strategic Priority Research Program [XDB04010300]</t>
  </si>
  <si>
    <t>National Natural Science Foundation of China (NSFC)(National Natural Science Foundation of China (NSFC)); Chinese Academy of Sciences (CAS) under the Strategic Priority Research Program</t>
  </si>
  <si>
    <t>This work was supported in part by the National Natural Science Foundation of China (NSFC) under Grant No 11127903 and Chinese Academy of Sciences (CAS) under the Strategic Priority Research Program XDB04010300. We are grateful to the team led by M. Piat at APC (France) and F. Pajot at IAS for the development of TDM readout and the team led by C. Otani at RIKEN (Japan) for their assistance in TiN MKIDs fabrication.</t>
  </si>
  <si>
    <t>10.1007/s10909-015-1355-1</t>
  </si>
  <si>
    <t>WOS:000379022700035</t>
  </si>
  <si>
    <t>Hernández-Molina, FJ; Soto, M; Piola, AR; Tomasini, J; Preu, B; Thompson, P; Badalini, G; Creaser, A; Violante, RA; Morales, E; Paterlini, M; De Santa Ana, H</t>
  </si>
  <si>
    <t>Hernandez-Molina, F. Javier; Soto, Matias; Piola, Alberto R.; Tomasini, Juan; Preu, Benedict; Thompson, Phil; Badalini, Gianluca; Creaser, Adam; Violante, Roberto A.; Morales, Ethel; Paterlini, Marcelo; De Santa Ana, Hector</t>
  </si>
  <si>
    <t>A contourite depositional system along the Uruguayan continental margin: Sedimentary, oceanographic and paleoceanographic implications</t>
  </si>
  <si>
    <t>MARINE GEOLOGY</t>
  </si>
  <si>
    <t>Contourites; Sedimentary processes; Seismic stratigraphy; High amplitude reflections (HARs); Paleoceanography; Uruguayan margin</t>
  </si>
  <si>
    <t>CROSS-SHELF EXCHANGES; SANDY CONTOURITES; MALVINAS CONFLUENCE; SALINITY SIGNATURE; WATER CIRCULATION; ARGENTINE MARGIN; CAMPOS BASIN; SLOPE; ARCHITECTURE; RECORD</t>
  </si>
  <si>
    <t>For the first time, a multidisciplinary approach to evaluate the influence of bottom currents in the Uruguayan continental margin is presented. Bathymetric data and multichannel 2D and 3D seismic reflection profiles were used to construct a morphosedimentary map to interpret and decode sedimentary and oceanographic processes along the Uruguayan continental margin. Based on these results, an extensive contourite depositional system on the margin is described, which contains an impressive array of large erosive, depositional (drifts) and mixed (terrace) features, which have been generated primarily by the near-bottom flows associated with water masses of Antarctic and subantarctic origin. From the Eocene-Oligocene boundary up to present time, the longterm influence of water masses from higher southern latitudes, in combination with down-slope sedimentary processes have strongly controlled the overall margin morphology. Most of the features described here, were formed during the middle/late Miocene epoch due to paleoceanographic shifts that include the arrival of Antarctic Intermediate Water along the margin, which in combination with deeper Antarctic Bottom Water are fundamental in the margin evolution. In combination with Quaternary climatic and eustatic changes in sea level, fluctuations of the Brazil-Malvinas Confluence influenced subsequently glacial and interglacial stages as recognized in sedimentary features defined here. These paleoceanographic changes controlled the sedimentary stacking pattern and the locations of high amplitude reflections along the contourite terraces, which could be associated with sandy deposits. A more detailed understanding of the margin will improve interpretations of variations in the South Atlantic subtropical gyre and further constrain general climatic and ocean circulation models. (C) 2015 The Authors. Published by Elsevier B.V.</t>
  </si>
  <si>
    <t>[Hernandez-Molina, F. Javier; Creaser, Adam] Royal Holloway Univ London, Dept Earth Sci, Egham TW20 0EX, Surrey, England; [Soto, Matias; Tomasini, Juan; Morales, Ethel; De Santa Ana, Hector] ANCAP, Explorat &amp; Prod, Paysandu S-N Esq,Ave Libertador, Montevideo 11100, Uruguay; [Piola, Alberto R.; Paterlini, Marcelo] SHN, Montes Oca 2124,C1270ABV, Buenos Aires, DF, Argentina; [Piola, Alberto R.] Univ Buenos Aires, Buenos Aires, DF, Argentina; [Piola, Alberto R.] Consejo Nacl Invest Cient &amp; Tecn, Inst Franco Argentino Estudios Clima &amp; Impactos, Buenos Aires, DF, Argentina; [Preu, Benedict] Chevron North Sea Ltd, Chevron Upstream Europe, Chevron House, Aberdeen AB15 6XL, Scotland; [Thompson, Phil; Badalini, Gianluca] BG Grp, Explorat Uruguay, 100 Thames Valley Pk, Reading RG6 1PT, Berks, England</t>
  </si>
  <si>
    <t>University of London; Royal Holloway University London; University of Buenos Aires; Consejo Nacional de Investigaciones Cientificas y Tecnicas (CONICET); Chevron; Royal Dutch Shell; BG Group</t>
  </si>
  <si>
    <t>Hernández-Molina, FJ (corresponding author), Royal Holloway Univ London, Dept Earth Sci, Egham TW20 0EX, Surrey, England.</t>
  </si>
  <si>
    <t>javier.hernandez-molina@rhul.ac.uk</t>
  </si>
  <si>
    <t>Piola, Alberto/HZI-5475-2023; HERNANDEZ MOLINA, F. JAVIER/L-6688-2014; Piola, Alberto/O-2280-2013</t>
  </si>
  <si>
    <t>HERNANDEZ MOLINA, F. JAVIER/0000-0002-7483-1443; Piola, Alberto/0000-0002-5003-8926</t>
  </si>
  <si>
    <t>Inter-American Institute for Global Change Research US National Science Foundation) [SGP2076, CRN3070, GEO-1128040]; [CTM 2012-39599-C03]</t>
  </si>
  <si>
    <t>Inter-American Institute for Global Change Research US National Science Foundation)(National Science Foundation (NSF));</t>
  </si>
  <si>
    <t>The authors would like to thank ANCAP, Spectrum and BG Group for permission in using unpublished seismic datasets. We thank A Viana (PETROBRAS, Brazil) and D. G. Borisov (Russian Academy of Sciences, Russia) for their helpful guidance in revising the manuscript prior to submission. Their input greatly improved the presentation of this research. The research was supported through the projects CTM 2012-39599-C03, and the Inter-American Institute for Global Change Research grants SGP2076 and CRN3070 (US National Science Foundation grant GEO-1128040). Finally, we also thank the reviewers Katrien Heirman (Geological Survey of Denmark and Greenland) and an anonymous reviewer for their very positive and helpful suggestions which helped us to improve the paper.</t>
  </si>
  <si>
    <t>0025-3227</t>
  </si>
  <si>
    <t>1872-6151</t>
  </si>
  <si>
    <t>MAR GEOL</t>
  </si>
  <si>
    <t>Mar. Geol.</t>
  </si>
  <si>
    <t>10.1016/j.margeo.2015.10.008</t>
  </si>
  <si>
    <t>DQ1MX</t>
  </si>
  <si>
    <t>WOS:000378966200022</t>
  </si>
  <si>
    <t>García, M; Lobo, FJ; Maldonado, A; Hernández-Molina, FJ; Bohoyo, F; Pérez, LF</t>
  </si>
  <si>
    <t>Garcia, Marga; Lobo, Francisco J.; Maldonado, Andres; Hernandez-Molina, F. Javier; Bohoyo, Fernando; Perez, Lara F.</t>
  </si>
  <si>
    <t>High-resolution seismic stratigraphy and morphology of the Scan Basin contourite fan, southern Scotia Sea, Antarctica</t>
  </si>
  <si>
    <t>Scotia Sea; Seafloor morphology; Seismic stratigraphy; Bottom-current circulation; Contourite fan</t>
  </si>
  <si>
    <t>MEDITERRANEAN OUTFLOW WATER; BOTTOM CURRENT ACTIVITY; PLATE BOUNDARY; CONTINENTAL-SLOPE; DEPOSITIONAL SYSTEM; VEMA CHANNEL; WEDDELL GYRE; DEEP-SEA; SEDIMENTATION; TECTONICS</t>
  </si>
  <si>
    <t>The Scan Basin is the easternmost of the southern Scotia Sea basins. It is located in a complex tectonic setting, north of the boundary between the Scotia and Antarctic plates. In addition, Scan Basin is directly to the north of Bruce Passage, which connects the Scotia and Weddell seas through the northward overflow of the Weddell Sea Deep Water (WSDW). Scan Basin has been described as an isolated small oceanic basin, where the fan-shaped abyssal plain is bounded by Bruce and Discovery banks. Sedimentary processes involved in the development of the Scan Basin sediment record during the late Pliocene-Quaternary are discussed here, through the examination of the distribution and morphological and acoustic characteristics of erosional, depositional, gravitational, fluid-escape, and volcanic features in correlation to the geological and oceanographic setting. The abyssal plain reflects the action of high-energy bottom-current circulation along its western side and lower energy bottom currents along the eastern side. In contrast, Discovery Bank reflects a highly dynamic interplay between bottom-current activity, mass-wasting processes, and processes linked to the water mass interfaces. Variations in the abyssal plain stratigraphy are associated with events that may be related to climate changes since the late Miocene, involving increased bottom-current circulation and variations in the interaction between the WSDW and the Antarctic Circumpolar Current. The Scan Basin sector is one example of a contourite depositional system developed downstream of a deep gateway exit, and its major depositional characteristics allow its classification as a contourite fan. These new findings contribute to clarifying the development of contourite fans in regions of significant bottom-water interchange. (C) 2016 Elsevier B.V. All rights reserved.</t>
  </si>
  <si>
    <t>[Garcia, Marga; Lobo, Francisco J.; Maldonado, Andres] Univ Granada, CSIC, Inst Andaluz Ciencias Tierra, Ave Palmeras 4, Armilla 18100, Spain; [Garcia, Marga] Univ Ghent, Renard Ctr Marine Geol, Krijgslaan 281, B-9000 Ghent, Belgium; [Hernandez-Molina, F. Javier] Royal Holloway Univ London, Dept Earth Sci, Egham TW20 0EX, Surrey, England; [Bohoyo, Fernando] Inst Geol &amp; Minero Espana, Rios Rosas 23, Madrid 28003, Spain; [Perez, Lara F.] Geol Survey Denmark &amp; Greenland, Dept Geophys, Oster Volgade 10, DK-1350 Copenhagen K, Denmark</t>
  </si>
  <si>
    <t>University of Granada; Consejo Superior de Investigaciones Cientificas (CSIC); CSIC - Instituto Andaluz de Ciencias de la Tierra (IACT); Ghent University; University of London; Royal Holloway University London; Geological Survey Of Denmark &amp; Greenland</t>
  </si>
  <si>
    <t>García, M (corresponding author), Univ Granada, CSIC, Inst Andaluz Ciencias Tierra, Ave Palmeras 4, Armilla 18100, Spain.</t>
  </si>
  <si>
    <t>m.garcia@csic.es; pacolobo@iact.ugr-csic.es; amaldona@ugr.es; javier.hemandez-molina@rhul.ac.uk; f.bohoyo@igme.es; lfp@geus.dk</t>
  </si>
  <si>
    <t>Pérez, Lara F./H-3572-2015; Bohoyo, Fernando/C-1062-2011; Garcia, Marga/L-7410-2014; Bohoyo, Fernando/AAZ-5990-2021; Lobo, Francisco José/J-9836-2012</t>
  </si>
  <si>
    <t>Pérez, Lara F./0000-0002-6229-4564; Bohoyo, Fernando/0000-0002-1044-8816; Garcia, Marga/0000-0003-2632-6132; Bohoyo, Fernando/0000-0002-1044-8816; Lobo, Francisco José/0000-0002-3294-7202</t>
  </si>
  <si>
    <t>Juan de la Cierva Grant (Spanish Ministry of Economy and Competitivity) [CTM2008-06386-0O2/ANT, CFM2011-30241-001/CO2 ANT, CTM2014-60451-C2-1/2P, CTM2012-39599-C93]; Talentia Grant (Junta de Andalucia and European Union) [267226]</t>
  </si>
  <si>
    <t>Juan de la Cierva Grant (Spanish Ministry of Economy and Competitivity); Talentia Grant (Junta de Andalucia and European Union)(Junta de Andalucia)</t>
  </si>
  <si>
    <t>This work was funded through CTM2008-06386-0O2/ANT, CFM201130241-001/CO2 ANT and CTM2014-60451-C2-1/2P projects and partially related to the CTM2012-39599-C93 project The research of Marga Garcia has been funded by a Juan de la Cierva Grant (Spanish Ministry of Economy and Competitivity) and a Talentia Grant (Junta de Andalucia and European Union, grant reference 267226) and belongs to the Leyendas Urbanas group (http://www.aacte.eu/wp/). Research was conducted in the framework of the Continental Margins Research Group of the Royal Holloway University of London. The English style of this manuscript was thoroughly revised by Christine Laurin.</t>
  </si>
  <si>
    <t>10.1016/j.margeo.2016.01.011</t>
  </si>
  <si>
    <t>WOS:000378966200024</t>
  </si>
  <si>
    <t>Hervás, M; Alsina-Pagès, RM; Pijoan, JL; Salvador, M; Badia, D</t>
  </si>
  <si>
    <t>Hervas, M.; Alsina-Pages, R. M.; Pijoan, J. L.; Salvador, M.; Badia, D.</t>
  </si>
  <si>
    <t>Advanced modulation schemes for an Antarctic Long Haul HF Link Performance comparison between SC-FDE, OFDMA and SC-FDMA in a hostile environment</t>
  </si>
  <si>
    <t>TELECOMMUNICATION SYSTEMS</t>
  </si>
  <si>
    <t>SC-FDE; OFDMA; SC-FDMA; PAPR; HF; Ionosphere</t>
  </si>
  <si>
    <t>TRANSMISSION; UPLINK</t>
  </si>
  <si>
    <t>This paper presents the comparison of the BER performance between SC-FDE, orthogonal frequency division multiplexing (OFDMA) and single-carrier frequency division multiplexing access (SC-FDMA) in a long haul HF data link with low SNR. The goal of the comparison is to define two operation modes for two QoS; a robust mode and a high throughput mode, in order to transmit data from remote sensors in Antarctica through a 12760 km ionospheric link with a power amplifier of only 200 W. Clipping and amplification of the waveforms have been applied to SC-FDMA and OFDMA in order to compensate the PAPR and therefore maximize the SNR. The Antarctic HF link has been studied for 11 years, and we have described the link in terms of availability, SNR, delay and Doppler profile, and also spread spectrum techniques have been tested for data transmission. Based on those previous studies results we have developed a test bed to compare these transmission techniques, providing promising results in our low power ionospheric link from Antarctica.</t>
  </si>
  <si>
    <t>[Hervas, M.; Alsina-Pages, R. M.] Univ Ramon Llull, GTM Grup Recerca Tecnol Media La Salle, C Quatre Camins 30, Barcelona 08022, Spain; [Pijoan, J. L.; Salvador, M.; Badia, D.] Univ Ramon Llull, GR SETAD La Salle, C Quatre Camins 30, Barcelona 08022, Spain</t>
  </si>
  <si>
    <t>Universitat Ramon Llull; Universitat Ramon Llull</t>
  </si>
  <si>
    <t>Hervás, M (corresponding author), Univ Ramon Llull, GTM Grup Recerca Tecnol Media La Salle, C Quatre Camins 30, Barcelona 08022, Spain.</t>
  </si>
  <si>
    <t>mhervas@salleurl.edu; ralsina@salleurl.edu; joanp@salleurl.edu; martisalvad@gmail.com; david@salleurl.edu</t>
  </si>
  <si>
    <t>Badia, David/ABF-4258-2021; Alsina-Pagès, Rosa Ma/M-6099-2017; Hervás, Marcos/JAC-5391-2023; Hervás, Marcos/K-7016-2015; Pijoan, Joan Lluis/S-3319-2018</t>
  </si>
  <si>
    <t>Badia, David/0000-0002-4792-8688; Alsina-Pagès, Rosa Ma/0000-0003-2261-5471; Hervás, Marcos/0000-0003-2021-9264; Pijoan, Joan Lluis/0000-0002-1796-8216</t>
  </si>
  <si>
    <t>Spanish Government [CTM2010-21312-C03-03]</t>
  </si>
  <si>
    <t>Spanish Government(Spanish Government)</t>
  </si>
  <si>
    <t>This work has been funded by the Spanish Government under the Project CTM2010-21312-C03-03.</t>
  </si>
  <si>
    <t>1018-4864</t>
  </si>
  <si>
    <t>1572-9451</t>
  </si>
  <si>
    <t>TELECOMMUN SYST</t>
  </si>
  <si>
    <t>Telecommun. Syst.</t>
  </si>
  <si>
    <t>10.1007/s11235-015-0110-x</t>
  </si>
  <si>
    <t>Telecommunications</t>
  </si>
  <si>
    <t>DQ0PN</t>
  </si>
  <si>
    <t>WOS:000378902300009</t>
  </si>
  <si>
    <t>Heyman, J; Applegate, PJ; Blomdin, R; Gribenski, N; Harbor, JM; Stroeven, AP</t>
  </si>
  <si>
    <t>Heyman, Jakob; Applegate, Patrick J.; Blomdin, Robin; Gribenski, Natacha; Harbor, Jonathan M.; Stroeven, Arjen P.</t>
  </si>
  <si>
    <t>Boulder height - exposure age relationships from a global glacial 10Be compilation</t>
  </si>
  <si>
    <t>Cosmogenic dating; Glacial boulder; Boulder height; Exposure age clustering</t>
  </si>
  <si>
    <t>LATE QUATERNARY GLACIATION; COSMOGENIC-NUCLIDE MEASUREMENTS; PRODUCTION-RATE CALIBRATION; CORDILLERAN ICE-SHEET; VALLEY SILVRETTA MOUNTAINS; NORTHEASTERN BAFFIN-ISLAND; SOUTHERNMOST SOUTH-AMERICA; ANTARCTIC COLD REVERSAL; CENTRAL EAST GREENLAND; CENTRAL BROOKS RANGE</t>
  </si>
  <si>
    <t>Cosmogenic exposure dating of glacial boulders is commonly used to estimate the timing of past glaciations because the method enables direct dating of the duration a boulder has been exposed to cosmic rays. For successful dating, the boulders must have been fully shielded from cosmic rays prior to deposition and continuously exposed to cosmic rays ever since. A common assumption is that boulder height (the distance between the top of the boulder and the surrounding surface) is important, and that tall boulders are more likely to have been continuously exposed to cosmic rays than short boulders and therefore yield more accurate exposure ages. Here we test this assumption 'based on exposure age clustering for groups of glacial boulders (and single cobbles) Be-10 exposure ages that have recorded boulder heights (3741 boulders; 579 boulder groups with &gt;= 3 boulders). Of the full set of boulder groups with &gt;= 3 boulders, 21% fulfill a reduced chi square criterion (chi(2)(R) &lt; 2) for well-clustered exposure ages. For boulder groups containing only tall boulders, the fraction of well-clustered exposure age groups is consistently larger. Moreover, this fraction of well-clustered exposure age groups increases with the minimum boulder height in each group. This result confirms the common assumption that tall boulders are generally better targets for cosmogenic exposure dating compared to short boulders. Whereas the tall boulder groups have a significantly larger fraction of well-clustered exposure age groups, there is nonetheless a dominant fraction (&gt;50%) of the boulder groups with scattered exposure ages, highlighting the problem with prior and incomplete exposure for cosmogenic dating of glacial boulders. (C) 2016 Elsevier B.V. All rights reserved.</t>
  </si>
  <si>
    <t>[Heyman, Jakob] Univ Gothenburg, Dept Earth Sci, Gothenburg, Sweden; [Applegate, Patrick J.] Penn State Univ, Earth &amp; Environm Sci Inst, University Pk, PA 16802 USA; [Blomdin, Robin; Gribenski, Natacha; Harbor, Jonathan M.; Stroeven, Arjen P.] Stockholm Univ, Dept Phys Geog, Geomorphol &amp; Glaciol, S-10691 Stockholm, Sweden; [Blomdin, Robin; Gribenski, Natacha; Harbor, Jonathan M.; Stroeven, Arjen P.] Stockholm Univ, Bolin Ctr Climate Res, S-10691 Stockholm, Sweden; [Harbor, Jonathan M.] Purdue Univ, Dept Earth Atmospher &amp; Planetary Sci, W Lafayette, IN 47907 USA</t>
  </si>
  <si>
    <t>University of Gothenburg; Pennsylvania Commonwealth System of Higher Education (PCSHE); Pennsylvania State University; Pennsylvania State University - University Park; Stockholm University; Stockholm University; Purdue University System; Purdue University</t>
  </si>
  <si>
    <t>Heyman, J (corresponding author), Univ Gothenburg, Dept Earth Sci, Gothenburg, Sweden.</t>
  </si>
  <si>
    <t>jakob.heyman@gu.se</t>
  </si>
  <si>
    <t>Stroeven, Arjen/I-7330-2013</t>
  </si>
  <si>
    <t>Stroeven, Arjen/0000-0001-8812-2253; Harbor, Jonathan/0000-0001-5129-0229; Gribenski, Natacha/0000-0002-1346-1426</t>
  </si>
  <si>
    <t>10.1016/j.quageo.2016.03.002</t>
  </si>
  <si>
    <t>DP3AF</t>
  </si>
  <si>
    <t>WOS:000378364100001</t>
  </si>
  <si>
    <t>Nghiem, SV; Rigor, IG; Clemente-Colón, P; Neumann, G; Li, PP</t>
  </si>
  <si>
    <t>Nghiem, S. V.; Rigor, I. G.; Clemente-Colon, P.; Neumann, G.; Li, P. P.</t>
  </si>
  <si>
    <t>Geophysical constraints on the Antarctic sea ice cover</t>
  </si>
  <si>
    <t>Antarctic sea ice; Passive and active microwave remote sensing; Frontal ice zone; Wind patterns; Antarctic Circumpolar Current front; GEBCO bathymetry</t>
  </si>
  <si>
    <t>SOUTHERN-OCEAN FRONTS; THICKNESS DISTRIBUTION; SHIP OBSERVATIONS; AMUNDSEN SEAS; SNOW COVER; VARIABILITY; MICROWAVE; EXTENT; BELLINGSHAUSEN; DEPTH</t>
  </si>
  <si>
    <t>The contrast between the slight increase of Antarctic sea ice and the drastic reduction of Arctic sea ice since the 1970s has been a conundrum to be resolved. Sea ice trajectory tracking with satellite scatterometer data in 2008 shows that ice around Antarctica is pushed offshore by katabatic winds influenced by the continental topography. The ice trajectories reveal that sea ice, grown earlier in the ice season, drifts northward away from the Antarctic continent forming a circumpolar frontal ice zone (FIZ) behind the ice edge. The FIZ thereby consists of sea ice that becomes rougher due to a longer exposure to wind and wave actions, and thicker over time by more ice growth and greater snow accumulation. In the Antarctic circumpolar sea ice zone adjacent to the sea ice edge, satellite data in 1999-2009 exhibit a band of strong radar backscatter, which is consistent with the signature of older, thicker, and rougher sea ice with more snow in the FIZ. This sea ice band, as wide as 1000 km, serves as a 'Great Shield,' encapsulating and protecting younger and thinner ice in the internal ice pack. In the young and thin ice region behind the FIZ, ice can grow rapidly as winds continue opening interior areas thereby creating effective ice factories. In addition, ridging can enhance ice thickness by convergence toward the circumpolar FIZ that is recirculated by westerly winds and currents. During the ice growth season, the FIZ advances until reaching lower-latitude warm waters at a boundary determined by the southern Antarctic Circumpolar Current front that is constrained by seafloor features. These persistent topographical and bathymetric geological factors help sustain the Antarctic sea ice cover. As such, the behavior of Antarctic sea ice is not a paradox as some have suggested, but instead is consistent with the geophysical characteristics in the southern polar region that starkly contrast to those in the Arctic. (C) 2016 Elsevier Inc. All rights reserved.</t>
  </si>
  <si>
    <t>[Nghiem, S. V.; Neumann, G.; Li, P. P.] CALTECH, Jet Prop Lab, 4800 Oak Grove Dr, Pasadena, CA 91109 USA; [Nghiem, S. V.] Univ Calif Los Angeles, Joint Inst Reg Earth Syst Sci &amp; Engn, Los Angeles, CA 90095 USA; [Rigor, I. G.] Univ Washington, Appl Phys Lab, 1013 NE 40th St,Box 355640, Seattle, WA 98105 USA; [Clemente-Colon, P.] NOAA Satellite Operat Facil, US Natl Naval Ice Ctr, 4251 Suitland Rd, Washington, DC 20395 USA</t>
  </si>
  <si>
    <t>California Institute of Technology; National Aeronautics &amp; Space Administration (NASA); NASA Jet Propulsion Laboratory (JPL); University of California System; University of California Los Angeles; University of Washington; University of Washington Seattle</t>
  </si>
  <si>
    <t>Nghiem, SV (corresponding author), CALTECH, Jet Prop Lab, 4800 Oak Grove Dr, Pasadena, CA 91109 USA.</t>
  </si>
  <si>
    <t>Son.V.Nghiem@jpl.nasa.gov</t>
  </si>
  <si>
    <t>Clemente-Colón, Pablo/F-5581-2010</t>
  </si>
  <si>
    <t>National Aeronautics and Space Administration (NASA) Cryospheric Sciences Program; National Oceanic and Atmospheric Administration (NOAA); National Science Foundation</t>
  </si>
  <si>
    <t>National Aeronautics and Space Administration (NASA) Cryospheric Sciences Program(National Aeronautics &amp; Space Administration (NASA)); National Oceanic and Atmospheric Administration (NOAA)(National Oceanic Atmospheric Admin (NOAA) - USA); National Science Foundation(National Science Foundation (NSF))</t>
  </si>
  <si>
    <t>The research carried out at the Jet Propulsion Laboratory, California. Institute of Technology, was supported by the National Aeronautics and Space Administration (NASA) Cryospheric Sciences Program. This research was also carried out in part under the support of the National Oceanic and Atmospheric Administration (NOAA) via a subcontract to the Joint Institute for Regional Earth System Science and Engineering of the University of California at Los Angeles. Rigor is funded by NASA, National Science Foundation, and NOAA. The statements, findings, conclusions, and recommendations in this paper are those of the authors and do not necessarily reflect the views of NOAA or the Department of Commerce. We thank S. Helfrich of NIC for preparing NIC SIE data, L. Kaleschke of the University of Hamburg for helping in the ICDC SIE data access, D.T. Nguyen of JPL for assisting in GEBCO bathymetry representation, and J. Vazquez and T.M. Chin of JPL for the MUR SST data access and documentation. We thank the reviewers, all having positive and constructive comments and suggestions in the review process by Remote Sensing of Environment. In particular, we highly appreciate the excellent and thorough review by Claire Parkinson of the NASA Goddard Space Flight Center.</t>
  </si>
  <si>
    <t>10.1016/j.rse.2016.04.005</t>
  </si>
  <si>
    <t>DO4CU</t>
  </si>
  <si>
    <t>WOS:000377730200022</t>
  </si>
  <si>
    <t>Webber, DN; Thorson, JT</t>
  </si>
  <si>
    <t>Webber, D'Arcy N.; Thorson, James T.</t>
  </si>
  <si>
    <t>Variation in growth among individuals and over time: A case study and simulation experiment involving tagged Antarctic toothfish</t>
  </si>
  <si>
    <t>Antarctic toothfish; Time-varying growth; Random effect; von Bertalanffy growth; Individual growth variation; Persistent growth variation; Transient growth variation</t>
  </si>
  <si>
    <t>STOCK ASSESSMENTS; VARIABILITY; MODELS; ERROR; SIZE; AGE</t>
  </si>
  <si>
    <t>Organisms in the marine environment are likely to exhibit variation in growth rates among individuals, and this variation may be persistent (particular individuals growing faster/slower throughout their entire lifetime) or transient (particular individuals growing faster in one year than another year). Understanding variation in growth is necessary when interpreting data regarding size (length or weight) in population models, or when estimating growth given data for tagged individuals. In this study, we explicitly model persistent and transient variation in growth rates among individuals in a wild marine population of Antarctic toothfish (Dissostichus mawsoni) in the Ross Sea, in addition to sex-specific differences in average growth rates. The model is implemented using maximum marginal likelihood estimation and validated using a simulation study. The code is distributed as a publicly available package TagGrowth in the R statistical environment. Using simulated data, we show that we can accurately estimate parameters representing the magnitude of persistent and transient variation in growth rates, and that parameters estimated in these models are reasonably precise given the case study sample sizes (315 individuals tagged and recaptured over 10 years). The case study application suggests that transient variation among individuals accounts for up to half of the total variability in Antarctic toothfish. We conclude by recommending further research to additionally estimate temporal and spatial variation in growth rates. Estimating the relative magnitude of multiple sources of growth variation will improve our ability to assess the sensitivity of existing population models to growth variation, as well as to understand the range of variation exhibited by wild marine populations. (C) 2015 Elsevier B.V. All rights reserved.</t>
  </si>
  <si>
    <t>[Webber, D'Arcy N.] Quantifish, 1 St Michaels Crescent, Wellington 6012, New Zealand; [Thorson, James T.] NOAA, Fisheries Resource Assessment &amp; Monitoring Div, NW Fisheries Sci Ctr, Natl Marine Fisheries Serv, 2725 Montlake Blvd East, Seattle, WA 98112 USA</t>
  </si>
  <si>
    <t>Webber, DN (corresponding author), Quantifish, 1 St Michaels Crescent, Wellington 6012, New Zealand.</t>
  </si>
  <si>
    <t>darcy@quantifish.co.nz</t>
  </si>
  <si>
    <t>Thorson, James T/O-7937-2014; Thorson, James T/H-8771-2019</t>
  </si>
  <si>
    <t>Thorson, James T/0000-0001-7415-1010; Thorson, James T/0000-0001-7415-1010</t>
  </si>
  <si>
    <t>10.1016/j.fishres.2015.08.016</t>
  </si>
  <si>
    <t>DM7MF</t>
  </si>
  <si>
    <t>WOS:000376544000007</t>
  </si>
  <si>
    <t>Xie, LH; Spiro, B; Wei, GJ</t>
  </si>
  <si>
    <t>Xie, Luhua; Spiro, Baruch; Wei, Gangjian</t>
  </si>
  <si>
    <t>Purification of BaSO4 precipitate contaminated with organic matter for oxygen isotope measurements (δ18O and Δ17O)</t>
  </si>
  <si>
    <t>RAPID COMMUNICATIONS IN MASS SPECTROMETRY</t>
  </si>
  <si>
    <t>ATMOSPHERIC SULFATE; BARIUM-SULFATE; THERMAL-DECOMPOSITION; SULFUR; PYROLYSIS; OXIDATION; WATER; O-2; SILICATES; NITRATE</t>
  </si>
  <si>
    <t>RATIONALE: Sulfate precipitates are often contaminated with nitrates and organic materials (OM), which reduce the precision and accuracy of measurements of delta O-18 and Delta O-17 values in the sulfate. Although nitrates can be effectively removed using diethylenetriaminepentaacetic acid solution, removing OM from the precipitates is often difficult. One effective approach is to heat powdered precipitates to high temperatures. In this study, the effect of this procedure on the delta O-18 and Delta O-17 values of BaSO4 precipitate was fully examined. METHODS: OM-contaminated BaSO4 precipitates and O-18-and O-17-labeled purified BaSO4 precipitates were loaded into alumina and gold crucibles and heated at 450 degrees C, 600 degrees C and 800 degrees C for 2 h. The nitrogen and carbon contents in the initial and the final BaSO4 were measured using an elemental analyzer. The values of delta O-18 and Delta O-17 were measured using a temperature conversion/elemental analyzer coupled with an isotope ratio mass spectrometer, and a CO2 laser system coupled with an isotopic ratio mass spectrometer. RESULTS: OM was effectively (88 degrees 17%) removed from the BaSO4 precipitates by this treatment, and heating at 800 degrees C had the highest removal efficiency (98%). The differences in delta 18O and Delta O-17 values between the final and initial BaSO4 precipitates was -0.6% to 0.3%(average of -0.1%) and -0.24% to 0.10%(average of -0.02%), respectively. Significant positive relationships between the delta O-18 and Delta O-17 values of the initial BaSO4 precipitate and those of the high-T-treated aliquots were found, with slopes having mean values of 0.96 +/- 0.06 and 1.04 +/- 0.01, respectively. CONCLUSIONS: The result demonstrates high removal efficiency for OM in BaSO4 precipitates and no significant differences in the oxygen isotopic compositions between high-T treated BaSO4 and initial BaSO4. This study indicates that the modified high-T treatment (800 degrees C, 2 h) is an effective method for purifying BaSO4 precipitated from geological and environmental samples with a high OM content for delta O-18 and Delta O-17 measurements. Copyright (C) 2016 John Wiley &amp; Sons, Ltd.</t>
  </si>
  <si>
    <t>[Xie, Luhua; Wei, Gangjian] Chinese Acad Sci, Guangzhou Inst Geochem, State Key Lab Isotope Geochem, Guangzhou 510640, Guangdong, Peoples R China; [Xie, Luhua; Wei, Gangjian] Chinese Acad Sci, Guangzhou Inst Geochem, Key Lab Marginal Sea Geol, Guangzhou 510640, Guangdong, Peoples R China; [Spiro, Baruch] Museum Nat Sci, Dept Mineral, London SW7 5BD, England</t>
  </si>
  <si>
    <t>Chinese Academy of Sciences; Guangzhou Institute of Geochemistry, CAS; Chinese Academy of Sciences; Guangzhou Institute of Geochemistry, CAS</t>
  </si>
  <si>
    <t>Xie, LH (corresponding author), Chinese Acad Sci, Guangzhou Inst Geochem, Guangzhou 510640, Guangdong, Peoples R China.</t>
  </si>
  <si>
    <t>lhxie@gig.ac.cn</t>
  </si>
  <si>
    <t>wei, gangjian/F-6513-2013</t>
  </si>
  <si>
    <t>Xie, Luhua/0000-0001-9992-6783</t>
  </si>
  <si>
    <t>National Natural Science Foundation of China [41203067]; China Scholarship Council [201304910093]; Guangzhou Institute of Geochemistry [GIGCX-11-02]; Guangzhou Institute of Geochemistry (Nitrogen Isotope Method)</t>
  </si>
  <si>
    <t>National Natural Science Foundation of China(National Natural Science Foundation of China (NSFC)); China Scholarship Council(China Scholarship Council); Guangzhou Institute of Geochemistry(Chinese Academy of Sciences); Guangzhou Institute of Geochemistry (Nitrogen Isotope Method)(Chinese Academy of Sciences)</t>
  </si>
  <si>
    <t>The idea of this work was inspired by a visit to Oxy-Anion Stable Isotope Consortium at Louisiana State University. We are grateful to Profs Huming Bao and Stanislaw Halas for discussions and comments. Justin Halyes and Dr Xiaobin Cao provided some laboratory assistance. Dr Yongbo Peng is thanked for providing the Antarctic samples. We thank Dr Becky Alexander and two other anonymous reviewers for their constructive comments, which helped to improve the manuscript. The work was financially supported by the National Natural Science Foundation of China (41203067), China Scholarship Council Visiting Scholar Fund (No. 201304910093) and Guangzhou Institute of Geochemistry (GIGCX-11-02 and Nitrogen Isotope Method) to L.-H. Xie. This is contribution No. IS-2237 from GIGCAS.</t>
  </si>
  <si>
    <t>0951-4198</t>
  </si>
  <si>
    <t>1097-0231</t>
  </si>
  <si>
    <t>RAPID COMMUN MASS SP</t>
  </si>
  <si>
    <t>Rapid Commun. Mass Spectrom.</t>
  </si>
  <si>
    <t>JUL 30</t>
  </si>
  <si>
    <t>10.1002/rcm.7610</t>
  </si>
  <si>
    <t>Biochemical Research Methods; Chemistry, Analytical; Spectroscopy</t>
  </si>
  <si>
    <t>Biochemistry &amp; Molecular Biology; Chemistry; Spectroscopy</t>
  </si>
  <si>
    <t>DR5XK</t>
  </si>
  <si>
    <t>WOS:000379975500008</t>
  </si>
  <si>
    <t>Kopalová, K; Zidarova, R; Van de Vijver, B</t>
  </si>
  <si>
    <t>Kopalova, Katerina; Zidarova, Ralitsa; Van de Vijver, Bart</t>
  </si>
  <si>
    <t>Four new monoraphid diatom species (Bacillariophyta, Achnanthaceae) from the Maritime Antarctic Region</t>
  </si>
  <si>
    <t>European Journal of Taxonomy</t>
  </si>
  <si>
    <t>Achnanthes Planothidium; Psammothidium; new species; biogeography; Antarctica</t>
  </si>
  <si>
    <t>JAMES-ROSS-ISLAND; GENUS MUELLERIA BACILLARIOPHYTA; SOUTH SHETLAND ISLANDS; FRESH-WATER; EAST ANTARCTICA; LAKES; REVISION; MARINE; GRUNOW; TAXA</t>
  </si>
  <si>
    <t>Four monoraphid taxa belonging to the genera Achnanthes,Psammothiclium and Manothidium were found during the ongoing taxonomic revision of the freshwater and limno-terrestrial diatoms of the Maritime Antarctic region. The present paper describes these four taxa as new based on detailed light and scanning electron microscopy observations: Achnanthes k-ohleriana Kopalova, Zidarova &amp; Van de Vijver sp. nov., Planothidium wetzelectorianum Kopalovd, Zidarova &amp; Van de Vijver sp. nov., Psammothidium confilsoneglectum Kopalova, Zidarova &amp; Van de Vijver sp. nov. and Psammothidium superpapilio Kopalova, Zidarova &amp; Van de Vijver sp. nov. The morphology and ecology of all four taxa are discussed and the species are compared with morphologically similar taxa.</t>
  </si>
  <si>
    <t>[Kopalova, Katerina] Charles Univ Prague, Fac Sci, Dept Ecol, Vinicna 7, CZ-12844 Prague 2, Czech Republic; [Kopalova, Katerina] Acad Sci Czech Republic, Inst Bot, Sect Plant Ecol, Dukelska 135, CZ-37982 Trebon, Czech Republic; [Zidarova, Ralitsa] Sofia Univ St Kliment Ohridski, Dept Bot, Fac Biol, 8 Dragan Tzankov Blvd, Sofia 1164, Bulgaria; [Van de Vijver, Bart] Bot Garden Meise, Dept Bryophyta &amp; Thallophyta, Nieuwelaan 38, B-1860 Meise, Belgium; [Van de Vijver, Bart] Univ Antwerp, ECOBE, Dept Biol, Univ Pl 1, B-2610 Antwerp, Belgium</t>
  </si>
  <si>
    <t>Charles University Prague; Czech Academy of Sciences; Institute of Botany of the Czech Academy of Sciences; University of Sofia; University of Antwerp</t>
  </si>
  <si>
    <t>Kopalová, K (corresponding author), Charles Univ Prague, Fac Sci, Dept Ecol, Vinicna 7, CZ-12844 Prague 2, Czech Republic.;Kopalová, K (corresponding author), Acad Sci Czech Republic, Inst Bot, Sect Plant Ecol, Dukelska 135, CZ-37982 Trebon, Czech Republic.</t>
  </si>
  <si>
    <t>k.kopalova@hotmail.com; zidarova.r@gmail.com; bart.vandevijver@plantentuinmeise.be</t>
  </si>
  <si>
    <t>Kopalova, Katerina/0000-0002-7905-4268</t>
  </si>
  <si>
    <t>RVO [67985939]; Ministerio de Ciencia y Tecnologia, Spain [POL2006-06635]; Science Fund, Bulgaria [AMY 03/63]; BELSPO project CCAMBIO</t>
  </si>
  <si>
    <t>RVO; Ministerio de Ciencia y Tecnologia, Spain(Spanish Government); Science Fund, Bulgaria; BELSPO project CCAMBIO</t>
  </si>
  <si>
    <t>This study was supported as a long-term research development project RVO no. 67985939. Samples on Byers Peninsula were taken in the framework of the IPY-Limnopolar Project POL2006-06635 (Ministerio de Ciencia y Tecnologia, Spain). Sampling and observations on Deception Island were done within AMY 03/63 Project (Science Fund, Bulgaria) and logistically supported by the Bulgarian Antarctic Institute. Dr. Blagoy Uzunov (University of Sofia) and the staff of 'Decepcion' Base are thanked for their help during the field workPart of this research was funded within the BELSPO project CCAMBIO. Dr. Alex Ball and the staff of the IAC laboratory at the Natural History Museum are thanked for their help with the scanning electron microscopy. The authors would like to thank the members of expedition to the Czech J.G. Mendel Antarctic Station for field support and assistance.</t>
  </si>
  <si>
    <t>MUSEUM NATL HISTOIRE NATURELLE</t>
  </si>
  <si>
    <t>SERVICE PUBLICATIONS SCIENTIFIQUES, 57 RUE CUVIER, 75005 PARIS, FRANCE</t>
  </si>
  <si>
    <t>2118-9773</t>
  </si>
  <si>
    <t>EUR J TAXON</t>
  </si>
  <si>
    <t>Eur. J. Taxon.</t>
  </si>
  <si>
    <t>JUL 29</t>
  </si>
  <si>
    <t>10.5852/ejt.2016.217</t>
  </si>
  <si>
    <t>Plant Sciences; Entomology; Zoology</t>
  </si>
  <si>
    <t>DS6ZG</t>
  </si>
  <si>
    <t>WOS:000380931500001</t>
  </si>
  <si>
    <t>Ameneiro, J; Lubián, LM; Sangrà, P; Vázquez, E</t>
  </si>
  <si>
    <t>Ameneiro, J.; Lubian, L. M.; Sangra, P.; Vazquez, E.</t>
  </si>
  <si>
    <t>Food-limited invertebrate larvae in the Southern Ocean: testing a paradigm</t>
  </si>
  <si>
    <t>Meroplankton; Phytoplankton; Antarctica; Brachiolaria; Cryptophyceae; Larval starvation; Odontaster</t>
  </si>
  <si>
    <t>STAR ODONTASTER-VALIDUS; ACANTHASTER-PLANCI L; KING-GEORGE-ISLAND; OF-THORNS STARFISH; BRANSFIELD STRAIT; ASTEROID LARVAE; BENTHIC INVERTEBRATES; TEMPERATE ECHINODERMS; PHYTOPLANKTON BIOMASS; MARINE-INVERTEBRATES</t>
  </si>
  <si>
    <t>A long-standing paradigm of larval ecology is that the high incidence of non-feeding larval development in Antarctic invertebrates is an adaptation to limited availability of algal food. Antarctic plankton communities have a relatively high diversity and abundance of invertebrate larvae, some of which are planktotrophic and synchronize the presence of feeding larval stages to peaks in summer phytoplankton. Among the echinoderm larvae found between 30 December 2002 and 7 January 2003 in the Bransfield Strait, the planktotrophic brachiolaria of Odontaster were the most abundant. Although phytoplankton is the main food source for planktotrophic larvae of asteroids in other oceans, previous estimates of the carbon requirements of larvae of the Antarctic asteroid O. validus have indicated that these larvae could not survive on natural levels of Antarctic phytoplankton. The main aims of the present study were to establish whether the abundance of Odontaster larvae is related to that of palatable phytoplankton and to determine whether the availability of the latter would be sufficient to cover the carbon requirements of the larvae. We found that of all palatable phytoplanktonic groups (Cryptophyceae, picoplankton, nanoplankton and ultraplankton), only Cryptophyceae was a significant predictor of brachiolaria abundance, along with the stratification index. We also found that the carbon content of the total palatable phytoplankton would be sufficient to meet the carbon requirements of Odontaster larvae at almost all stations and depths. Although O. validus spawns between mid-and late winter when the concentration of phytoplankton is lowest, winter spawning may be one way of meeting the exogenous energetic requirements of larvae.</t>
  </si>
  <si>
    <t>[Ameneiro, J.; Vazquez, E.] Univ Vigo, Fac Ciencias Mar, Dept Ecoloxia &amp; Bioloxia Anim, Vigo 36200, Spain; [Lubian, L. M.] CSIC, Inst Ciencias Marinas Andalucia, Av Republ Saharaui 2, Puerto Real 11510, Spain; [Sangra, P.] Univ Las Palmas Gran Canaria, Fac Ciencias Mar, Dept Fis, Las Palmas Gran Canaria 35017, Spain</t>
  </si>
  <si>
    <t>Universidade de Vigo; Consejo Superior de Investigaciones Cientificas (CSIC); CSIC - Instituto de Ciencias Marinas de Andalucia (ICMAN); Universidad de Las Palmas de Gran Canaria</t>
  </si>
  <si>
    <t>Ameneiro, J (corresponding author), Univ Vigo, Fac Ciencias Mar, Dept Ecoloxia &amp; Bioloxia Anim, Vigo 36200, Spain.</t>
  </si>
  <si>
    <t>julia.ameneiro@uvigo.es</t>
  </si>
  <si>
    <t>LUBIAN, LUIS M/L-7241-2014; Vázquez, Elsa/D-7082-2013</t>
  </si>
  <si>
    <t>BREDDIES Project [REN2001-2650/ANT]; Spanish Ministry of Science and Technology [CTM2008-06343-C02/ANT]</t>
  </si>
  <si>
    <t>BREDDIES Project; Spanish Ministry of Science and Technology(Spanish Government)</t>
  </si>
  <si>
    <t>This study was part of the BREDDIES Project (REN2001-2650/ANT) and the COUPLING project (CTM2008-06343-C02/ANT) sponsored by the Spanish Ministry of Science and Technology. We thank Dr. J. Bellas, G. Macho and C. Martinez for field assistance, and all scientists participating in the BREDDIES survey for their support. We extend our thanks to the officers, crew and UTM technicians of RV 'Hesperides' for their invaluable help. We also thank Dr. J. Pearse and 2 anonymous reviewers whose valuable comments helped us to improve the manuscript.</t>
  </si>
  <si>
    <t>JUL 28</t>
  </si>
  <si>
    <t>10.3354/meps11786</t>
  </si>
  <si>
    <t>DW6ZW</t>
  </si>
  <si>
    <t>WOS:000383801200005</t>
  </si>
  <si>
    <t>Schram, JB; Schoenrock, KM; McClintock, JB; Amsler, CD; Angus, RA</t>
  </si>
  <si>
    <t>Schram, Julie B.; Schoenrock, Kathryn M.; McClintock, James B.; Amsler, Charles D.; Angus, Robert A.</t>
  </si>
  <si>
    <t>Seawater acidification more than warming presents a challenge for two Antarctic macroalgal-associated amphipods</t>
  </si>
  <si>
    <t>Western Antarctic Peninsula; Crustacean; Survival; Growth; Molt frequency; Consumption rates; Climate change</t>
  </si>
  <si>
    <t>ACID-BASE-BALANCE; OCEAN ACIDIFICATION; CLIMATE-CHANGE; SEA-WATER; STERECHINUS NEUMAYERI; DECAPOD CRUSTACEANS; SUBTIDAL MACROALGAE; THERMAL TOLERANCE; DECREASED PH; TEMPERATURE</t>
  </si>
  <si>
    <t>Elevated atmospheric pCO(2) concentrations are triggering seawater pH reductions and seawater temperature increases along the western Antarctic Peninsula (WAP). These factors in combination have the potential to influence organisms in an antagonistic, additive, or synergistic manner. The amphipods Gondogeneia antarctica and Paradexamine fissicauda represent prominent members of macroalgal-associated mesograzer assemblages of the WAP. Our primary objective was to investigate amphipod behavioral and physiological responses to reduced seawater pH and elevated temperature to evaluate potential cascading ecological impacts. For 90 d, amphipods were exposed to combinations of seawater conditions based on present ambient (pH 8.0, 1.5 degrees C) and predicted end-of-century conditions (pH 7.6, 3.5 degrees C). We recorded survival, molt frequency, and macroalgal consumption rates as well as change in wet mass and proximate body composition (protein and lipid). Survival for both species declined significantly at reduced pH and co-varied with molt frequency. Consumption rates in G. antarctica were significantly higher at reduced pH and there was an additive pH-temperature effect on consumption rates in P. fissicauda. Body mass was reduced for G. antarctica at elevated temperature, but there was no significant effect of pH or temperature on body mass in P. fissicauda. Exposure to the pH or temperature levels tested did not induce significant changes in whole body biochemical composition of G. antarctica, but exposure to elevated temperature resulted in a significant increase in whole body protein content of P. fissicauda. Our study indicates that while elevated temperature causes sub-lethal impacts on both species of amphipods, reduced pH causes significant mortality.</t>
  </si>
  <si>
    <t>[Schram, Julie B.; Schoenrock, Kathryn M.; McClintock, James B.; Amsler, Charles D.; Angus, Robert A.] Univ Alabama Birmingham, Dept Biol, Birmingham, AL 35294 USA; [Schram, Julie B.] Univ Oregon, Oregon Inst Marine Biol, Charleston, OR 97420 USA</t>
  </si>
  <si>
    <t>University of Alabama System; University of Alabama Birmingham; University of Oregon</t>
  </si>
  <si>
    <t>Schram, JB (corresponding author), Univ Alabama Birmingham, Dept Biol, Birmingham, AL 35294 USA.;Schram, JB (corresponding author), Univ Oregon, Oregon Inst Marine Biol, Charleston, OR 97420 USA.</t>
  </si>
  <si>
    <t>jschram@uoregon.edu</t>
  </si>
  <si>
    <t>; Schoenrock, Kathryn/B-9082-2018</t>
  </si>
  <si>
    <t>Amsler, Charles/0000-0002-4843-3759; Schoenrock, Kathryn/0000-0002-0407-3173; Schram, Julie/0000-0002-1556-6483</t>
  </si>
  <si>
    <t>Endowed Professorship in Polar and Marine Biology; NSF award from the Antarctic Organisms and Ecosystems program [ANT-1041022]; NSF Award [ANT-1141896, ANT-1141877]</t>
  </si>
  <si>
    <t>Endowed Professorship in Polar and Marine Biology; NSF award from the Antarctic Organisms and Ecosystems program(National Science Foundation (NSF)NSF - Directorate for Geosciences (GEO)); NSF Award(National Science Foundation (NSF))</t>
  </si>
  <si>
    <t>The authors gratefully acknowledge the outstanding science and logistical support staff of Antarctic Support Contract for their invaluable support. Margaret Amsler and Kevin Scriber of the Department of Biology provided valuable field assistance. We appreciate the invaluable statistics consultation provided by Charles Katholi. Thanks are due to Kenan Matterson for his assistance with the protein analyses and Robert Thacker for use of his laboratory equipment. The present study was directly supported by NSF award ANT-1041022 (J.B.M., C.D.A., R.A.A.) from the Antarctic Organisms and Ecosystems program. J.B.M. also acknowledges partial support from NSF Award ANT-1141896, a collaborative grant award with R.B. Aronson (ANT-1141877). The UAB Department of Biology and an Endowed Professorship in Polar and Marine Biology provided additional support to J.B.M.</t>
  </si>
  <si>
    <t>10.3354/meps11814</t>
  </si>
  <si>
    <t>Green Accepted, Green Submitted, Bronze</t>
  </si>
  <si>
    <t>WOS:000383801200006</t>
  </si>
  <si>
    <t>Marcus, L; Virtue, P; Pethybridge, HR; Meekan, MG; Thums, M; Nichols, PD</t>
  </si>
  <si>
    <t>Marcus, Lara; Virtue, Patti; Pethybridge, Heidi R.; Meekan, Mark G.; Thums, Michele; Nichols, Peter D.</t>
  </si>
  <si>
    <t>Intraspecific variability in diet and implied foraging ranges of whale sharks at Ningaloo Reef, Western Australia, from signature fatty acid analysis</t>
  </si>
  <si>
    <t>Biochemical analysis; Chondricthyans; Elasmobranchs; Feeding ecology; Fatty acids; Lipids</t>
  </si>
  <si>
    <t>SEALS MIROUNGA-LEONINA; RHINCODON-TYPUS; STABLE-ISOTOPE; LIPIDS; ECOSYSTEM; ECOLOGY; BLUBBER; FISH; INVERTEBRATES; ZOOPLANKTON</t>
  </si>
  <si>
    <t>We examined the feeding ecology of whale sharks by analyzing the signature fatty acids of their sub-dermal tissue and those of an extensive set of potential prey collected at Ningaloo Reef, Western Australia, in 2013, 2014 and 2015. Sub-dermal tissue of whale sharks was low in lipid content (4.0 mg g(-1) dry mass) and dominated by phospholipids (72% of total lipids), with a calculated energy density of 18.7 kJ g(-1) dry mass. There was significant intraspecific variability in fatty acid profiles of whale sharks, with cluster analysis identifying 4 distinct groups in 2013 and 5 groups in 2014. As this variability was not related to sex or size-class, we suggest that it may be attributed to differences in the feeding habitats used by these groups of whale sharks. Variation in dietary patterns was also observed between years, likely due to changes in the primary and secondary producers. Examination of food web interactions showed that fatty acid profiles of whale sharks and their presumed prey were significantly different, suggesting that sharks fed over a wide range of habitats, including deep waters. Our findings show that signature fatty acids of sub-dermal tissue can be used to examine broad trophic pathways and to identify spatial and temporal changes in the diet of these large and wide-ranging animals.</t>
  </si>
  <si>
    <t>[Marcus, Lara; Virtue, Patti; Pethybridge, Heidi R.] Univ Tasmania, Inst Marine &amp; Antarct Studies, Private Bag 129, Hobart, Tas, Australia; [Virtue, Patti; Pethybridge, Heidi R.; Nichols, Peter D.] CSIRO Oceans &amp; Atmosphere, GPO Box 1538, Hobart, Tas, Australia; [Virtue, Patti] Antarctic Climate &amp; Ecosyst Cooperat Res Ctr, Private Bag 80, Hobart, Tas 7001, Australia; [Meekan, Mark G.; Thums, Michele] UWA OI MO96, Australian Inst Marine Sci, 35 Stirling Highway, Crawley, WA 6009, Australia</t>
  </si>
  <si>
    <t>University of Tasmania; Commonwealth Scientific &amp; Industrial Research Organisation (CSIRO); Antarctic Climate &amp; Ecosystems Cooperative Research Centre (ACE CRC); University of Western Australia; Australian Institute of Marine Science</t>
  </si>
  <si>
    <t>Marcus, L (corresponding author), Univ Tasmania, Inst Marine &amp; Antarct Studies, Private Bag 129, Hobart, Tas, Australia.</t>
  </si>
  <si>
    <t>lmarcus@utas.edu.au</t>
  </si>
  <si>
    <t>Pethybridge, Heidi/AEO-8594-2022; Pethybridge, Heidi/AAI-9824-2021; Nichols, Peter D/C-5128-2011; Thums, Michele/A-3850-2013</t>
  </si>
  <si>
    <t>Pethybridge, Heidi/0000-0002-7291-5766; Virtue, Patti/0000-0002-9870-1256; Meekan, Mark/0000-0002-3067-9427; Thums, Michele/0000-0002-8669-8440</t>
  </si>
  <si>
    <t>Save Our Seas Foundation; Winifred Violet Scott Charitable Trust; Holsworth Wild-life Research Endowment Grants</t>
  </si>
  <si>
    <t>We are grateful to people who contributed to field-work, including Captain Terry Maxwell and his crew on board of 'Osso Blu', as well as all the scientific team from the Australian Institute of Marine Science with special mention to Kim Brooks and the WA Department of Parks and Wildlife. We also thank Peter Mansour at CSIRO for his help with lipid and fatty acid analysis and Ella Clausius for her work in identifying zooplankton samples. Janet A. Ley and 3 anonymous reviewers are thanked for their helpful comments that improved the final manuscript. This research was funded by the Save Our Seas Foundation, Winifred Violet Scott Charitable Trust and Holsworth Wild-life Research Endowment Grants.</t>
  </si>
  <si>
    <t>10.3354/meps11807</t>
  </si>
  <si>
    <t>WOS:000383801200008</t>
  </si>
  <si>
    <t>Thomson, PG; Davidson, AT; Maher, L</t>
  </si>
  <si>
    <t>Thomson, Paul G.; Davidson, Andrew T.; Maher, Lynsey</t>
  </si>
  <si>
    <t>Increasing CO2 changes community composition of pico- and nano-sized protists and prokaryotes at a coastal Antarctic site</t>
  </si>
  <si>
    <t>Ocean acidification; Minicosms; CO2; Flow cytometry; Picophytoplankton; Nanophytoplankton; Heterotrophic nanoflagellates; Bacteria; Archaea</t>
  </si>
  <si>
    <t>OCEAN ACIDIFICATION; SOUTHERN-OCEAN; PHYTOPLANKTON GROWTH; ATLANTIC SECTOR; CARBONATE CHEMISTRY; ATMOSPHERIC CO2; MARINE MICROBES; PCO(2) LEVELS; ELEVATED CO2; ROSS SEA</t>
  </si>
  <si>
    <t>Ocean acidification is a globally recognised phenomenon, but little is known of its impacts on Antarctic marine microbes. Here we report on the community response of pico- and nanophytoplankton, heterotrophic nanoflagellates (HNF) and prokaryotes (Archaea and Bacteria) to elevated CO2 during 3 minicosm experiments over the 2008/2009 summer at Davis Station, Antarctica. Coastal seawater was incubated in 650 l minicosms (n = 6) for &lt;= 12 d at CO2 concentrations ranging from preindustrial levels to those predicted for 2100 and beyond. The abundance of pico-and nano-sized protists and prokaryotes were determined by flow cytometry, using chlorophyll autofluorescence to discriminate the phytoplankton, SYBR-Green to stain the prokaryotes and LysoTracker Green stain to discriminate the HNF. While the effects on nanophytoplankton abundance were inconclusive, our results show that increasing CO2 can alter the composition of the microbial community in Antarctic coastal waters. Our 3 experiments consistently showed lower concentrations of HNF and higher abundances of picophytoplankton and prokaryotes in treatments exposed to elevated CO2. While the mechanism remains to be confirmed, our study suggests that CO2 may reduce the mortality of picoplankton by HNF grazing. Our results indicate that changes in the composition of Antarctic microbial communities may occur within the concentration range of 750 to 1118 ppm CO2, potentially impacting the Antarctic food web through reduced food availability.</t>
  </si>
  <si>
    <t>[Thomson, Paul G.] Univ Western Australia, Sch Civil Environm &amp; Min Engn, Mailstop M470,35 Stirling Highway, Nedlands, WA 6009, Australia; [Thomson, Paul G.] Univ Western Australia, UWA Oceans Inst, Mailstop M470,35 Stirling Highway, Nedlands, WA 6009, Australia; [Thomson, Paul G.; Davidson, Andrew T.; Maher, Lynsey] Australian Antarctic Div, Dept Sustainabil Environm Water Populat &amp; Communi, Channel Highway, Kingston, Tas 7050, Australia; [Davidson, Andrew T.] Univ Tasmania, ACECRC, Private Bag 80, Hobart, Tas, Australia</t>
  </si>
  <si>
    <t>University of Western Australia; University of Western Australia; Australian Antarctic Division; University of Tasmania</t>
  </si>
  <si>
    <t>Thomson, PG (corresponding author), Univ Western Australia, Sch Civil Environm &amp; Min Engn, Mailstop M470,35 Stirling Highway, Nedlands, WA 6009, Australia.;Thomson, PG (corresponding author), Univ Western Australia, UWA Oceans Inst, Mailstop M470,35 Stirling Highway, Nedlands, WA 6009, Australia.;Thomson, PG (corresponding author), Australian Antarctic Div, Dept Sustainabil Environm Water Populat &amp; Communi, Channel Highway, Kingston, Tas 7050, Australia.</t>
  </si>
  <si>
    <t>paul.thomson@uwa.edu.au</t>
  </si>
  <si>
    <t>AAS Project [40]; Australian Antarctic Division (AAD); Australian Climate Change Science Program; University, State and Commonwealth Governments</t>
  </si>
  <si>
    <t>AAS Project; Australian Antarctic Division (AAD); Australian Climate Change Science Program; University, State and Commonwealth Governments</t>
  </si>
  <si>
    <t>This research was supported by AAS Project 40 and the Australian Antartic Division (AAD). We gratefully acknowledge the assistance of S. Wright and R. van den Enden with pigment analyses and scanning electron microscopy work; Bronte Tilbrook and Kate Berry (supported by the Australian Climate Change Science Program) for the analysis of total dissolved inorganic carbon and total alkalinity at CSIRO Marine and Atmospheric Research Laboratories in Hobart; AAD technical support in designing and equipping the minicosms; and Davis Station expeditioners in the summer of 2008-2009 for their support and assistance. We thank the reviewers for their comments that improved the manuscript. We acknowledge the facilities and the scientific and technical assistance of the Australian Microscopy &amp; Microanalysis Research Facility at the Centre for Microscopy, Characterisation &amp; Analysis, The University of Western Australia, a facility funded by the University, State and Commonwealth Governments.</t>
  </si>
  <si>
    <t>10.3354/meps11803</t>
  </si>
  <si>
    <t>WOS:000383801200004</t>
  </si>
  <si>
    <t>Nash, KL; Abesamis, RA; Graham, NAJ; McClure, EC; Moland, E</t>
  </si>
  <si>
    <t>Nash, Kirsty L.; Abesamis, Rene A.; Graham, Nicholas A. J.; McClure, Eva C.; Moland, Even</t>
  </si>
  <si>
    <t>Drivers of herbivory on coral reefs: species, habitat and management effects</t>
  </si>
  <si>
    <t>Coral reef; Foraging; Functional role; Inter-foray distance; Resilience; Spatial ecology</t>
  </si>
  <si>
    <t>FLIGHT INITIATION DISTANCE; GREAT-BARRIER-REEF; PHASE-SHIFTS; FUNCTIONAL DIVERSITY; SPATIAL-PATTERNS; GRAZER BIOMASS; HOME-RANGE; BODY-SIZE; FISH; RESILIENCE</t>
  </si>
  <si>
    <t>Ecosystems are under increasing pressure from external disturbances. Understanding how species that drive important functional processes respond to benthic and community change will have implications for predicting ecosystem recovery. Herbivorous fishes support reefs in coral-dominated states by mediating competition between coral and macroalgae. Spatiotemporal variability in herbivore populations and behaviour have direct effects on the removal of algae, but knowledge of how different drivers impact on herbivore populations and their foraging is currently lacking. Such knowledge is important to understand whether herbivory is likely to compensate for changing resource availability, and thus, the potential for reefs to recover from disturbance. The relative importance of these drivers has implications for the suitability of specific management actions put in place to support herbivory. Variability in density, body size, foraging movements and grazing rate of 2 parrotfish species was investigated across reefs exhibiting a range of benthic and fish community compositions. Foraging movements were influenced by the benthos, with foraging distances greatest on degraded reefs. In contrast, parrotfish densities were driven by the management status of the reef; parrotfish size was primarily linked to species identity, whereas grazing rate was influenced by both management status and species. These findings suggest that the distribution of foraging effort will vary over time in response to reef condition, such that feeding becomes more dispersed as reefs degrade. Gear restrictions that protect large, high-grazing-rate species, or designation of no-take areas, are likely to maximise algal removal, regardless of reef condition.</t>
  </si>
  <si>
    <t>[Nash, Kirsty L.; Abesamis, Rene A.; McClure, Eva C.] James Cook Univ, ARC Ctr Excellence Coral Reef Studies, Townsville, Qld 4811, Australia; [Nash, Kirsty L.] Ctr Marine Socioecol, Hobart, Tas 7000, Australia; [Nash, Kirsty L.] Univ Tasmania, Inst Marine &amp; Antarctic Studies, Hobart, Tas 7000, Australia; [Abesamis, Rene A.; McClure, Eva C.] James Cook Univ, Coll Marine &amp; Environm Sci, Townsville, Qld 4811, Australia; [Abesamis, Rene A.] Silliman Univ, Angelo King Ctr Res &amp; Environm Management SUAKCRE, Dumaguete 6200, Negros Oriental, Philippines; [Graham, Nicholas A. J.] Univ Lancaster, Lancaster Environm Ctr, Lancaster LA1 4YQ, England; [Moland, Even] Flodevigen Marine Res Stn, Inst Marine Res, N-4817 His, Norway; [Moland, Even] Univ Agder, Fac Sci &amp; Engn, Dept Nat Sci, Ctr Coastal Res, N-4604 Kristiansand, Norway</t>
  </si>
  <si>
    <t>James Cook University; University of Tasmania; James Cook University; Silliman University; Lancaster University; Institute of Marine Research - Norway; University of Agder</t>
  </si>
  <si>
    <t>Nash, KL (corresponding author), James Cook Univ, ARC Ctr Excellence Coral Reef Studies, Townsville, Qld 4811, Australia.;Nash, KL (corresponding author), Ctr Marine Socioecol, Hobart, Tas 7000, Australia.;Nash, KL (corresponding author), Univ Tasmania, Inst Marine &amp; Antarctic Studies, Hobart, Tas 7000, Australia.</t>
  </si>
  <si>
    <t>nashkirsty@gmail.com</t>
  </si>
  <si>
    <t>Abesamis, Rene A./AAE-1917-2022; Graham, Nicholas/C-8360-2014; Nash, Kirsty L/B-5456-2015; Moland, Even/A-7788-2013</t>
  </si>
  <si>
    <t>Abesamis, Rene A./0000-0001-7456-1415; Graham, Nicholas/0000-0002-0304-7467; Nash, Kirsty L/0000-0003-0976-3197; Moland, Even/0000-0002-6521-2659</t>
  </si>
  <si>
    <t>Australian Research Council; Research Council of Norway; Natural Environment Research Council [ceh010010] Funding Source: researchfish</t>
  </si>
  <si>
    <t>Australian Research Council(Australian Research Council); Research Council of Norway(Research Council of Norway); Natural Environment Research Council(UK Research &amp; Innovation (UKRI)Natural Environment Research Council (NERC))</t>
  </si>
  <si>
    <t>Thank you to the Silliman University-Angelo King Center for Research and Environmental Management for hosting the fieldwork. This research was principally supported by the Australian Research Council. E.M. thanks the Research Council of Norway, who funded his personal overseas research grant to visit SUAKCREM. Monet Raymundo and Manuel Bucol provided valuable assistance during fieldwork. We are grateful to government officials and marine resource managers in the towns of San Juan, Siaton, Oslob, Dauin and the protected area management board of Apo Island for allowing fieldwork at the study sites. We thank 4 anonymous reviewers for their comments, which greatly improved the manuscript.</t>
  </si>
  <si>
    <t>10.3354/meps11795</t>
  </si>
  <si>
    <t>WOS:000383801200009</t>
  </si>
  <si>
    <t>Baylis, AMM; Orben, RA; Costa, DP; Arnould, JPY; Staniland, IJ</t>
  </si>
  <si>
    <t>Baylis, A. M. M.; Orben, R. A.; Costa, D. P.; Arnould, J. P. Y.; Staniland, I. J.</t>
  </si>
  <si>
    <t>Sexual segregation in habitat use is smaller than expected in a highly dimorphic marine predator, the southern sea lion</t>
  </si>
  <si>
    <t>Habitat selection; Dietary segregation; Niche variation; Otaria byronia; South American sea lions</t>
  </si>
  <si>
    <t>NEW-ZEALAND; FORAGING BEHAVIOR; PATTERNS; OVERLAP</t>
  </si>
  <si>
    <t>Sexual segregation in habitat use is widely reported in many taxa and can profoundly influence the distribution and behaviour of animals. However, our knowledge of the mechanisms driving sexual segregation is still in its infancy (particularly in marine taxa) and the influence of extrinsic factors in mediating the expression of sex differences in foraging behaviour is underdeveloped. Here, we combine data from biologging tags, with stable isotope analysis of vibrissae, to assess sexual segregation in southern sea lions (SSL) (Otaria flavescens) breeding at the Falkland Islands in the South Atlantic. We found evidence to support segregation, most notably in delta C-13 and delta N-15 values. However, in spite of extreme sexual size dimorphism and differing constraints related to female- only parental care, adult male and adult female SSL overlapped considerably in isotopic niches and foraging area, and shared similar foraging trip characteristics (such as distance and duration). This is in contrast to SSL breeding in Argentina, where prior studies report sexual differences in foraging locations and foraging trip characteristics. We posit that sexual segregation in SSL is influenced by habitat availability (defined here as the width of the Patagonian Shelf) and individual foraging preferences, rather than commonly invoked individual-based limiting factors per se.</t>
  </si>
  <si>
    <t>[Baylis, A. M. M.] South Atlantic Environm Res Inst, Stanley FIQQ 1ZZ, Falkland Island; [Baylis, A. M. M.] Falklands Conservat, Stanley FIQQ 1ZZ, Falkland Island; [Baylis, A. M. M.] Macquarie Univ, Dept Biol Sci, Sydney, NSW 2109, Australia; [Orben, R. A.] Oregon State Univ, Hatfield Marine Sci Ctr, Dept Fisheries &amp; Wildlife, Newport, OR 97365 USA; [Costa, D. P.] Univ Calif Santa Cruz, Dept Ecol &amp; Evolutionary Biol, Santa Cruz, CA 95060 USA; [Arnould, J. P. Y.] Deakin Univ, Sch Life &amp; Environm Sci, Geelong, Vic, Australia; [Staniland, I. J.] British Antarctic Survey NERC, Madingley Rd, Cambridge CB3 0ET, England</t>
  </si>
  <si>
    <t>Macquarie University; Oregon State University; University of California System; University of California Santa Cruz; Deakin University; UK Research &amp; Innovation (UKRI); Natural Environment Research Council (NERC); NERC British Antarctic Survey</t>
  </si>
  <si>
    <t>Baylis, AMM (corresponding author), South Atlantic Environm Res Inst, Stanley FIQQ 1ZZ, Falkland Island.;Baylis, AMM (corresponding author), Falklands Conservat, Stanley FIQQ 1ZZ, Falkland Island.;Baylis, AMM (corresponding author), Macquarie Univ, Dept Biol Sci, Sydney, NSW 2109, Australia.</t>
  </si>
  <si>
    <t>al_baylis@yahoo.com.au</t>
  </si>
  <si>
    <t>Staniland, Iain/I-4725-2012; Baylis, Alastair/H-9471-2019; Orben, Rachael A./H-9460-2019; Costa, Daniel Paul/E-2616-2013</t>
  </si>
  <si>
    <t>Staniland, Iain/0000-0003-2736-9134; Baylis, Alastair/0000-0002-5167-0472; Orben, Rachael A./0000-0002-0802-407X; Costa, Daniel Paul/0000-0002-0233-5782</t>
  </si>
  <si>
    <t>Shackleton Scholarship Fund (Centenary Award); Rufford Small Grants; Sea World and Busch Gardens Conservation Fund; Joint Nature Conservation Council; National Geographic Society; Winifred Violet Scott; Falkland Islands Government; Office of Naval Research [N00014-13-1-0134]; Natural Environment Research Council [bas0100035] Funding Source: researchfish; NERC [bas0100035] Funding Source: UKRI</t>
  </si>
  <si>
    <t>Shackleton Scholarship Fund (Centenary Award); Rufford Small Grants; Sea World and Busch Gardens Conservation Fund; Joint Nature Conservation Council; National Geographic Society(National Geographic Society); Winifred Violet Scott; Falkland Islands Government; Office of Naval Research(Office of Naval Research); Natural Environment Research Council(UK Research &amp; Innovation (UKRI)Natural Environment Research Council (NERC)); NERC(UK Research &amp; Innovation (UKRI)Natural Environment Research Council (NERC))</t>
  </si>
  <si>
    <t>For facilitating this research, we thank Rincon Grande farm, P. Brickle, R. Cordiero, J. Fenton and N. Rendell. T. Knox assisted with field work. A.M.M.B. received funding from the Shackleton Scholarship Fund (Centenary Award), Rufford Small Grants, Sea World and Busch Gardens Conservation Fund, Joint Nature Conservation Council, National Geographic Society, Winifred Violet Scott and the Falkland Islands Government. Adult male PTT tags were generously supplied by the British Antarctic Survey. D.P.C. received funding through the Office of Naval Research (N00014-13-1-0134) to support the retrieval of ARGOS data. Research was conducted under permit R14/2014 issued by the Falkland Islands Government to A.M.M.B. and the United States National Marine Fisheries Permit 17952 issued to D.P.C.</t>
  </si>
  <si>
    <t>10.3354/meps11759</t>
  </si>
  <si>
    <t>WOS:000383801200014</t>
  </si>
  <si>
    <t>Wege, M; Tosh, CA; de Bruyn, PJN; Bester, MN</t>
  </si>
  <si>
    <t>Wege, M.; Tosh, C. A.; de Bruyn, P. J. N.; Bester, M. N.</t>
  </si>
  <si>
    <t>Cross-seasonal foraging site fidelity of subantarctic fur seals: implications for marine conservation areas</t>
  </si>
  <si>
    <t>Arctocephalus tropicalis; Directional preference; Foraging tactic; Habitat utilization; Marine protected area; Marion Island; Satellite telemetry; T-LoCoH</t>
  </si>
  <si>
    <t>ARCTOCEPHALUS-TROPICALIS; ELEPHANT SEAL; HOME RANGES; PREDATOR; BEHAVIOR; ECOSYSTEM; GAZELLA; ISLAND; TIME; MOVEMENTS</t>
  </si>
  <si>
    <t>Marine top predators show fidelity to foraging areas with predictable high-quality food patches. Areas of predictable prey yield are of conservation importance, and telemetry data aid in identifying such areas. This study examined colony-specific and intra-individual foraging site fidelity of lactating subantarctic fur seals Arctocephalus tropicalis from Marion Island, Southern Ocean (46 degrees 54' S, 37 degrees 45' E), during summer and winter, comparing commitment to foraging areas across seasons. Thirty females were tracked in 2009-2013, resulting in 109 foraging trips for analyses. Inter-annually, preferred foraging areas in summer were consistently similar to 200 km due east of Marion Island towards the Gallieni Rise. Summer individuals' core utilization areas overlapped by an estimated 32.84% (CI: 24.53-41.94%). Seals responded to a decrease in regional productivity in winter by foraging in more distant, alternative areas. In winter, individuals changed their travelling direction to northeast of Marion Island and foraged further afield, around the Del Cano Rise and along the Southwest Indian Ridge. Despite preferring some foraging areas in winter, there was a low amount of overlap 6.03% (CI 4.02-9.16%) of individual core utilization areas. The foraging grounds identified in this study have not been included in prior conservation assessments and are important for conserving this globally significant, and currently declining, population of subantarctic fur seals and perhaps other top predators breeding at Marion Island as well. Differences between foraging areas preferred in winter and summer highlight the importance of sampling during different seasons when using telemetry data for the identification of potential pelagic conservation areas.</t>
  </si>
  <si>
    <t>[Wege, M.; Tosh, C. A.; de Bruyn, P. J. N.; Bester, M. N.] Univ Pretoria, Mammal Res Inst, Dept Zool &amp; Entomol, Pretoria, South Africa</t>
  </si>
  <si>
    <t>University of Pretoria</t>
  </si>
  <si>
    <t>Wege, M (corresponding author), Univ Pretoria, Mammal Res Inst, Dept Zool &amp; Entomol, Pretoria, South Africa.</t>
  </si>
  <si>
    <t>mwege@zoology.up.ac.za</t>
  </si>
  <si>
    <t>Tosh, Cheryl/D-5623-2016; Bester, Marthán N/E-5387-2010; de Bruyn, P. J. Nico/E-4176-2010; Wege, Mia/B-1103-2016</t>
  </si>
  <si>
    <t>Tosh, Cheryl/0000-0003-0243-5422; de Bruyn, P. J. Nico/0000-0002-9114-9569; Wege, Mia/0000-0002-9022-3069</t>
  </si>
  <si>
    <t>Department of Science and Technology, through the National Research Foundation (NRF); Marion Island Marine Mammal Programme of the Mammal Research Institute</t>
  </si>
  <si>
    <t>Department of Science and Technology, through the National Research Foundation (NRF)(Department of Science &amp; Technology (India)); Marion Island Marine Mammal Programme of the Mammal Research Institute</t>
  </si>
  <si>
    <t>M. Postma, D. van der Merwe, N. Lubcker, W. Haddad, C. Oosthuizen, R. Reisinger, J. Purdon, H. Purdon, T. Scott, C. Conradie and M. Knight are gratefully acknowledged for their hard work with field data collection. We also thank the anonymous reviewers, who improved the paper greatly through their constructive and detailed comments. The Department of Environmental Affairs supplied logistical support within the South African National Antarctic Programme. Financial support was provided by the Department of Science and Technology, through the National Research Foundation (NRF), in support of the Marion Island Marine Mammal Programme of the Mammal Research Institute.</t>
  </si>
  <si>
    <t>10.3354/meps11798</t>
  </si>
  <si>
    <t>WOS:000383801200016</t>
  </si>
  <si>
    <t>Hirano, S; Kohma, M; Sato, K</t>
  </si>
  <si>
    <t>Hirano, Soichiro; Kohma, Masashi; Sato, Kaoru</t>
  </si>
  <si>
    <t>A three-dimensional analysis on the role of atmospheric waves in the climatology and interannual variability of stratospheric final warming in the Southern Hemisphere</t>
  </si>
  <si>
    <t>ANTARCTIC POLAR VORTEX; GENERALIZED ELIASSEN-PALM; OZONE HOLE; EXTRATROPICAL CIRCULATION; DOWNWARD PROPAGATION; MIDDLE ATMOSPHERE; PLANETARY-WAVES; SUDDEN WARMINGS; SURFACE CLIMATE; ANNULAR MODES</t>
  </si>
  <si>
    <t>Stratospheric final warming (SFW) in the Southern Hemisphere is examined in terms of their interannual variability and climatology using reanalysis data from January 1979 to March 2014. First, it is shown from a two-dimensional transformed Eulerian mean (TEM) analysis that a time-integrated vertical component of Eliassen-Palm flux during the spring is significantly related with SFW date. To clarify the role of residual mean flow in the interannual variability of the SFW date, SFWs are categorized into early and late groups according to the SFW date and their differences are examined. Significant difference in potential temperature tendency is observed in the middle and lower stratosphere in early October. Their structure in the meridional cross section accords well with that of vertical potential temperature advection by the residual mean flow. Difference in heating rate by shortwave radiation is minor. These results suggest that the adiabatic heating associated with the residual mean flow largely affects polar stratospheric temperature during austral spring and SFW date. The analysis is extended to investigate the longitudinal structure by using a three-dimensional (3-D) TEM theory. The significant difference in potential temperature tendency is mainly observed around the Weddell Sea at 10hPa. Next, climatological 3-D structure of a vertical component of the residual mean flow in association with SFW is examined in terms of the effect on the troposphere. The results suggest that a downward residual mean flow from the stratosphere penetrates into underlying troposphere over East Antarctica and partly influences tropospheric temperature there.</t>
  </si>
  <si>
    <t>[Hirano, Soichiro; Kohma, Masashi; Sato, Kaoru] Univ Tokyo, Dept Earth &amp; Planetary Sci, Tokyo, Japan</t>
  </si>
  <si>
    <t>University of Tokyo</t>
  </si>
  <si>
    <t>Hirano, S (corresponding author), Univ Tokyo, Dept Earth &amp; Planetary Sci, Tokyo, Japan.</t>
  </si>
  <si>
    <t>soichiro_hirano@eps.s.u-tokyo.ac.jp</t>
  </si>
  <si>
    <t>Sato, Kaoru/E-1693-2012; Kohma, Masashi/C-8055-2015</t>
  </si>
  <si>
    <t>Sato, Kaoru/0000-0002-6225-6066; Kohma, Masashi/0000-0001-9875-3032; Hirano, Soichiro/0000-0002-1675-6780</t>
  </si>
  <si>
    <t>MEXT, Japan [25247075]; Grants-in-Aid for Scientific Research [25247075, 16K17801] Funding Source: KAKEN</t>
  </si>
  <si>
    <t>MEXT, Japan(Ministry of Education, Culture, Sports, Science and Technology, Japan (MEXT)); Grants-in-Aid for Scientific Research(Ministry of Education, Culture, Sports, Science and Technology, Japan (MEXT)Japan Society for the Promotion of ScienceGrants-in-Aid for Scientific Research (KAKENHI))</t>
  </si>
  <si>
    <t>We thank Makoto Koike, Hiroaki Miura, and Takenari Kinoshita for many fruitful comments. We would also like to express my gratitude to Elisa Manzini and Marco Giorgetta for providing constructive comments. The authors also appreciate Carlos Roberto Mechoso and two anonymous reviewers for their critical reading and constructive comments. All figures in the present study are depicted by using Dennou Club Library (DCL). JRA-55 data set are provided by the Japan Meteorological Agency (http://jra.kishou.go.jp/index.html). Heating rates by longwave and shortwave radiation from JRA-55 are archived and provided under the framework of the Data Integration and Analysis System (DIAS), through the National Key Technology, Marine Earth Observation Exploration System (http://dias-dss.tkl.iis.u-tokyo.ac.jp/ddc/viewer?ds=JRA55&amp;lang=en). ERA-Interim data set are provided by the European Centre for Medium-Range Weather Forecast (http://apps.ecmwf.int/datasets/). This work was supported by a Grant-in-Aid for Scientific Research (25247075) from MEXT, Japan.</t>
  </si>
  <si>
    <t>JUL 27</t>
  </si>
  <si>
    <t>10.1002/2015JD024481</t>
  </si>
  <si>
    <t>DT6YX</t>
  </si>
  <si>
    <t>WOS:000381632100017</t>
  </si>
  <si>
    <t>Mangiagalli, M; Bar-Dolev, M; Kaleda, A; Natalello, A; Brocca, S; De Pascale, D; Pucciarelli, S; Braslavsky, I; Lotti, M</t>
  </si>
  <si>
    <t>Mangiagalli, Marco; Bar-Dolev, Maya; Kaleda, Aleksei; Natalello, Antonino; Brocca, Stefania; De Pascale, Donatella; Pucciarelli, Sandra; Braslavsky, Ido; Lotti, Marina</t>
  </si>
  <si>
    <t>Identification and functional analysis of a novel Antarctic ice binding protein</t>
  </si>
  <si>
    <t>NEW BIOTECHNOLOGY</t>
  </si>
  <si>
    <t>[Mangiagalli, Marco; Brocca, Stefania; De Pascale, Donatella] Univ Milano Bicocca, Milan, Italy; [Bar-Dolev, Maya; Lotti, Marina] Hebrew Univ Jerusalem, IL-91905 Jerusalem, Israel; [Kaleda, Aleksei; Natalello, Antonino] Tallinn Univ Technol, EE-19086 Tallinn, Estonia; [Pucciarelli, Sandra] CNR, Washington, DC 20418 USA; [Braslavsky, Ido] Univ Camerino, I-62032 Camerino, Italy</t>
  </si>
  <si>
    <t>University of Milano-Bicocca; Hebrew University of Jerusalem; Tallinn University of Technology; University of Camerino</t>
  </si>
  <si>
    <t>MANGIAGALLI, MARCO/Q-9988-2018; Dolev, Maya Bar/AAG-7771-2020; Brocca, Stefania/AAE-1299-2021; Braslavsky, Ido/O-1859-2013; Natalello, Antonino/B-9659-2012</t>
  </si>
  <si>
    <t>MANGIAGALLI, MARCO/0000-0001-8211-165X; Natalello, Antonino/0000-0002-1489-272X</t>
  </si>
  <si>
    <t>1871-6784</t>
  </si>
  <si>
    <t>1876-4347</t>
  </si>
  <si>
    <t>NEW BIOTECHNOL</t>
  </si>
  <si>
    <t>New Biotech.</t>
  </si>
  <si>
    <t>JUL 25</t>
  </si>
  <si>
    <t>P37-11</t>
  </si>
  <si>
    <t>S212</t>
  </si>
  <si>
    <t>10.1016/j.nbt.2016.06.1452</t>
  </si>
  <si>
    <t>Biochemical Research Methods; Biotechnology &amp; Applied Microbiology</t>
  </si>
  <si>
    <t>EJ7KM</t>
  </si>
  <si>
    <t>WOS:000393400600691</t>
  </si>
  <si>
    <t>Palacios, J; Faúndez, C; Pérez, R; Montoya, M; Lavin, P; Vaca, I; Martínez, C; Chávez, R</t>
  </si>
  <si>
    <t>Palacios, Jose; Faundez, Carolina; Perez, Rodrigo; Montoya, Marcelo; Lavin, Paris; Vaca, Inmaculada; Martinez, Claudio; Chavez, Renato</t>
  </si>
  <si>
    <t>β-Galactosidase activity in microorganisms isolated from Antarctic environments</t>
  </si>
  <si>
    <t>[Palacios, Jose; Faundez, Carolina; Perez, Rodrigo; Martinez, Claudio; Chavez, Renato] Univ Santiago Chile, Santiago, Chile; [Montoya, Marcelo; Lavin, Paris] Inst Antartico Chileno INACH, Punta Arenas, Chile; [Vaca, Inmaculada] Univ Chile, Santiago, Chile</t>
  </si>
  <si>
    <t>Universidad de Santiago de Chile; Universidad de Chile</t>
  </si>
  <si>
    <t>Lavin, Paris/AAI-9053-2020</t>
  </si>
  <si>
    <t>Lavin, Paris/0000-0002-8893-526X</t>
  </si>
  <si>
    <t>CONICYT - FONDEF/I Concurso IDeA en Dos Etapas [Folio ID14I10098]; DICYT-USACH</t>
  </si>
  <si>
    <t>CONICYT - FONDEF/I Concurso IDeA en Dos Etapas; DICYT-USACH</t>
  </si>
  <si>
    <t>This work was financed by CONICYT - FONDEF/I Concurso IDeA en Dos Etapas - Folio ID14I10098. We also thank the support of DICYT-USACH.</t>
  </si>
  <si>
    <t>P8-46</t>
  </si>
  <si>
    <t>S108</t>
  </si>
  <si>
    <t>S109</t>
  </si>
  <si>
    <t>10.1016/j.nbt.2016.06.1100</t>
  </si>
  <si>
    <t>WOS:000393400600349</t>
  </si>
  <si>
    <t>Chavtur, VG; Keyser, D</t>
  </si>
  <si>
    <t>Chavtur, Vladimir G.; Keyser, Dietmar</t>
  </si>
  <si>
    <t>Benthic myodocopid Ostracoda (Philomedidae) from the Southern Ocean</t>
  </si>
  <si>
    <t>Benthos; Ostracod; Myodocopa; Philomedes; Scleroconcha; Antarctic ocean; taxonomy; distribution</t>
  </si>
  <si>
    <t>This study is based on the material of myodocopid ostracodes of the family Philomedidae collected by the Russian Antarctic Polar Expeditions (1963-2007) and the Germany Expeditions on R/V Polarstern (1990-2002) from the continental shelf and upper slope near the Mawson and Davis stations, the Weddell Seas, the region of the South Shetland Islands near the Russian Polar station Molodezhnaya and adjacent waters. Eight philomedid species belonging to two genera were identified in these collections. Scleroconcha tuberculata sp. nov. is described and figured as a new species. Additional descriptions and figures for the species S. gallardoi Kornicker, 1971, Philomedes assimilis Brady, 1907, P. charcoti Daday, 1908, P. heptatrix Kornicker, 1975, P. rotunda Skogsberg, 1920, P. orbicularis Brady, 1907 and P. tetrathrix Kornicker, 1975 are given. Keys for all species of the mentioned genera known from the Southern Ocean are presented. A list of sampling stations and species collected is provided in the Appendix 1.</t>
  </si>
  <si>
    <t>[Chavtur, Vladimir G.] Russian Acad Sci, Far Eastern Branch, AV Zhirmunsky Inst Marine Biol, Vladivostok 690041, Russia; [Chavtur, Vladimir G.] Fed Far Eastern Univ, Vladivostok 690050, Russia; [Keyser, Dietmar] Univ Hamburg, Biozentrum Grindel &amp; Zool Museum, Martinistr 52, D-20146 Hamburg, Germany</t>
  </si>
  <si>
    <t>Russian Academy of Sciences; National Scientific Center of Marine Biology, Far East Branch of the Russian Academy of Sciences; Far Eastern Federal University; University of Hamburg</t>
  </si>
  <si>
    <t>Keyser, D (corresponding author), Univ Hamburg, Biozentrum Grindel &amp; Zool Museum, Martinistr 52, D-20146 Hamburg, Germany.</t>
  </si>
  <si>
    <t>vchavtur@gmail.com; keyser@zoologie.uni-hamburg.de</t>
  </si>
  <si>
    <t>Chavtur, Vladimir Grigoryevich/AAG-2457-2019</t>
  </si>
  <si>
    <t>10.11646/zootaxa.4141.1.1</t>
  </si>
  <si>
    <t>DR6MZ</t>
  </si>
  <si>
    <t>WOS:000380017300001</t>
  </si>
  <si>
    <t>Herbei, R; Rytel, AL; Lyons, WB; McKnight, DM; Jaros, C; Gooseff, MN; Priscu, JC</t>
  </si>
  <si>
    <t>Herbei, Radu; Rytel, Alexander L.; Lyons, W. Berry; McKnight, Diane M.; Jaros, Christopher; Gooseff, Michael N.; Priscu, John C.</t>
  </si>
  <si>
    <t>Hydrological Controls on Ecosystem Dynamics in Lake Fryxell, Antarctica</t>
  </si>
  <si>
    <t>MCMURDO DRY VALLEYS; WATER COLUMN; PHYTOPLANKTON; BONNEY</t>
  </si>
  <si>
    <t>The McMurdo Dry Valleys constitute the largest ice free area of Antarctica. The area is a polar desert with an annual precipitation of similar to 3 cm water equivalent, but contains several lakes fed by glacial melt water streams that flow from four to twelve weeks of the year. Over the past similar to 20 years, data have been collected on the lakes located in Taylor Valley, Antarctica as part of the McMurdo Dry Valley Long-Term Ecological Research program (MCM-LTER). This work aims to understand the impact of climate variations on the biological processes in all the ecosystem types within Taylor Valley, including the lakes. These lakes are stratified, closed-basin systems and are perennially covered with ice. Each lake contains a variety of planktonic and benthic algae that require nutrients for photosynthesis and growth. The work presented here focuses on Lake Fryxell, one of the three main lakes of Taylor Valley; it is fed by thirteen melt-water streams. We use a functional regression approach to link the physical, chemical, and biological processes within the stream-lake system to evaluate the input of water and nutrients on the biological processes in the lakes. The technique has been shown previously to provide important insights into these Antarctic lacustrine systems where data acquisition is not temporally coherent. We use data on primary production (PPR) and chlorophyll-A (CHL) from Lake Fryxell as well as discharge observations from two streams flowing into the lake. Our findings show an association between both PPR, CHL and stream input.</t>
  </si>
  <si>
    <t>[Herbei, Radu; Rytel, Alexander L.; Lyons, W. Berry] Ohio State Univ, Columbus, OH 43210 USA; [McKnight, Diane M.; Jaros, Christopher; Gooseff, Michael N.] Univ Colorado, Boulder, CO USA; [Priscu, John C.] Montana State Univ, Bozeman, MT USA; [Herbei, Radu] Ohio State Univ, Dept Stat, 1958 Neil Ave, Columbus, OH 43210 USA</t>
  </si>
  <si>
    <t>University System of Ohio; Ohio State University; University of Colorado System; University of Colorado Boulder; Montana State University System; Montana State University Bozeman; University System of Ohio; Ohio State University</t>
  </si>
  <si>
    <t>Herbei, R (corresponding author), Ohio State Univ, Columbus, OH 43210 USA.</t>
  </si>
  <si>
    <t>herbei@stat.osu.edu</t>
  </si>
  <si>
    <t>NSF [OPP-9813061, ANT-0423595, ANT-1115245]</t>
  </si>
  <si>
    <t>This work was supported by the following NSF grants: OPP-9813061, ANT-0423595, and ANT-1115245. The grants were awarded to WBL, DMM, and JCP. The funders had no role in study design, data collection and analysis, decision to publish, or preparation of the manuscript.</t>
  </si>
  <si>
    <t>JUL 21</t>
  </si>
  <si>
    <t>e0159038</t>
  </si>
  <si>
    <t>10.1371/journal.pone.0159038</t>
  </si>
  <si>
    <t>DS5CG</t>
  </si>
  <si>
    <t>WOS:000380797500036</t>
  </si>
  <si>
    <t>Steig, EJ</t>
  </si>
  <si>
    <t>Steig, Eric J.</t>
  </si>
  <si>
    <t>CLIMATE SCIENCE Cooling in the Antarctic</t>
  </si>
  <si>
    <t>ICE-SHELF; PENINSULA</t>
  </si>
  <si>
    <t>[Steig, Eric J.] Univ Washington, Dept Earth &amp; Space Sci, Seattle, WA 98195 USA</t>
  </si>
  <si>
    <t>University of Washington; University of Washington Seattle</t>
  </si>
  <si>
    <t>Steig, EJ (corresponding author), Univ Washington, Dept Earth &amp; Space Sci, Seattle, WA 98195 USA.</t>
  </si>
  <si>
    <t>steig@uw.edu</t>
  </si>
  <si>
    <t>Steig, Eric J/G-9088-2015</t>
  </si>
  <si>
    <t>10.1038/535358a</t>
  </si>
  <si>
    <t>DS1GQ</t>
  </si>
  <si>
    <t>WOS:000380344200024</t>
  </si>
  <si>
    <t>Turner, J; Lu, H; White, I; King, JC; Phillips, T; Hosking, JS; Bracegirdle, TJ; Marshall, GJ; Mulvaney, R; Deb, P</t>
  </si>
  <si>
    <t>Turner, John; Lu, Hua; White, Ian; King, John C.; Phillips, Tony; Hosking, J. Scott; Bracegirdle, Thomas J.; Marshall, Gareth J.; Mulvaney, Robert; Deb, Pranab</t>
  </si>
  <si>
    <t>Absence of 21st century warming on Antarctic Peninsula consistent with natural variability</t>
  </si>
  <si>
    <t>ANNULAR MODE; SPLIT JET; ICE-SHELF; SEA-ICE; CLIMATE; TRENDS; IMPACT; OCEAN</t>
  </si>
  <si>
    <t>Since the 1950s, research stations on the Antarctic Peninsula have recorded some of the largest increases in near-surface air temperature in the Southern Hemisphere(1). This warming has contributed to the regional retreat of glaciers(2), disintegration of floating ice shelves(3) and a 'greening' through the expansion in range of various flora(4). Several interlinked processes have been suggested as contributing to the warming, including stratospheric ozone depletion(5), local sea-ice loss(6), an increase in westerly winds(5,7), and changes in the strength and location of low-high-latitude atmospheric teleconnections(8,9). Here we use a stacked temperature record to show an absence of regional warming since the late 1990s. The annual mean temperature has decreased at a statistically significant rate, with the most rapid cooling during the Austral summer. Temperatures have decreased as a consequence of a greater frequency of cold, east-to-southeasterly winds, resulting from more cyclonic conditions in the northern Weddell Sea associated with a strengthening mid-latitude jet. These circulation changes have also increased the advection of sea ice towards the east coast of the peninsula, amplifying their effects. Our findings cover only 1% of the Antarctic continent and emphasize that decadal temperature changes in this region are not primarily associated with the drivers of global temperature change but, rather, reflect the extreme natural internal variability of the regional atmospheric circulation.</t>
  </si>
  <si>
    <t>[Turner, John; Lu, Hua; White, Ian; King, John C.; Phillips, Tony; Hosking, J. Scott; Bracegirdle, Thomas J.; Marshall, Gareth J.; Mulvaney, Robert; Deb, Pranab] British Antarctic Survey, NERC, Madingley Rd, Cambridge CB3 0ET, England</t>
  </si>
  <si>
    <t>Turner, J (corresponding author), British Antarctic Survey, NERC, Madingley Rd, Cambridge CB3 0ET, England.</t>
  </si>
  <si>
    <t>jtu@bas.ac.uk</t>
  </si>
  <si>
    <t>Lu, Hua/GXA-0276-2022; Mulvaney, Robert/K-3929-2012; Bracegirdle, Tom/AAD-6060-2020</t>
  </si>
  <si>
    <t>Lu, Hua/0000-0001-9485-5082; Turner, John/0000-0002-6111-5122; Bracegirdle, Thomas/0000-0002-8868-4739</t>
  </si>
  <si>
    <t>UK Natural Environment Research Council [NE/K00445X/1]; Natural Environment Research Council [NE/K00445X/1, bas0100032] Funding Source: researchfish; NERC [bas0100032, NE/K00445X/1]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</si>
  <si>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</si>
  <si>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financially supported by the UK Natural Environment Research Council under grant NE/K00445X/1. It forms part of the Polar Science for Planet Earth programme of the British Antarctic Survey. We are grateful to D. G. Vaughan for valuable discussions during this study. We are grateful to ECMWF for the provision of reanalysis fields and to the US National Snow and Ice Data Center for the sea-ice data. The data used in this study are available from the authors upon request.</t>
  </si>
  <si>
    <t>10.1038/nature18645</t>
  </si>
  <si>
    <t>WOS:000380344200038</t>
  </si>
  <si>
    <t>Cinner, JE; Huchery, C; MacNeil, MA; Graham, NAJ; McClanahan, TR; Maina, J; Maire, E; Kittinger, JN; Hicks, CC; Mora, C; Allison, EH; D'Agata, S; Hoey, A; Feary, DA; Crowder, L; Williams, ID; Kulbicki, M; Vigliola, L; Wantiez, L; Edgar, G; Stuart-Smith, RD; Sandin, SA; Green, AL; Hardt, MJ; Beger, M; Friedlander, A; Campbell, SJ; Holmes, KE; Wilson, SK; Brokovich, E; Brooks, AJ; Cruz-Motta, JJ; Booth, DJ; Chabanet, P; Gough, C; Tupper, M; Ferse, SCA; Sumaila, UR; Mouillot, D</t>
  </si>
  <si>
    <t>Cinner, Joshua E.; Huchery, Cindy; MacNeil, M. Aaron; Graham, Nicholas A. J.; McClanahan, Tim R.; Maina, Joseph; Maire, Eva; Kittinger, John N.; Hicks, Christina C.; Mora, Camilo; Allison, Edward H.; D'Agata, Stephanie; Hoey, Andrew; Feary, David A.; Crowder, Larry; Williams, Ivor D.; Kulbicki, Michel; Vigliola, Laurent; Wantiez, Laurent; Edgar, Graham; Stuart-Smith, Rick D.; Sandin, Stuart A.; Green, Alison L.; Hardt, Marah J.; Beger, Maria; Friedlander, Alan; Campbell, Stuart J.; Holmes, Katherine E.; Wilson, Shaun K.; Brokovich, Eran; Brooks, Andrew J.; Cruz-Motta, Juan J.; Booth, David J.; Chabanet, Pascale; Gough, Charlie; Tupper, Mark; Ferse, Sebastian C. A.; Sumaila, U. Rashid; Mouillot, David</t>
  </si>
  <si>
    <t>Bright spots among the world's coral reefs</t>
  </si>
  <si>
    <t>GRAVITY; MANAGEMENT; DISTANCE</t>
  </si>
  <si>
    <t>Ongoing declines in the structure and function of the world's coral reefs(1,2) require novel approaches to sustain these ecosystems and the millions of people who depend on them(3). A presently unexplored approach that draws on theory and practice in human health and rural development(4,5) is to systematically identify and learn from the 'outliers'-places where ecosystems are substantially better ('bright spots') or worse ('dark spots') than expected, given the environmental conditions and socioeconomic drivers they are exposed to. Here we compile data from more than 2,500 reefs worldwide and develop a Bayesian hierarchical model to generate expectations of how standing stocks of reef fish biomass are related to 18 socioeconomic drivers and environmental conditions. We identify 15 bright spots and 35 dark spots among our global survey of coral reefs, defined as sites that have biomass levels more than two standard deviations from expectations. Importantly, bright spots are not simply comprised of remote areas with low fishing pressure; they include localities where human populations and use of ecosystem resources is high, potentially providing insights into how communities have successfully confronted strong drivers of change. Conversely, dark spots are not necessarily the sites with the lowest absolute biomass and even include some remote, uninhabited locations often considered near pristine(6). We surveyed local experts about social, institutional, and environmental conditions at these sites to reveal that bright spots are characterized by strong sociocultural institutions such as customary taboos and marine tenure, high levels of local engagement in management, high dependence on marine resources, and beneficial environmental conditions such as deep-water refuges. Alternatively, dark spots are characterized by intensive capture and storage technology and a recent history of environmental shocks. Our results suggest that investments in strengthening fisheries governance, particularly aspects such as participation and property rights, could facilitate innovative conservation actions that help communities defy expectations of global reef degradation.</t>
  </si>
  <si>
    <t>[Cinner, Joshua E.; Huchery, Cindy; MacNeil, M. Aaron; Graham, Nicholas A. J.; Maire, Eva; Hicks, Christina C.; Hoey, Andrew; Mouillot, David] James Cook Univ, Australian Res Council Ctr Excellence Coral Reef, Townsville, Qld 4811, Australia; [MacNeil, M. Aaron] Australian Inst Marine Sci, PMB 3, Townsville, Qld 4810, Australia; [MacNeil, M. Aaron] Dalhousie Univ, Dept Math &amp; Stat, Halifax, NS B3H 3J5, Canada; [Graham, Nicholas A. J.; Hicks, Christina C.] Univ Lancaster, Lancaster Environm Ctr, Lancaster LA1 4YQ, England; [McClanahan, Tim R.; Maina, Joseph; D'Agata, Stephanie; Campbell, Stuart J.; Holmes, Katherine E.] Wildlife Conservat Soc, Global Marine Program, Bronx, NY 10460 USA; [Maina, Joseph; Beger, Maria] Univ Queensland, Ctr Biodivers &amp; Conservat Sci, Australian Res Council Ctr Excellence Environm De, St Lucia, Qld 4074, Australia; [Maina, Joseph; D'Agata, Stephanie] Macquarie Univ, Dept Environm Sci, N Ryde, NSW 2109, Australia; [Maire, Eva; Mouillot, David] Univ Montpellier, IRD CNRS UM IFREMER, UMR 9190, MARBEC, F-34095 Montpellier, France; [Kittinger, John N.; Hicks, Christina C.; Crowder, Larry] Stanford Univ, Ctr Ocean Solut, Stanford, CA 94305 USA; [Kittinger, John N.] Conservat Int Hawaii Betty &amp; Gordon Moore Ctr Sci, 7192 Kalaniana Ole Hwy,Suite G230, Honolulu, HI 96825 USA; [Mora, Camilo] Univ Hawaii Manoa, Dept Geog, Honolulu, HI 96822 USA; [Allison, Edward H.] Univ Washington, Sch Marine &amp; Environm Affairs, Seattle, WA 98102 USA; [D'Agata, Stephanie; Vigliola, Laurent] Inst Res Dev, UMR IRD UR CNRS ENTROPIE, Lab Excellence LABEX CORAIL, BP A5, Noumea 98848, New Caledonia; [Feary, David A.] Univ Nottingham, Sch Life Sci, Ecol &amp; Evolut Grp, Univ Pk, Nottingham NG7 2RD, England; [Williams, Ivor D.] NOAA Pacific Islands Fisheries Sci Ctr, Coral Reef Ecosyst Div, Honolulu, HI 96818 USA; [Kulbicki, Michel] Univ Perpignan, Labex Corail IRD, UMR Entropie, F-66000 Perpignan, France; [Wantiez, Laurent] Univ New Caledonia, LIVE EA4243, BPR4, Noumea 98851, New Caledonia; [Edgar, Graham; Stuart-Smith, Rick D.] Univ Tasmania, Inst Marine &amp; Antarctic Studies, Hobart, Tas 7001, Australia; [Sandin, Stuart A.] Univ Calif San Diego, Scripps Inst Oceanog, La Jolla, CA 92093 USA; [Green, Alison L.] Nature Conservancy, Brisbane, Qld 4101, Australia; [Hardt, Marah J.] Future Fish, 7315 Wisconsin Ave,Suite 1000W, Bethesda, MD 20814 USA; [Friedlander, Alan] Univ Hawaii, Dept Biol, Fisheries Ecol Res Lab, Honolulu, HI 96822 USA; [Friedlander, Alan] Natl Geog Soc, Pristine Seas Program, 1145 17th St NW, Washington, DC 20036 USA; [Wilson, Shaun K.] Dept Pk &amp; Wildlife, Perth, WA 6151, Australia; [Wilson, Shaun K.] Univ Western Australia, Oceans Inst, Crawley, WA 6009, Australia; [Brokovich, Eran] Israeli Soc Ecol &amp; Environm Sci, Kehilat New York 19, Tel Aviv, Israel; [Brooks, Andrew J.] Univ Calif Santa Barbara, Inst Marine Sci, Santa Barbara, CA 93106 USA; [Cruz-Motta, Juan J.] Univ Puerto Rico, Recinto Univ Mayaguez, Dept Ciencias Marinas, San Juan, PR 00680 USA; [Booth, David J.] Univ Technol Sydney, Sch Life Sci, Sydney, NSW 2007, Australia; [Chabanet, Pascale] Inst Rech Dev, UMR ENTROPIE, Lab Excellence LABEX CORAIL, CS 41095, St Clothilde 97495, Reunion, France; [Gough, Charlie] Blue Ventures Conservat, 39-41 North Rd, London N7 9DP, England; [Tupper, Mark] Coastal Resources Assoc, St Joseph St, Surigao City 8400, Surigao Del Nor, Philippines; [Ferse, Sebastian C. A.] Leibniz Ctr Trop Marine Ecol ZMT, Fahrenheitstr 6, D-28359 Bremen, Germany; [Sumaila, U. Rashid] Univ British Columbia, Fisheries Econ Res Unit, 2202 Main Mall, Vancouver, BC V6T 1Z4, Canada</t>
  </si>
  <si>
    <t>James Cook University; Australian Institute of Marine Science; Dalhousie University; Lancaster University; Wildlife Conservation Society; University of Queensland; Macquarie University; Centre National de la Recherche Scientifique (CNRS); CNRS - Institute of Ecology &amp; Environment (INEE); Universite de Montpellier; Ifremer; Stanford University; University of Hawaii System; University of Hawaii Manoa; University of Washington; University of Washington Seattle; University of Nottingham; Universite Perpignan Via Domitia; Universite Nouvelle Caledonie; University of Tasmania; University of California System; University of California San Diego; Scripps Institution of Oceanography; Nature Conservancy; University of Hawaii System; National Geographic Society; University of Western Australia; University of California System; University of California Santa Barbara; University of Puerto Rico; University of Technology Sydney; Institut de Recherche pour le Developpement (IRD); Leibniz Zentrum fur Marine Tropenforschung (ZMT); University of British Columbia</t>
  </si>
  <si>
    <t>Cinner, JE (corresponding author), James Cook Univ, Australian Res Council Ctr Excellence Coral Reef, Townsville, Qld 4811, Australia.</t>
  </si>
  <si>
    <t>Joshua.cinner@jcu.edu.au</t>
  </si>
  <si>
    <t>Sumaila, U. Rashid/ABE-6475-2020; Stuart-Smith, Rick D/M-1829-2013; Vigliola, Laurent/J-7107-2016; McClanahan, Tim/K-4998-2019; Beger, Maria/ABC-5975-2022; Tupper, Mark/HZL-8362-2023; Graham, Nicholas/C-8360-2014; Cinner, Joshua Eli/E-8966-2011; Ferse, Sebastian/AAH-8048-2021; Wantiez, Laurent/L-3343-2013; MacNeil, M. Aaron/ABD-6444-2021; Hoey, Andrew S/B-5457-2015; Maire, Eva/T-1934-2019; Stuart-Smith, Rick/I-5214-2019; Stephanie, D'Agata/AAN-3692-2020; Allison, Edward Hugh/B-8615-2009; Maina, Joseph/KFR-6167-2024; Edgar, Graham/AAY-3797-2020; Chabanet, Pascale/L-9470-2017; Cinner, Joshua/AAA-6823-2021; Allison, Edward Hugh/JAC-5655-2023; D’agata, Stéphanie/ABC-7437-2020; Hicks, Christina/M-6182-2015</t>
  </si>
  <si>
    <t>Stuart-Smith, Rick D/0000-0002-8874-0083; Vigliola, Laurent/0000-0003-4715-7470; Beger, Maria/0000-0003-1363-3571; Graham, Nicholas/0000-0002-0304-7467; Cinner, Joshua Eli/0000-0003-2675-9317; Ferse, Sebastian/0000-0003-0930-5356; Wantiez, Laurent/0000-0001-5024-2057; MacNeil, M. Aaron/0000-0001-8406-325X; Maire, Eva/0000-0002-1032-3394; Stuart-Smith, Rick/0000-0002-8874-0083; Stephanie, D'Agata/0000-0001-6941-8489; Edgar, Graham/0000-0003-0833-9001; Hicks, Christina/0000-0002-7399-4603; Chabanet, Pascale/0000-0001-7600-943X; Cruz Motta, Juan Jose/0000-0001-6117-9014; Campbell, Stuart/0000-0002-1158-3200; Williams, Ivor/0000-0002-9444-1020; Tupper, Mark/0000-0002-6157-7714; Gough, Charlotte/0000-0002-5313-4868; Maina, Joseph/0000-0003-1268-6137; Wilson, Shaun/0000-0002-4590-0948; Booth, David/0000-0002-8256-1412; Allison, Edward/0000-0003-4663-1396; Hoey, Andrew/0000-0002-4261-5594; huchery, cindy/0000-0002-5657-7584</t>
  </si>
  <si>
    <t>ARC Centre of Excellence for Coral Reef Studies, Stanford University; University of Montpellier; J.E.C.'s Pew Fellowship in Marine Conservation; ARC Australian Research Fellowship; Natural Environment Research Council [ceh010010] Funding Source: researchfish; Directorate For Geosciences [1236905] Funding Source: National Science Foundation; Division Of Ocean Sciences [1236905] Funding Source: National Science Foundation</t>
  </si>
  <si>
    <t>ARC Centre of Excellence for Coral Reef Studies, Stanford University(Australian Research Council); University of Montpellier; J.E.C.'s Pew Fellowship in Marine Conservation; ARC Australian Research Fellowship(Australian Research Council); Natural Environment Research Council(UK Research &amp; Innovation (UKRI)Natural Environment Research Council (NERC)); Directorate For Geosciences(National Science Foundation (NSF)NSF - Directorate for Geosciences (GEO)); Division Of Ocean Sciences(National Science Foundation (NSF)NSF - Directorate for Geosciences (GEO))</t>
  </si>
  <si>
    <t>The ARC Centre of Excellence for Coral Reef Studies, Stanford University, and University of Montpellier funded working group meetings. This work was supported by J.E.C.'s Pew Fellowship in Marine Conservation and ARC Australian Research Fellowship. Thanks to M. Barnes for constructive comments.</t>
  </si>
  <si>
    <t>10.1038/nature18607</t>
  </si>
  <si>
    <t>Green Accepted, Green Published, Green Submitted</t>
  </si>
  <si>
    <t>WOS:000380344200039</t>
  </si>
  <si>
    <t>Simon, CJ; Rodemann, T; Carter, CG</t>
  </si>
  <si>
    <t>Simon, Cedric J.; Rodemann, Thomas; Carter, Chris G.</t>
  </si>
  <si>
    <t>Near-Infrared Spectroscopy as a Novel Non-Invasive Tool to Assess Spiny Lobster Nutritional Condition</t>
  </si>
  <si>
    <t>SOUTHERN ROCK LOBSTER; JASUS-EDWARDSII; REFLECTANCE SPECTROSCOPY; SAGMARIASUS-VERREAUXI; PANULIRUS-ORNATUS; HEMOLYMPH; STARVATION; JUVENILES; RESERVES; INDEXES</t>
  </si>
  <si>
    <t>Rapid non-invasive monitoring of spiny lobster nutritional condition has considerable application in the established fishery, live market and prospective aquaculture. The aim of this research was to test the feasibility of near-infrared spectroscopy (NIRS) as a novel non-invasive tool to assess the nutritional condition of three lobster species. Lobster (n = 92) abdominal muscle dry matter (AM(DM)) and carbon content (AM(C)) correlated significantly with indices of nutritional condition including hepatopancreas dry matter (HPDM; r(ho) = 0.83, 0.78), total lipid content (HPTL; r(ho) = 0.85, 0.87) and haemolymph total protein (TP; rho = 0.89, 0.87 respectively). Abdominal muscle nitrogen content (AM(N)) was a poor correlate of nutritional condition. Models based on FT-NIR scanning of whole lobster tails successfully predicted AM(DM), AM(N) and AM(C) (RMSECV = 1.41%, 0.35% and 0.91%; R-2 = 0.75, 0.65, 0.77, respectively), and to a lower accuracy HPDM, HPTL and TP (RMSECV = 6.22%, 8.37%, 18.4 g l(-1); R-2 = 0.51, 0.70, 0.83, respectively). NIRS was applied successfully to assess the condition of spiny lobsters non-invasively. This pilot study paves the way for the development of crustacean condition models using portable non-invasive devices in the laboratory or in the field.</t>
  </si>
  <si>
    <t>[Simon, Cedric J.; Carter, Chris G.] Univ Tasmania, Inst Marine &amp; Antarctic Studies, Fisheries &amp; Aquaculture Ctr, Taroona, Tas 7053, Australia; [Rodemann, Thomas] Univ Tasmania, Cent Sci Lab, Hobart, Tas 7001, Australia; [Simon, Cedric J.] CSIRO, Bribie Isl Res Ctr, 144 North St, Woorim 4507, Australia</t>
  </si>
  <si>
    <t>University of Tasmania; University of Tasmania; Commonwealth Scientific &amp; Industrial Research Organisation (CSIRO); Queensland Department of Agriculture &amp; Fisheries</t>
  </si>
  <si>
    <t>Simon, CJ (corresponding author), Univ Tasmania, Inst Marine &amp; Antarctic Studies, Fisheries &amp; Aquaculture Ctr, Taroona, Tas 7053, Australia.;Simon, CJ (corresponding author), CSIRO, Bribie Isl Res Ctr, 144 North St, Woorim 4507, Australia.</t>
  </si>
  <si>
    <t>Cedric.simon@csiro.au</t>
  </si>
  <si>
    <t>Simon, Cedric/AET-0945-2022; Simon, Cedric/AAX-5264-2020; Carter, Chris Guy/A-3438-2008; Rodemann, Thomas/I-5053-2012</t>
  </si>
  <si>
    <t>Simon, Cedric/0000-0002-7535-3332; Simon, Cedric/0000-0002-7535-3332; Carter, Chris Guy/0000-0001-5210-1282; Rodemann, Thomas/0000-0003-2356-1153</t>
  </si>
  <si>
    <t>Fisheries Research and Development Corporation (FRDC) Award; Australian Research Council [IH120100032]; Australian Research Council [IH120100032] Funding Source: Australian Research Council</t>
  </si>
  <si>
    <t>Fisheries Research and Development Corporation (FRDC) Award; Australian Research Council(Australian Research Council); Australian Research Council(Australian Research Council)</t>
  </si>
  <si>
    <t>This study was carried out as part of the 2012 Science and Innovation Awards for Young People in Agriculture, Fisheries and Forestry on behalf of the Department of Agriculture, Fisheries and Forestry (DAFF). Funding sources included the Minister for DAFF Award and the Fisheries Research and Development Corporation (FRDC) Award. Access and maintenance of animals, laboratory and equipment was also supported under the Australian Research Council's Industrial Transformation Research Program for Commercial Development of Rock Lobster Culture Systems (IH120100032).</t>
  </si>
  <si>
    <t>e0159671</t>
  </si>
  <si>
    <t>10.1371/journal.pone.0159671</t>
  </si>
  <si>
    <t>Green Published, Green Accepted, Green Submitted, gold</t>
  </si>
  <si>
    <t>WOS:000380797500117</t>
  </si>
  <si>
    <t>Clay, TA; Manica, A; Ryan, PG; Silk, JRD; Croxall, JP; Ireland, L; Phillips, RA</t>
  </si>
  <si>
    <t>Clay, Thomas A.; Manica, Andrea; Ryan, Peter G.; Silk, Janet R. D.; Croxall, John P.; Ireland, Louise; Phillips, Richard A.</t>
  </si>
  <si>
    <t>Proximate drivers of spatial segregation in non-breeding albatrosses</t>
  </si>
  <si>
    <t>THALASSARCHE-CHRYSOSTOMA; NONBREEDING ALBATROSSES; WANDERING ALBATROSSES; HABITAT PREFERENCES; SEXUAL SEGREGATION; FORAGING HABITATS; SPACE; MIGRATION; SUMMER; BIRD</t>
  </si>
  <si>
    <t>Many animals partition resources to avoid competition, and in colonially-breeding species this often leads to divergent space or habitat use. During the non-breeding season, foraging constraints are relaxed, yet the patterns and drivers of segregation both between and within populations are poorly understood. We modelled habitat preference to examine how extrinsic (habitat availability and intra-specific competition) and intrinsic factors (population, sex and breeding outcome) influence the distributions of non-breeding grey-headed albatrosses Thalassarche chrysostoma tracked from two major populations, South Georgia (Atlantic Ocean) and the Prince Edward Islands (Indian Ocean). Spatial segregation was greater than expected, reflecting distinct seasonal differences in habitat selection and accessibility, and avoidance of intra-specific competition with local breeders. Previously failed birds segregated spatially from successful birds during summer, when they used less productive waters, suggesting a link between breeding outcome and subsequent habitat selection. In contrast, we found weak evidence of sexual segregation, which did not reflect a difference in habitat use. Our results indicate that the large-scale spatial structuring of albatross distributions results from interactions between extrinsic and intrinsic factors, with important implications for population dynamics. As habitat preferences differed substantially between colonies, populations should be considered independently when identifying critical areas for protection.</t>
  </si>
  <si>
    <t>[Clay, Thomas A.; Silk, Janet R. D.; Croxall, John P.; Ireland, Louise; Phillips, Richard A.] British Antarctic Survey, Nat Environm Res Council, Madingley Rd, Cambridge CB3 0ET, England; [Clay, Thomas A.; Manica, Andrea] Univ Cambridge, Dept Zool, Downing St, Cambridge CB2 3EJ, England; [Ryan, Peter G.] Univ Cape Town, Percy FitzPatrick Inst, DST NRF Ctr Excellence, Rondebosch, South Africa; [Croxall, John P.] BirdLife Int, David Attenborough Bldg,Pembroke St, Cambridge CB2 3QZ, England</t>
  </si>
  <si>
    <t>UK Research &amp; Innovation (UKRI); Natural Environment Research Council (NERC); NERC British Antarctic Survey; University of Cambridge; National Research Foundation - South Africa; University of Cape Town; BirdLife International</t>
  </si>
  <si>
    <t>Clay, TA (corresponding author), British Antarctic Survey, Nat Environm Res Council, Madingley Rd, Cambridge CB3 0ET, England.;Clay, TA (corresponding author), Univ Cambridge, Dept Zool, Downing St, Cambridge CB2 3EJ, England.</t>
  </si>
  <si>
    <t>tommy.clay@outlook.com</t>
  </si>
  <si>
    <t>Manica, Andrea/N-9013-2019; Clay, Tommy/W-4867-2019</t>
  </si>
  <si>
    <t>Manica, Andrea/0000-0003-1895-450X; Clay, Tommy/0000-0002-0644-6105</t>
  </si>
  <si>
    <t>Natural Environment Research Council (NERC) Standard Grant [NE/J021083/1]; NERC; NERC [NE/J021083/1, bas0100035] Funding Source: UKRI; Natural Environment Research Council [1288342, NE/J021083/1, bas0100035] Funding Source: researchfish</t>
  </si>
  <si>
    <t>Natural Environment Research Council (NERC) Standard Grant(UK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</si>
  <si>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We are grateful to all the field workers involved in the device deployment and retrieval, in particular Jose Xavier, Dirk Briggs and Vsevolod Afanasyez for technical support. We thank Andrew Wood and Genevieve Jones for database support and Ana Bertoldi Carneiro, Norman Ratcliffe and Annette Scheffer for useful discussions. We thank the two anonymous referees for their many helpful suggestions for improvements to the paper. TAC was supported by a studentship funded as part of Natural Environment Research Council (NERC) Standard Grant NE/J021083/1. This study represents a contribution to the Ecosystems component of the British Antarctic Survey Polar Science for Planet Earth Programme, funded by NERC.</t>
  </si>
  <si>
    <t>10.1038/srep29932</t>
  </si>
  <si>
    <t>EH9HJ</t>
  </si>
  <si>
    <t>Green Published, Green Submitted, Green Accepted, gold</t>
  </si>
  <si>
    <t>WOS:000392082100001</t>
  </si>
  <si>
    <t>Münster, J; Kochmann, J; Klimpel, S; Klapper, R; Kuhn, T</t>
  </si>
  <si>
    <t>Muenster, Julian; Kochmann, Judith; Klimpel, Sven; Klapper, Regina; Kuhn, Thomas</t>
  </si>
  <si>
    <t>Parasite fauna of Antarctic Macrourus whitsoni (Gadiformes: Macrouridae) in comparison with closely related macrourids</t>
  </si>
  <si>
    <t>PARASITES &amp; VECTORS</t>
  </si>
  <si>
    <t>Antarctica; Feeding behaviour; Macrourinae; Macrourus whitsoni; Grenadier fish; Parasites; Digenea; Nematoda</t>
  </si>
  <si>
    <t>DEEP-SEA FISHES; SOUTH-SHETLAND ISLANDS; CORYPHAENOIDES-MEDITERRANEUS GIGLIOLI; NORTHEAST ATLANTIC; LEPIDAPEDON STAFFORD; WEDDELL SEA; BATHYMETRIC DISTRIBUTION; BERGLAX LACEPEDE; DEMERSAL FISHES; BENTHIC FISHES</t>
  </si>
  <si>
    <t>Background: The extreme, isolated environment within the Antarctic Convergence has fuelled the evolution of a highly endemic fauna with unique adaptations. One species known from this area is the Whitson's grenadier Macrourus whitsoni (Regan, 1913). While closely related species occurring in the Northern Hemisphere were targets of a variety of studies, knowledge on M. whitsoni is scarce, including not only its ecology but also its parasite fauna. Parasites, an often overlooked but important component of every ecosystem, can provide important insights into host ecology, including feeding habits, food web interactions and distribution patterns. The aim of our study was to increase the currently limited knowledge on the ecology of M. whitsoni and its parasite life-cycles. Methods: In this study, parasite fauna and stomach content of 50 specimens of M. whitsoni were sampled off Elephant and King George Islands. Fish samples were morphological, food ecological and parasitological examined and parasites morphological and partly molecular identified. To evaluate the findings, results were compared with other macrourid species. Results: The parasite fauna of M. whitsoni revealed 9 genera and 17 species. Stomach content analysis indicated Amphipoda and Mysida as the primary food source. Considering the parasites of M. whitsoni, the highest diversity was found within the Digenea, while prevalence was highest for the Acanthocephala and Nematoda. The diverse parasite fauna of M. whitsoni together with the stomach content analysis, suggests a benthopelagic mode of life. Furthermore, an extensive evaluation of the parasite fauna of species of the Macrourinae was conducted, which is probably the most thorough one yet, to compare the findings with closely related host fish species. A similarity analysis revealed a strong connection between the parasite fauna composition and geographical distribution, with a clear separation between the parasite faunas in fishes sampled in the Pacific and the Atlantic Oceans. Conclusions: Due to the isolated habitat within the Antarctic Conversion, the parasite fauna of M. whitsoni differs clearly from those of closely related and closely occurring species of the genus Macrourus. Our study revealed an endemically dominated parasite fauna, with parasites often host-specific to M. whitsoni. The comparison with the faunas of other species of the Macrourinae revealed a largely endemic parasite fauna, which emphasizes again the isolated character of the Antarctic shelf regions.</t>
  </si>
  <si>
    <t>[Muenster, Julian; Kochmann, Judith; Klimpel, Sven; Klapper, Regina; Kuhn, Thomas] Goethe Univ Frankfurt, Inst Ecol Evolut &amp; Divers, Senckenberg Biodivers &amp; Climate Res Ctr BiK F, Senckenberg Gesell Nat Forsch SGN, Max von Laue Str 13, D-60438 Frankfurt, Germany</t>
  </si>
  <si>
    <t>Senckenberg Biodiversitat &amp; Klima- Forschungszentrum (BiK-F); Senckenberg Gesellschaft fur Naturforschung (SGN); Goethe University Frankfurt</t>
  </si>
  <si>
    <t>Münster, J (corresponding author), Goethe Univ Frankfurt, Inst Ecol Evolut &amp; Divers, Senckenberg Biodivers &amp; Climate Res Ctr BiK F, Senckenberg Gesell Nat Forsch SGN, Max von Laue Str 13, D-60438 Frankfurt, Germany.</t>
  </si>
  <si>
    <t>muenster@em.uni-frankfurt.de</t>
  </si>
  <si>
    <t>Kochmann, Judith/AAG-3574-2021</t>
  </si>
  <si>
    <t>Kochmann, Judith/0000-0001-6312-7859</t>
  </si>
  <si>
    <t>Institute for Integrative Parasitology and Zoophysiology, Goethe-University, Frankfurt/Main</t>
  </si>
  <si>
    <t>The present study was financially supported by the Institute for Integrative Parasitology and Zoophysiology, Goethe-University, Frankfurt/Main.</t>
  </si>
  <si>
    <t>1756-3305</t>
  </si>
  <si>
    <t>PARASITE VECTOR</t>
  </si>
  <si>
    <t>Parasites Vectors</t>
  </si>
  <si>
    <t>JUL 20</t>
  </si>
  <si>
    <t>10.1186/s13071-016-1688-x</t>
  </si>
  <si>
    <t>Parasitology; Tropical Medicine</t>
  </si>
  <si>
    <t>DS1AE</t>
  </si>
  <si>
    <t>WOS:000380327300001</t>
  </si>
  <si>
    <t>Jeon, SJ; Park, AK; Kim, BK; Park, H; Lee, JH; Kim, HW; Shin, SC</t>
  </si>
  <si>
    <t>Jeon, Sung-Jong; Park, Ae Kyung; Kim, Bum-Keun; Park, Hyun; Lee, Jun Hyuck; Kim, Han-Woo; Shin, Seung Chul</t>
  </si>
  <si>
    <t>Complete genome sequence of the crude oil-degrading thermophilic bacterium Geobacillus sp JS1</t>
  </si>
  <si>
    <t>JOURNAL OF BIOTECHNOLOGY</t>
  </si>
  <si>
    <t>Geobacillus sp JS12; Genome sequencing; Thermostable lipase</t>
  </si>
  <si>
    <t>THERMOSTABLE LIPASE; THERMOLEOVORANS</t>
  </si>
  <si>
    <t>Here, we report the complete genome sequence of Geobacillus sp. JS12, isolated from composts located in Namhae, Korea, which shows extracellular lipolytic activities at high temperatures. An array of genes related to the utilization of lipids was identified by whole genome analysis. The genome sequence of the strain JS12 provides basic information for wider exploitation of thermostable industrial lipases. (C) 2016 Elsevier B.V. All rights reserved.</t>
  </si>
  <si>
    <t>[Jeon, Sung-Jong] Dong Eui Univ, Dept Biotechnol &amp; Bioengn, Busan 47340, South Korea; [Jeon, Sung-Jong] Dong Eui Univ, Dept Smart Biohlth, Busan 47340, South Korea; [Park, Ae Kyung; Park, Hyun; Lee, Jun Hyuck; Kim, Han-Woo; Shin, Seung Chul] Korea Polar Res Inst KOPRI, Div Life Sci, 26 Songdomirae Ro, Inchon 21990, South Korea; [Park, Hyun; Lee, Jun Hyuck; Kim, Han-Woo] Korea Univ Sci &amp; Technol, Dept Polar Sci, Daejeon 34113, South Korea; [Kim, Bum-Keun] Korea Food Res Inst, 62,Anyangpangyo Ro 1201 Beon Gil, Songnam 13539, Gyeonggi Do, South Korea</t>
  </si>
  <si>
    <t>Dong-Eui University; Dong-Eui University; Korea Polar Research Institute (KOPRI); University of Science &amp; Technology (UST); Korea Food Research Institute (KFRI)</t>
  </si>
  <si>
    <t>Kim, HW; Shin, SC (corresponding author), Korea Polar Res Inst KOPRI, Div Life Sci, 26 Songdomirae Ro, Inchon 21990, South Korea.;Kim, HW (corresponding author), Korea Univ Sci &amp; Technol, Dept Polar Sci, Daejeon 34113, South Korea.</t>
  </si>
  <si>
    <t>hwkim@kopri.re.kr; ssc@kopri.re.kr</t>
  </si>
  <si>
    <t>Antarctic organisms: Cold Adaptation Mechanisms and its application grant - Korea Polar Research Institute [PE16070]</t>
  </si>
  <si>
    <t>Antarctic organisms: Cold Adaptation Mechanisms and its application grant - Korea Polar Research Institute</t>
  </si>
  <si>
    <t>This work was supported by the Antarctic organisms: Cold Adaptation Mechanisms and its application grant (PE16070) funded by the Korea Polar Research Institute.</t>
  </si>
  <si>
    <t>0168-1656</t>
  </si>
  <si>
    <t>1873-4863</t>
  </si>
  <si>
    <t>J BIOTECHNOL</t>
  </si>
  <si>
    <t>J. Biotechnol.</t>
  </si>
  <si>
    <t>10.1016/j.jbiotec.2016.05.013</t>
  </si>
  <si>
    <t>Biotechnology &amp; Applied Microbiology</t>
  </si>
  <si>
    <t>DO7RU</t>
  </si>
  <si>
    <t>WOS:000377981300006</t>
  </si>
  <si>
    <t>Sun, JN; Mao, XZ</t>
  </si>
  <si>
    <t>Sun, Jianan; Mao, Xiangzhao</t>
  </si>
  <si>
    <t>An environmental friendly process for Antarctic krill (Euphausia superba) utilization using fermentation technology</t>
  </si>
  <si>
    <t>JOURNAL OF CLEANER PRODUCTION</t>
  </si>
  <si>
    <t>Antarctic krill; Bacillus subtilis; Bioconversion; Bioactive substances; Antioxidant activity</t>
  </si>
  <si>
    <t>ANTIOXIDANT ACTIVITY; AMINO-ACIDS; PROTEIN; EXTRACTION; PEPTIDES; FISH</t>
  </si>
  <si>
    <t>Antarctic krill was efficiently fermented by Bacillus subtilis OKF04 after the optimization of fermentation conditions. Bio-active substances were detected in fermentation broth, including polypeptides (9.5 g/L), phenols (1.1 g/L), polysaccharides (200.8 mg/L), and free amino acids (3469.4 mg/L). The fermentation broth was found to be rich in essential amino acids and non-protein amino acids, particularly methionine, leucine, lysine, and taurine. The fermentation broth was separated into 4 fractions: AKF-I (&lt;1 kDa), AKF-II (1-3 kDa), AKF-III (3-5 kDa), and AKF-IV (&gt;5 kDa), using membrane ultrafiltration. Antioxidative properties of the fermentation broth fractions were investigated, using DPPH (2, 2-diphenyl-1-picryl-hydrazyl-hydrate) scavenging activity, metal chelating activity and reducing capacity. The results showed that AKF-I and AKF-II had higher antioxidant activities than other fractions and the entire fermentation broth. These results indicate that bio-active substrates could be effectively and cleanly produced using fermentation of Antarctic krill by B. subtilis, and the antioxidant activity (DPPH scavenging activity, metal chelating activity and reducing capacity) of the fermentation broth is enhanced by ultrafiltration. (C) 2016 Elsevier Ltd. All rights reserved.</t>
  </si>
  <si>
    <t>[Sun, Jianan; Mao, Xiangzhao] Ocean Univ China, Coll Food Sci &amp; Engn, Qingdao 266003, Peoples R China</t>
  </si>
  <si>
    <t>Ocean University of China</t>
  </si>
  <si>
    <t>Mao, XZ (corresponding author), Ocean Univ China, Coll Food Sci &amp; Engn, Qingdao 266003, Peoples R China.</t>
  </si>
  <si>
    <t>xzhmao@ouc.edu.cn</t>
  </si>
  <si>
    <t>China Postdoctoral Science Foundation [2012M511550, 2015M572085]; Qingdao Shinan District Science and Technology Development Funds [2014-14-002-SW]; Shandong Natural Science Foundation [ZR2015CQ021]; Qingdao Post-Doctor Applied Research Project Foundation</t>
  </si>
  <si>
    <t>China Postdoctoral Science Foundation(China Postdoctoral Science Foundation); Qingdao Shinan District Science and Technology Development Funds; Shandong Natural Science Foundation(Natural Science Foundation of Shandong Province); Qingdao Post-Doctor Applied Research Project Foundation</t>
  </si>
  <si>
    <t>This work was supported by China Postdoctoral Science Foundation (NO. 2012M511550), Qingdao Shinan District Science and Technology Development Funds (NO. 2014-14-002-SW), Shandong Natural Science Foundation (NO. ZR2015CQ021), China Postdoctoral Science Foundation (NO. 2015M572085), and Qingdao Post-Doctor Applied Research Project Foundation.</t>
  </si>
  <si>
    <t>0959-6526</t>
  </si>
  <si>
    <t>1879-1786</t>
  </si>
  <si>
    <t>J CLEAN PROD</t>
  </si>
  <si>
    <t>J. Clean Prod.</t>
  </si>
  <si>
    <t>10.1016/j.jclepro.2016.04.020</t>
  </si>
  <si>
    <t>Green &amp; Sustainable Science &amp; Technology; Engineering, Environmental; Environmental Sciences</t>
  </si>
  <si>
    <t>Science &amp; Technology - Other Topics; Engineering; Environmental Sciences &amp; Ecology</t>
  </si>
  <si>
    <t>DN8EE</t>
  </si>
  <si>
    <t>WOS:000377311200060</t>
  </si>
  <si>
    <t>Wang, C; Oliver, EE; Christner, BC; Luo, BH</t>
  </si>
  <si>
    <t>Wang, Chen; Oliver, Erin E.; Christner, Brent C.; Luo, Bing-Hao</t>
  </si>
  <si>
    <t>Functional Analysis of a Bacterial Antifreeze Protein Indicates a Cooperative Effect between Its Two Ice-Binding Domains</t>
  </si>
  <si>
    <t>BIOCHEMISTRY</t>
  </si>
  <si>
    <t>BEETLE DENDROIDES-CANADENSIS; THERMAL HYSTERESIS PROTEINS; FREEZING RESISTANCE; ANTARCTIC FISHES; RECRYSTALLIZATION; INHIBITION; CORE; GLYCOPROTEINS; MECHANISM; DIMER</t>
  </si>
  <si>
    <t>Antifreeze proteins make up a class of ice binding proteins (IBPs) that are possessed and expressed by certain cold-adapted organisms to enhance their freezing tolerance. Here we report the biophysical and functional characterization of an IBP discovered in a bacterium recovered from a deep glacial ice core drilled at Vostok Station, Antarctica (IBPv). Our study showed that the recombinant protein rIBPv exhibited a thermal hysteresis of 2 degrees C at concentrations of &gt;50 mu M, effectively inhibited ice recrystallization, and enhanced bacterial viability during freeze thaw cycling. Circular dichroism scans indicated that rIBPv mainly consists of beta strands, and its denaturing temperature was 53.5 degrees C. Multiple-sequence alignment of homologous IBPs predicted that IBPv contains two ice-binding domains, a feature unique among known IBPs. To examine functional differences between the IBPv domains, each domain was cloned, expressed, and purified. The second domain (domain B) expressed greater ice binding activity. Data from thermal hysteresis and gel filtration assays supported the idea that the two domains cooperate to achieve a higher ice binding effect by forming heterodimers. However, physical linkage of the domains was not required for this effect.</t>
  </si>
  <si>
    <t>[Wang, Chen; Oliver, Erin E.; Christner, Brent C.; Luo, Bing-Hao] Louisiana State Univ, Dept Biol Sci, Baton Rouge, LA 70803 USA; [Christner, Brent C.] Univ Florida, Dept Microbiol &amp; Cell Sci, Gainesville, FL 32611 USA; [Christner, Brent C.] Univ Florida, Biodivers Inst, Gainesville, FL 32611 USA</t>
  </si>
  <si>
    <t>Louisiana State University System; Louisiana State University; State University System of Florida; University of Florida; State University System of Florida; University of Florida</t>
  </si>
  <si>
    <t>Christner, BC; Luo, BH (corresponding author), Louisiana State Univ, Dept Biol Sci, Baton Rouge, LA 70803 USA.;Christner, BC (corresponding author), Univ Florida, Dept Microbiol &amp; Cell Sci, Gainesville, FL 32611 USA.;Christner, BC (corresponding author), Univ Florida, Biodivers Inst, Gainesville, FL 32611 USA.</t>
  </si>
  <si>
    <t>xner@ufl.edu; luo@lsu.edu</t>
  </si>
  <si>
    <t>Wang, Chen/0000-0001-5769-2077</t>
  </si>
  <si>
    <t>0006-2960</t>
  </si>
  <si>
    <t>BIOCHEMISTRY-US</t>
  </si>
  <si>
    <t>Biochemistry</t>
  </si>
  <si>
    <t>JUL 19</t>
  </si>
  <si>
    <t>10.1021/acs.biochem.6b00323</t>
  </si>
  <si>
    <t>DS0OR</t>
  </si>
  <si>
    <t>WOS:000380297100013</t>
  </si>
  <si>
    <t>Moiseyenko, YV; Sukhorukov, VI; Pyshnov, GY; Mankovska, IM; Rozova, KV; Miroshnychenko, OA; Kovalevska, OE; Madjar, SAY; Bubnov, RV; Gorbach, AO; Danylenko, KM; Moiseyenko, OI</t>
  </si>
  <si>
    <t>Moiseyenko, Yevhen V.; Sukhorukov, Viktor I.; Pyshnov, Georgiy Yu; Mankovska, Iryna M.; Rozova, Kateryna V.; Miroshnychenko, Olena A.; Kovalevska, Olena E.; Madjar, Stefan-Arpad Y.; Bubnov, Rostyslav V.; Gorbach, Anatoliy O.; Danylenko, Kostiantyn M.; Moiseyenko, Olga I.</t>
  </si>
  <si>
    <t>Antarctica challenges the new horizons in predictive, preventive, personalized medicine: preliminary results and attractive hypotheses for multi-disciplinary prospective studies in the Ukrainian Akademik Vernadsky station (vol 7, 11, 2016)</t>
  </si>
  <si>
    <t>EPMA JOURNAL</t>
  </si>
  <si>
    <t>[Moiseyenko, Yevhen V.; Danylenko, Kostiantyn M.] Minist Educ Ukraine, Natl Antarctic Sci Ctr, 16,Taras Shevchenko Blvd, UA-01601 Kiev, Ukraine; [Moiseyenko, Yevhen V.; Mankovska, Iryna M.; Rozova, Kateryna V.] Natl Acad Sci Ukraine, Bogomoletz Inst Physiol, 4,Bogomoletz Str, UA-01024 Kiev, Ukraine; [Sukhorukov, Viktor I.] Natl Acad Med Sci Ukraine, Inst Neurol Psychiat &amp; Narcol, 46,Akad Pavlova Str, UA-61068 Kharkov, Ukraine; [Pyshnov, Georgiy Yu] Natl Acad Med Sci Ukraine, Inst Occupat Hlth, Saksaganskogo Str,75, UA-01033 Kiev, Ukraine; [Miroshnychenko, Olena A.] Zhytomyr Ivan Franko State Univ, 40,Velyka Berdychivska Str, UA-10008 Zhytomyr, Ukraine; [Kovalevska, Olena E.] Natl Acad Pedag Sci Ukraine, GS Kostyuk Inst Psychol, 2,Pankivska Str, UA-01033 Kiev, Ukraine; [Madjar, Stefan-Arpad Y.] Budapest Univ Technol &amp; Econ, Budapest, Hungary; [Bubnov, Rostyslav V.; Gorbach, Anatoliy O.] Clin Hosp Pheophania State Management Affairs Dep, 21,Zabolotny Str, UA-03680 Kiev, Ukraine; [Bubnov, Rostyslav V.] Natl Acad Sci Ukraine, ZabolotnyInst Microbiol &amp; Virol, 154,Zabolotny Str, UA-03680 Kiev, Ukraine; [Bubnov, Rostyslav V.; Gorbach, Anatoliy O.] Ukrainian Acad Informat, Kiev, Ukraine; [Moiseyenko, Olga I.] Natl Acad Med Sci Ukraine, Natl Sci Ctr, Mykola Strazhesko Inst Cardiol, 5,Narodnoho Opolchennya Str, Kiev, Ukraine</t>
  </si>
  <si>
    <t>Ministry of Education &amp; Science of Ukraine; State Institution National Antarctic Scientific Center; National Academy of Sciences Ukraine; A.A. Bogomoletz Institute of Physiology; National Academy of Medical Sciences of Ukraine; National Academy of Medical Sciences of Ukraine; Kundiiev Institute of Occupational Health of the National Academy of Medical Sciences of Ukraine; Ministry of Education &amp; Science of Ukraine; Zhytomyr Ivan Franko State University; National Academy of Educational Sciences of Ukraine; G. S. Kostiuk Institute of Psychology of the National Academy of Educational Sciences of Ukraine; Budapest University of Technology &amp; Economics; Feofaniya Clinical Hospital; National Academy of Sciences Ukraine; Zabolotny Institute of Microbiology &amp; Virology of NASU; National Academy of Medical Sciences of Ukraine; National Scientific Center M.D. Strazhesko Institute of Cardiology of the National Academy of Medical Sciences of Ukraine</t>
  </si>
  <si>
    <t>Bubnov, RV (corresponding author), Clin Hosp Pheophania State Management Affairs Dep, 21,Zabolotny Str, UA-03680 Kiev, Ukraine.;Bubnov, RV (corresponding author), Natl Acad Sci Ukraine, ZabolotnyInst Microbiol &amp; Virol, 154,Zabolotny Str, UA-03680 Kiev, Ukraine.</t>
  </si>
  <si>
    <t>rostbubnov@gmail.com</t>
  </si>
  <si>
    <t>Olena, Miroshnychenko/AAG-8063-2019; Bubnov, Rostyslav/E-8395-2013</t>
  </si>
  <si>
    <t>Olena, Miroshnychenko/0000-0002-5712-3752; Bubnov, Rostyslav/0000-0003-3148-9884; Mankovska, Iryna/0000-0002-0621-1998; Yevgen, Moiseyenko/0000-0001-6818-5855</t>
  </si>
  <si>
    <t>SPRINGER INTERNATIONAL PUBLISHING AG</t>
  </si>
  <si>
    <t>1878-5077</t>
  </si>
  <si>
    <t>1878-5085</t>
  </si>
  <si>
    <t>EPMA J</t>
  </si>
  <si>
    <t>EPMA J.</t>
  </si>
  <si>
    <t>JUL 18</t>
  </si>
  <si>
    <t>10.1186/s13167-016-0067-1</t>
  </si>
  <si>
    <t>Medicine, General &amp; Internal; Medicine, Research &amp; Experimental</t>
  </si>
  <si>
    <t>General &amp; Internal Medicine; Research &amp; Experimental Medicine</t>
  </si>
  <si>
    <t>DR4GN</t>
  </si>
  <si>
    <t>WOS:000379859700001</t>
  </si>
  <si>
    <t>Butterworth, BJ; Miller, SD</t>
  </si>
  <si>
    <t>Butterworth, Brian J.; Miller, Scott D.</t>
  </si>
  <si>
    <t>Air-sea exchange of carbon dioxide in the Southern Ocean and Antarctic marginal ice zone</t>
  </si>
  <si>
    <t>eddy covariance; air-sea flux; sea ice; gas transfer velocity; piston velocity; carbon dioxide</t>
  </si>
  <si>
    <t>GAS-EXCHANGE; CO2 FLUX; EDDY COVARIANCE; MOTION; SYSTEM; RN-222; CYCLE</t>
  </si>
  <si>
    <t>Direct carbon dioxide flux measurements using eddy covariance from an icebreaker in the high-latitude Southern Ocean and Antarctic marginal ice zone are reported. Fluxes were combined with the measured water-air carbon dioxide partial pressure difference (pCO(2)) to compute the air-sea gas transfer velocity (k, normalized to Schmidt number 660). The open water data showed a quadratic relationship between k (cmh(-1)) and the neutral 10m wind speed (U-10n, m s(-1)), k(open)=0.245U(10n)(2)+1.3, in close agreement with decades old tracer-based results and much lower than cubic relationships inferred from previous open ocean eddy covariance studies. In the marginal ice zone, the effective gas transfer velocity decreased in proportion to sea ice cover, in contrast with predictions of enhanced gas exchange in the presence of sea ice. The combined open water and marginal ice zone results affect the calculated magnitude and spatial distribution of Southern Ocean carbon flux.</t>
  </si>
  <si>
    <t>[Butterworth, Brian J.; Miller, Scott D.] SUNY Albany, Atmospher Sci Res Ctr, Albany, NY 12222 USA</t>
  </si>
  <si>
    <t>State University of New York (SUNY) System; State University of New York (SUNY) Albany</t>
  </si>
  <si>
    <t>Miller, SD (corresponding author), SUNY Albany, Atmospher Sci Res Ctr, Albany, NY 12222 USA.</t>
  </si>
  <si>
    <t>smiller@albany.edu</t>
  </si>
  <si>
    <t>Butterworth, Brian J./AAP-2514-2021</t>
  </si>
  <si>
    <t>Butterworth, Brian J./0000-0002-8457-5308</t>
  </si>
  <si>
    <t>NSF Office of Polar Programs Award [1043623]; Directorate For Geosciences; Office of Polar Programs (OPP) [1043623] Funding Source: National Science Foundation</t>
  </si>
  <si>
    <t>NSF Office of Polar Programs Award; Directorate For Geosciences; Office of Polar Programs (OPP)(National Science Foundation (NSF)NSF - Directorate for Geosciences (GEO))</t>
  </si>
  <si>
    <t>Thanks to Taro Takahashi for the seawater pCO2 data (supported by grants from NOAA and NSF) and Timothy Newberger who maintained the shipboard pCO2 system; Barry Bjork, Andy Nunn, and Bob Kluckhohn for their help with installation and logistics; NBP Captains John Souza and Sebastian Paoni; University at Albany staff Chris Sager, John Sicker, Jim Albrecht, and Brian Smith for system fabrication; and Rik Wanninkhof and Wiley Evans for their thoughtful reviews. Scientific support aboard NBP was provided by Antarctic Support Contract (ASC). This work was supported by NSF Office of Polar Programs Award 1043623. Supporting material and data from the NBP-1210 and NBP-1402 cruises are available with the supporting information. Global surface pCO2 data from Takahashi et al. [2014] are available from the Carbon Dioxide Information Analysis Center (http://cdiac.ornl.gov/oceans/LDEO_Underway_Database/month_flux_2006c.txt).</t>
  </si>
  <si>
    <t>JUL 16</t>
  </si>
  <si>
    <t>10.1002/2016GL069581</t>
  </si>
  <si>
    <t>DS6ON</t>
  </si>
  <si>
    <t>WOS:000380901600065</t>
  </si>
  <si>
    <t>Walterscheid, RL; Gelinas, LJ; Mechoso, CR; Schubert, G</t>
  </si>
  <si>
    <t>Walterscheid, R. L.; Gelinas, L. J.; Mechoso, C. R.; Schubert, G.</t>
  </si>
  <si>
    <t>Spectral distribution of gravity wave momentum fluxes over the Antarctic Peninsula from Concordiasi superpressure balloon data</t>
  </si>
  <si>
    <t>Antarctic gravity wave momentum wave fluxes; Superpressure balloon measurements of gravity wave momentum fluxes</t>
  </si>
  <si>
    <t>CLIMATE MODELS; PHASE SPEEDS; PART II; STRATOSPHERE; SIMULATIONS; TRANSIENCE; CONVECTION; EXCITATION; CAMPAIGN; FLIGHTS</t>
  </si>
  <si>
    <t>Gravity waves generated by flow over the steep topography of the Antarctic Peninsula transport significant amounts of zonal and meridional momentum into the stratosphere. Quantitative determination of this transport has been carried out for wave periods of 1h or greater using data from a previous Antarctic superpressure balloon campaign in austral spring 2005 (VORCORE). The present study uses data from the later Concordiasi campaign (2010) to extend the momentum flux determination to shorter periods. Maps of the vertical fluxes of meridional and zonal momentum are presented for periods down to 12min. We find that the momentum fluxes for periods below 1h are comparable to those at longer periods, despite larger variances at longer periods. The momentum fluxes in the vicinity of the peninsula provide a significant zonal acceleration of the lower stratosphere, confirming a conclusion from the VORCORE data. The geographical distribution of fluxes around the peninsula has peaks both leeward and windward of the main terrain features. Numerical simulations suggest that the separate peaks may be related to wave transience caused by unsteady winds over the peninsula. Momentum fluxes comprise a main distribution maximizing at moderate flux values and a secondary distribution maximizing at high values exhibiting a high degree of intermittency. The high flux events account for the largest part of the average flux and suggest that drag parameterizations should take them into account. It is found that waves generated by the jet stream are also a significant source of momentum flux.</t>
  </si>
  <si>
    <t>[Walterscheid, R. L.; Gelinas, L. J.; Schubert, G.] Aerosp Corp, Space Sci Applicat Lab, El Segundo, CA 90245 USA; [Mechoso, C. R.] Univ Calif Los Angeles, Dept Atmospher &amp; Ocean Sci, Los Angeles, CA USA; [Schubert, G.] Univ Calif Los Angeles, Dept Earth Planetary &amp; Space Sci, Los Angeles, CA USA</t>
  </si>
  <si>
    <t>Aerospace Corporation - USA; University of California System; University of California Los Angeles; University of California System; University of California Los Angeles</t>
  </si>
  <si>
    <t>Walterscheid, RL (corresponding author), Aerosp Corp, Space Sci Applicat Lab, El Segundo, CA 90245 USA.</t>
  </si>
  <si>
    <t>richard.walterscheid@aero.org</t>
  </si>
  <si>
    <t>NSF [AGS-12455137]; Directorate For Geosciences [1245069] Funding Source: National Science Foundation; Div Atmospheric &amp; Geospace Sciences [1245069] Funding Source: National Science Foundation</t>
  </si>
  <si>
    <t>Work at The Aerospace Corporation was supported by NSF grant AGS-12455137. Work at UCLA was supported by NSF grant AGS-12455137. To request data not included herein, contact the lead author (Richard.Walterscheid@aero.org). Concordiasi was built by an international scientific group and was supported by the following agencies: Meteo-France, CNES, IPEV, PNRA, CNRS/INSU, NSF, NCAR, Concordia consortium, University of Wyoming, and Purdue University.</t>
  </si>
  <si>
    <t>10.1002/2015JD024253</t>
  </si>
  <si>
    <t>DS4DB</t>
  </si>
  <si>
    <t>WOS:000380730500001</t>
  </si>
  <si>
    <t>Poluianov, SV; Kovaltsov, GA; Mishev, AL; Usoskin, IG</t>
  </si>
  <si>
    <t>Poluianov, S. V.; Kovaltsov, G. A.; Mishev, A. L.; Usoskin, I. G.</t>
  </si>
  <si>
    <t>Production of cosmogenic isotopes 7Be, 10Be, 14C, 22Na, and 36Cl in the atmosphere: Altitudinal profiles of yield functions</t>
  </si>
  <si>
    <t>cosmogenic radionuclides; atmospheric cascade; cosmic ray</t>
  </si>
  <si>
    <t>RESIDENCE TIME; SOLAR-ACTIVITY; AD 774-775; RAY; ICE; TRANSPORT; MODEL; RADIOCARBON; MODULATION; SIMULATION</t>
  </si>
  <si>
    <t>New consistent and precise computations of the production of five cosmogenic radioisotopes, Be-7, Be-10, C-14, Na-22, and Cl-36, in the Earth's atmosphere by cosmic rays are presented in the form of tabulated yield functions. For the first time, a detailed set of the altitude profiles of the production functions is provided which makes it possible to apply the results directly as input for atmospheric transport models. Good agreement with most of the earlier published works for columnar and global isotopic production rates is shown. Altitude profiles of the production are important, in particular for such tasks as studies of strong solar particle events in the past, precise reconstructions of solar activity on long-term scale, tracing air mass dynamics using cosmogenic radioisotopes, etc. As an example, computations of the Be-10 deposition flux in the polar region are shown for the last decades and also for a period around 780 A.D. and confronted with the actual measurements in Greenland and Antarctic ice cores.</t>
  </si>
  <si>
    <t>[Poluianov, S. V.; Mishev, A. L.; Usoskin, I. G.] Univ Oulu, Space Climate Grp, SF-90100 Oulu, Finland; [Kovaltsov, G. A.] Russian Acad Sci, Ioffe Phys Tech Inst, St Petersburg, Russia; [Usoskin, I. G.] Univ Oulu, Sodankyla Geophys Observ, Oulu Unit, SF-90100 Oulu, Finland</t>
  </si>
  <si>
    <t>University of Oulu; Russian Academy of Sciences; St. Petersburg Scientific Centre of the Russian Academy of Sciences; Ioffe Physical Technical Institute; University of Oulu</t>
  </si>
  <si>
    <t>Usoskin, IG (corresponding author), Univ Oulu, Space Climate Grp, SF-90100 Oulu, Finland.;Usoskin, IG (corresponding author), Univ Oulu, Sodankyla Geophys Observ, Oulu Unit, SF-90100 Oulu, Finland.</t>
  </si>
  <si>
    <t>ilya.usoskin@oulu.fi</t>
  </si>
  <si>
    <t>Kovaltsov, Gennady A/F-5191-2014; Poluianov, Stepan/Q-6251-2019; Usoskin, Ilya/E-5089-2014</t>
  </si>
  <si>
    <t>Usoskin, Ilya/0000-0001-8227-9081; Mishev, Alexander/0000-0002-7184-9664; Poluianov, Stepan/0000-0002-9119-4298</t>
  </si>
  <si>
    <t>Center of Excellence ReSoLVE [272157]</t>
  </si>
  <si>
    <t>Center of Excellence ReSoLVE</t>
  </si>
  <si>
    <t>This work was supported by the Center of Excellence ReSoLVE (project 272157). Supporting data are included as tables in the supporting information file; any additional data may be obtained from IGU (email: ilya.usoskin@oulu.fi).</t>
  </si>
  <si>
    <t>10.1002/2016JD025034</t>
  </si>
  <si>
    <t>WOS:000380730500037</t>
  </si>
  <si>
    <t>Mishin, VV; Mishin, VM; Karavaev, Y; Han, JP; Wang, C</t>
  </si>
  <si>
    <t>Mishin, V. V.; Mishin, V. M.; Karavaev, Yu.; Han, J. P.; Wang, C.</t>
  </si>
  <si>
    <t>Saturation of superstorms and finite compressibility of the magnetosphere: Results of the magnetogram inversion technique and global PPMLR-MHD model</t>
  </si>
  <si>
    <t>superstorm saturation; polar cap magnetic flux; magnetopause standoff distance</t>
  </si>
  <si>
    <t>SOLAR-WIND CONTROL; POTENTIAL SATURATION; MAGNETOPAUSE; SHAPE; SUBSTORMS; LOCATION</t>
  </si>
  <si>
    <t>We report on novel features of the saturation process of the polar cap magnetic flux and Poynting flux into the magnetosphere from the solar wind during three superstorms. In addition to the well-known effect of the interplanetary electric (E-sw) and southward magnetic (interplanetary magnetic field (IMF) B-z) fields, we found that the saturation depends also on the solar wind ram pressure P-d. By means of the magnetogram inversion technique and a global MHD numerical model Piecewise Parabolic Method with a Lagrangian Remap, we explore the dependence of the magnetopause standoff distance on ram pressure and the southward IMF. Unlike earlier studies, in the considered superstorms both P-d and B-z achieve extreme values. As a result, we show that the compression rate of the dayside magnetosphere decreases with increasing P-d and the southward B-z, approaching very small values for extreme P(d)15nPa and B-z-40nT. This dependence suggests that finite compressibility of the magnetosphere controls saturation of superstorms.</t>
  </si>
  <si>
    <t>[Mishin, V. V.; Mishin, V. M.; Karavaev, Yu.] ISTP SB RAS, Irkutsk, Russia; [Han, J. P.] CASC, CALT, Beijing, Peoples R China; [Han, J. P.; Wang, C.] Chinese Acad Sci, NSSC, Beijing, Peoples R China</t>
  </si>
  <si>
    <t>Irkutsk Science Centre of the Russian Academy of Sciences; Russian Academy of Sciences; Institute of Solar-Terrestrial Physics of the Siberian Branch of the Russian Academy of Sciences; China Aerospace Science &amp; Technology Corporation (CASC); Chinese Academy of Sciences</t>
  </si>
  <si>
    <t>Mishin, VM (corresponding author), ISTP SB RAS, Irkutsk, Russia.</t>
  </si>
  <si>
    <t>Karavaev, Yuri/AAD-8705-2020; Mishin, Vladimir Vilenovich/S-6119-2017</t>
  </si>
  <si>
    <t>Mishin, Vladimir Vilenovich/0000-0002-2729-2862; Wang, Chi/0000-0001-6991-9398</t>
  </si>
  <si>
    <t>RFBR [14-05-91165, 15-05-05561]; NSFC [413111039]</t>
  </si>
  <si>
    <t>RFBR(Russian Foundation for Basic Research (RFBR)); NSFC(National Natural Science Foundation of China (NSFC))</t>
  </si>
  <si>
    <t>We thank the ISTP SB RAS MIT group members and E.V. Mishin for stimulating discussions and assistance in translating the manuscript. The SW parameters and geomagnetic indices AE and SYM-H are obtained through http://cdaweb.gsfc.nasa.gov and also through the Kyoto WDC Website, magnetic data from the CANOPUS, INTERMAGNET, GIMA, MACCS, IMAGE, and SuperDARN international projects; magnetic networks in Arctic and the Antarctic, the Shafer Institute of Cosmo-Physical Research and Aeronomy SB RAS, Arctic and Antarctic Research Institute, and Danish Meteorological Institute; and individual magnetic observatories. Work in ISTP SB RAS is supported by RFBR grants 14-05-91165 and 15-05-05561; C. Wang is supported by the NSFC grant 413111039.</t>
  </si>
  <si>
    <t>10.1002/2016GL069649</t>
  </si>
  <si>
    <t>WOS:000380901600007</t>
  </si>
  <si>
    <t>Snow, K; Sloyan, BM; Rintoul, SR; Hogg, AM; Downes, SM</t>
  </si>
  <si>
    <t>Snow, K.; Sloyan, B. M.; Rintoul, S. R.; Hogg, A. McC.; Downes, S. M.</t>
  </si>
  <si>
    <t>Controls on circulation, cross-shelf exchange, and dense water formation in an Antarctic polynya</t>
  </si>
  <si>
    <t>Antarctic shelf circulation; cross-shelf exchange; Antarctic bottom water; surface fluxes; seasonal; interannual variability</t>
  </si>
  <si>
    <t>CIRCUMPOLAR DEEP-WATER; MERTZ GLACIER POLYNYA; OCEAN SURFACE STRESS; EAST ANTARCTICA; BOTTOM WATER; SENSITIVITY; TRANSPORT; IMPACT; FLUXES; BASIN</t>
  </si>
  <si>
    <t>Circulation on the Antarctic continental shelf influences cross-shelf exchange, Antarctic Bottom Water formation, and ocean heat flux to floating ice shelves. The physical processes driving the shelf circulation and its seasonal and interannual variability remain poorly understood. We use a unique time series of repeat hydrographic observations from the Adelie Land continental shelf and a box inverse model to explore the relationship between surface forcing, shelf circulation, cross-shelf exchange, and dense water formation. A wind-driven northwestward coastal current, set up by onshore Ekman transport, dominates the summer circulation. During winter, strong buoyancy loss creates dense shelf water. This dense water flows off the shelf, with a compensating on-shelf flow that is an order of magnitude larger in winter than in summer. The results demonstrate the importance of winter buoyancy loss in driving the shelf circulation and cross-shelf exchange, as well as dense water mass formation.</t>
  </si>
  <si>
    <t>[Snow, K.; Hogg, A. McC.] Australian Natl Univ, ARC Ctr Excellence Climate Syst Sci, Canberra, ACT, Australia; [Snow, K.; Hogg, A. McC.] Australian Natl Univ, Res Sch Earth Sci, Canberra, ACT, Australia; [Sloyan, B. M.; Rintoul, S. R.] CSIRO, Oceans &amp; Atmosphere, Hobart, Tas, Australia; [Rintoul, S. R.; Downes, S. M.] Univ Tasmania, Antarctic Climate &amp; Ecosyst Cooperat Res Ctr, Hobart, Tas, Australia; [Rintoul, S. R.] Ctr Australian Weather &amp; Climate Res, Hobart, Tas, Australia</t>
  </si>
  <si>
    <t>ARC Centre of Excellence for Climate System Science; Australian National University; Australian National University; Commonwealth Scientific &amp; Industrial Research Organisation (CSIRO); Antarctic Climate &amp; Ecosystems Cooperative Research Centre (ACE CRC); University of Tasmania; Commonwealth Scientific &amp; Industrial Research Organisation (CSIRO)</t>
  </si>
  <si>
    <t>Snow, K (corresponding author), Australian Natl Univ, ARC Ctr Excellence Climate Syst Sci, Canberra, ACT, Australia.;Snow, K (corresponding author), Australian Natl Univ, Res Sch Earth Sci, Canberra, ACT, Australia.</t>
  </si>
  <si>
    <t>kate.snow@anu.edu.au</t>
  </si>
  <si>
    <t>Hogg, Andy/AAZ-8733-2021; Sloyan, Bernadette/N-8989-2014; Downes, Stephanie/A-1424-2012; Hogg, Andy McC./A-7553-2011; Rintoul, Stephen R/A-1471-2012</t>
  </si>
  <si>
    <t>Hogg, Andy/0000-0001-5898-7635; Sloyan, Bernadette/0000-0003-0250-0167; Hogg, Andy McC./0000-0001-5898-7635; Rintoul, Stephen R/0000-0002-7055-9876</t>
  </si>
  <si>
    <t>Australian Government Department of the Environment; CSIRO through the Australian Climate Change Science Programme; Australian Research Council Future Fellowship [FT120100842]; Australian Government Business Cooperative Research Centres Programme through the Antarctic Climate and Ecosystems Cooperative Research Centre (ACE CRC); French LEFE programme; Institut Paul Emile Victor (IPEV)</t>
  </si>
  <si>
    <t>Australian Government Department of the Environment(Australian Government); CSIRO through the Australian Climate Change Science Programme; Australian Research Council Future Fellowship(Australian Research Council); Australian Government Business Cooperative Research Centres Programme through the Antarctic Climate and Ecosystems Cooperative Research Centre (ACE CRC)(Australian GovernmentDepartment of Industry, Innovation and ScienceCooperative Research Centres (CRC) Programme); French LEFE programme; Institut Paul Emile Victor (IPEV)</t>
  </si>
  <si>
    <t>B.M.S. and S.R.R. were supported by the Australian Government Department of the Environment and CSIRO through the Australian Climate Change Science Programme. A.M.H. was supported by an Australian Research Council Future Fellowship FT120100842. S.R.R. and S.M.D. were supported by the Australian Government Business Cooperative Research Centres Programme through the Antarctic Climate and Ecosystems Cooperative Research Centre (ACE CRC). The authors would like to thank the captain, crew and scientific party of the RSV Aurora Australis and SV l'Astrolabe for their support in collecting the observational data, with additional thanks to Mark Rosenberg for data processing. The ALBION-2008 voyage was supported by the French LEFE programme and by the Institut Paul Emile Victor (IPEV). Data analyzed in this manuscript are available from the Australian Antarctic Data Centre (https://data.aad.gov.au/).</t>
  </si>
  <si>
    <t>10.1002/2016GL069479</t>
  </si>
  <si>
    <t>WOS:000380901600050</t>
  </si>
  <si>
    <t>Lim, EP; Hendon, HH; Arblaster, JM; Delage, F; Nguyen, H; Min, SK; Wheeler, MC</t>
  </si>
  <si>
    <t>Lim, Eun-Pa; Hendon, Harry H.; Arblaster, Julie M.; Delage, Francois; Hanh Nguyen; Min, Seung-Ki; Wheeler, Matthew C.</t>
  </si>
  <si>
    <t>The impact of the Southern Annular Mode on future changes in Southern Hemisphere rainfall</t>
  </si>
  <si>
    <t>Southern Annular Mode; Souther Hemisphere rainfall; CMIP5; RCP8; 5</t>
  </si>
  <si>
    <t>ANTARCTIC OSCILLATION; EL-NINO; SURFACE-TEMPERATURE; AUSTRALIAN RAINFALL; HYDROLOGICAL CYCLE; OZONE RECOVERY; CIRCULATION; CLIMATE; PRECIPITATION; FLOW</t>
  </si>
  <si>
    <t>A robust positive trend in the Southern Annular Mode (SAM) is projected for the end of the 21st century under the Representative Concentration Pathway 8.5 scenario, which results in rainfall decreases in the midlatitudes and increases in the high latitudes in the Southern Hemisphere (SH). We find that this SAM trend also increases rainfall over the SH subtropics in austral summer but not in winter, leading to a pronounced wintertime poleward expansion of the subtropical dry zone. These dynamically driven rainfall changes by the SAM appear to oppose the thermodynamically driven projected rainfall changes in the SH subtropics and midlatitudes, whereas the two components reinforce each other in the high latitudes. However, we show that most climate models fall short in capturing the observed SAM component driven by the El Nino-Southern Oscillation and associated rainfall in the austral warm seasons, which limits our confidence in quantifying the contribution of the SAM to projected rainfall changes.</t>
  </si>
  <si>
    <t>[Lim, Eun-Pa; Hendon, Harry H.; Delage, Francois; Hanh Nguyen; Wheeler, Matthew C.] Bur Meteorol, Melbourne, Vic, Australia; [Arblaster, Julie M.] Natl Ctr Atmospher Res, POB 3000, Boulder, CO 80307 USA; [Arblaster, Julie M.] Monash Univ, Sch Earth Atmosphere &amp; Environm, Clayton, Vic, Australia; [Min, Seung-Ki] Pohang Univ Sci &amp; Technol, Sch Environm Sci &amp; Engn, Pohang, South Korea</t>
  </si>
  <si>
    <t>Bureau of Meteorology - Australia; National Center Atmospheric Research (NCAR) - USA; Monash University; Pohang University of Science &amp; Technology (POSTECH)</t>
  </si>
  <si>
    <t>Lim, EP (corresponding author), Bur Meteorol, Melbourne, Vic, Australia.</t>
  </si>
  <si>
    <t>e.lim@bom.gov.au</t>
  </si>
  <si>
    <t>Min, Seung-Ki/B-1431-2010; Wheeler, Matthew C/C-9038-2011; Arblaster, Julie/C-1342-2010</t>
  </si>
  <si>
    <t>Min, Seung-Ki/0000-0002-6749-010X; Wheeler, Matthew C/0000-0002-9769-1973; Arblaster, Julie/0000-0002-4287-2363; Hendon, Harry H./0000-0002-4378-2263; Lim, Eun-Pa/0000-0001-8273-5358</t>
  </si>
  <si>
    <t>Victorian Climate Initiative; Australian Climate Change Science Program; Regional and Global Climate Modeling Program (RGCM) of the U.S. Department of Energy's Office of Biological and Environmental Research (BER) [DE-FC02-97ER62402]</t>
  </si>
  <si>
    <t>Victorian Climate Initiative; Australian Climate Change Science Program; Regional and Global Climate Modeling Program (RGCM) of the U.S. Department of Energy's Office of Biological and Environmental Research (BER)(United States Department of Energy (DOE))</t>
  </si>
  <si>
    <t>This study is supported by the Victorian Climate Initiative. Julie Arblaster is partially supported by the Australian Climate Change Science Program and the Regional and Global Climate Modeling Program (RGCM) of the U.S. Department of Energy's Office of Biological and Environmental Research (BER) Cooperative Agreement DE-FC02-97ER62402. We are grateful to Christine Chung and Scott Power at the Bureau of Meteorology for providing valuable comments on earlier versions of the manuscript. The NCAR Command Language (NCL; NCL 2014) was used for data analysis and visualization of the results. We acknowledge the World Climate Research Programme's Working Group on Coupled Modelling, which is responsible for CMIP, and we thank the climate modeling groups (listed in Table S1 in the supporting information of this paper) for producing and making available their model output. We also acknowledge NCAR/UCAR, ECMWF, and NOAA for producing and providing Hurrell et al. [2008] SST analysis, ERA-Interim reanalysis, and GPCP precipitation data.</t>
  </si>
  <si>
    <t>10.1002/2016GL069453</t>
  </si>
  <si>
    <t>WOS:000380901600058</t>
  </si>
  <si>
    <t>Yu, ZC; Beilman, DW; Loisel, J</t>
  </si>
  <si>
    <t>Yu, Zicheng; Beilman, David W.; Loisel, Julie</t>
  </si>
  <si>
    <t>Transformations of landscape and peat-forming ecosystems in response to late Holocene climate change in the western Antarctic Peninsula</t>
  </si>
  <si>
    <t>climate; Deschampsia; paleoclimate; paleoecology; peat</t>
  </si>
  <si>
    <t>PALMER-DEEP; ICE EXTENT; MOSS BANK; VARIABILITY; INSOLATION; DYNAMICS; ADVANCE; RECORD; PLANTS; ISLAND</t>
  </si>
  <si>
    <t>We used subfossil mosses and peats to document changes in regional climate, cryosphere, and terrestrial ecosystems in the western Antarctic Peninsula at similar to 65 degrees S latitude. We find that most peat forming ecosystems have initiated since 2800cal B.P., in response to warmer summers and increasing summer insolation. The period at 900-600cal B.P. was coldest as indicated by ice advance, abundance of kill ages from ice-entombed mosses exposed recently from retreating glacial ice, and apparent gap in peatbank initiation. Furthermore, the discovery of a novel Antarctic hairgrass (Deschampsia antarctica) peatland at 2300-1200cal B.P. from the mainland Antarctic Peninsula suggests a much warmer climate than the present. A warming and wetting climate in the 1980s caused very high carbon accumulation in a Polytrichum strictum moss peatbank. Our results document dramatic transformations of landscape and ecosystems in response to past warmer climate, providing a telltale sign for what may come in the future.</t>
  </si>
  <si>
    <t>[Yu, Zicheng; Loisel, Julie] Lehigh Univ, Dept Earth &amp; Environm Sci, Bethlehem, PA 18015 USA; [Beilman, David W.] Univ Hawaii Manoa, Dept Geog, Honolulu, HI 96822 USA; [Loisel, Julie] Texas A&amp;M Univ, Dept Geog, College Stn, TX USA</t>
  </si>
  <si>
    <t>Lehigh University; University of Hawaii System; University of Hawaii Manoa; Texas A&amp;M University System; Texas A&amp;M University College Station</t>
  </si>
  <si>
    <t>Yu, ZC (corresponding author), Lehigh Univ, Dept Earth &amp; Environm Sci, Bethlehem, PA 18015 USA.</t>
  </si>
  <si>
    <t>ziy2@lehigh.edu</t>
  </si>
  <si>
    <t>Yu, Zicheng/0000-0003-2358-2712</t>
  </si>
  <si>
    <t>US NSF-Antarctic Earth Sciences Program [PLR 1246190, 1246359]; Office of Polar Programs (OPP); Directorate For Geosciences [1246359] Funding Source: National Science Foundation</t>
  </si>
  <si>
    <t>US NSF-Antarctic Earth Sciences Program(National Science Foundation (NSF)NSF - Directorate for Geosciences (GEO)); Office of Polar Programs (OPP); Directorate For Geosciences(National Science Foundation (NSF)NSF - Directorate for Geosciences (GEO))</t>
  </si>
  <si>
    <t>We thank Ted Doerr, Cara Ferrier, Jury Gordienko, Adam Jenkins, Carolyn Lipke, Ivan Parnikoza, Anatoly Rudenko, Ryan Wallace, and others at U.S. Palmer and Ukrainian Vernadsky stations for field assistance; Kate Cleary, Alex Hedgpeth, Charly Massa, Jonathan Stelling, and Mary Tardona for laboratory assistance, Lawrence Livermore and UC-Irvine labs for 14C dating analysis, Polar Geospatial Center for satellite imagery, and two journal reviewers for their useful comments. This project was supported by US NSF-Antarctic Earth Sciences Program (PLR 1246190 and 1246359). This paper is dedicated to the memory of Herbert E. Wright, Jr. (1917-2015) for his contribution to the study of landscape and ecological history and for inspiring young scientists. The 14C dates are listed in the supporting information.</t>
  </si>
  <si>
    <t>10.1002/2016GL069380</t>
  </si>
  <si>
    <t>WOS:000380901600061</t>
  </si>
  <si>
    <t>Cnossen, I; Liu, HL; Lu, H</t>
  </si>
  <si>
    <t>Cnossen, Ingrid; Liu, Hanli; Lu, Hua</t>
  </si>
  <si>
    <t>The whole atmosphere response to changes in the Earth's magnetic field from 1900 to 2000: An example of top-down vertical coupling</t>
  </si>
  <si>
    <t>atmospheric dynamics; magnetic field; numerical model; vertical coupling; whole atmosphere</t>
  </si>
  <si>
    <t>MESOSPHERIC PLANETARY-WAVES; BAROCLINIC INSTABILITY; GEOPOTENTIAL HEIGHT; SECULAR VARIATION; POLAR VORTICES; GRAVITY-WAVES; ACTIVITY FLUX; STRATOSPHERE; WEATHER; CLIMATOLOGY</t>
  </si>
  <si>
    <t>We study the effects of changes in the Earth's magnetic field between 1900 and 2000 on the whole atmosphere (0-500km altitude), based on simulations with the Whole Atmosphere Community Climate Model eXtension. Magnetic field changes directly affect the temperature and wind in the upper atmosphere (&gt; similar to 110km) via Joule heating and the ion drag force. However, we also find significant responses in zonal mean temperature and zonal wind in the Southern Hemisphere (SH) middle- to high-latitude troposphere, stratosphere, and mesosphere of up to 2K and 2m/s, as well as regionally significant changes in Northern Hemisphere (NH) polar surface temperatures of up to 1.3K, in December-January-February. In the SH, changes in gravity wave filtering in the thermosphere induce a change in the residual circulation that extends down into the upper mesosphere, where further changes in the mean wind climatology are generated, together with changes in local planetary wave generation and/or amplification and gravity wave filtering. This induces further changes to a residual circulation cell extending down into the troposphere. However, inaccuracies in the simulated SH upper mesospheric wind climatology probably mean that the simulated temperature and wind responses in the SH lower and middle atmosphere are also inaccurate. The NH middle atmosphere response is zonally asymmetric, consisting of a significant change in the positioning and shape of the upper stratospheric polar vortex, which is dynamically consistent with the surface temperature response. However, the downward coupling mechanism in the NH is generally less clear.</t>
  </si>
  <si>
    <t>[Cnossen, Ingrid; Lu, Hua] British Antarctic Survey, Cambridge, England; [Liu, Hanli] Natl Ctr Atmospher Res, POB 3000, Boulder, CO 80307 USA</t>
  </si>
  <si>
    <t>UK Research &amp; Innovation (UKRI); Natural Environment Research Council (NERC); NERC British Antarctic Survey; National Center Atmospheric Research (NCAR) - USA</t>
  </si>
  <si>
    <t>Cnossen, I (corresponding author), British Antarctic Survey, Cambridge, England.</t>
  </si>
  <si>
    <t>inos@bas.ac.uk</t>
  </si>
  <si>
    <t>Lu, Hua/GXA-0276-2022; Liu, Han/GVT-8296-2022; Liu, Han/HMD-9231-2023; Cnossen, Ingrid/E-5809-2010; Liu, Han-Li/A-9549-2008</t>
  </si>
  <si>
    <t>Lu, Hua/0000-0001-9485-5082; Liu, Han/0000-0002-5269-8477; Cnossen, Ingrid/0000-0001-6469-7861; Liu, Han-Li/0000-0002-6370-0704</t>
  </si>
  <si>
    <t>Natural Environment Research Council [NE/J018058/1]; National Science Foundation [AGS-1138784]; NASA LWS [NNX16AB82G, NNX14AH54G]; National Science Foundation; Directorate For Geosciences; Div Atmospheric &amp; Geospace Sciences [1138784] Funding Source: National Science Foundation; NERC [NE/J018058/1, bas0100031] Funding Source: UKRI; Natural Environment Research Council [NE/J018058/1, bas0100031] Funding Source: researchfish</t>
  </si>
  <si>
    <t>Natural Environment Research Council(UK Research &amp; Innovation (UKRI)Natural Environment Research Council (NERC)); National Science Foundation(National Science Foundation (NSF)); NASA LWS(National Aeronautics &amp; Space Administration (NASA)); National Science Foundation(National Science Foundation (NSF)); Directorate For Geosciences; Div Atmospheric &amp; Geospace Sciences(National Science Foundation (NSF)NSF - Directorate for Geosciences (GEO));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</si>
  <si>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 Cnossen was sponsored by a fellowship of the Natural Environment Research Council, grant NE/J018058/1. H.-L. Liu acknowledges support by National Science Foundation grant AGS-1138784 and NASA LWS NNX16AB82G and NNX14AH54G. The WACCM-X simulations were performed on the Yellowstone high-performance computing facility (ark:/85065/d7wd3xhc) provided by the Computational and Information Systems Laboratory of the National Centre for Atmospheric Research, sponsored by the National Science Foundation. Modeling results will be made freely available to the scientific community on request (contact I. Cnossen; inos@bas.ac.uk; icnossen@yahoo.com).</t>
  </si>
  <si>
    <t>10.1002/2016JD024890</t>
  </si>
  <si>
    <t>WOS:000380730500017</t>
  </si>
  <si>
    <t>Kolstad, EW; Bracegirdle, TJ; Zahn, M</t>
  </si>
  <si>
    <t>Kolstad, Erik W.; Bracegirdle, Thomas J.; Zahn, Matthias</t>
  </si>
  <si>
    <t>Re-examining the roles of surface heat flux and latent heat release in a hurricane-like polar low over the Barents Sea</t>
  </si>
  <si>
    <t>Arctic; polar lows</t>
  </si>
  <si>
    <t>COLD-AIR OUTBREAKS; NORTH-ATLANTIC; EXPLOSIVE CYCLOGENESIS; GLOBAL CLIMATOLOGY; PART II; MODEL; SIMULATIONS; PRECIPITATION; FUTURE; BAROCLINICITY</t>
  </si>
  <si>
    <t>Polar lows are intense mesoscale cyclones that occur at high latitudes in both hemispheres during winter. Their sometimes evidently convective nature, fueled by strong surface fluxes and with cloud-free centers, have led to some polar lows being referred to as arctic hurricanes. Idealized studies have shown that intensification by hurricane development mechanisms is theoretically possible in polar winter atmospheres, but the lack of observations and realistic simulations of actual polar lows have made it difficult to ascertain if this occurs in reality. Here the roles of surface heat fluxes and latent heat release in the development of a Barents Sea polar low, which in its cloud structures showed some similarities to hurricanes, are studied with an ensemble of sensitivity experiments, where latent heating and/or surface fluxes of sensible and latent heat were switched off before the polar low peaked in intensity. To ensure that the polar lows in the sensitivity runs did not track too far away from the actual environmental conditions, a technique known as spectral nudging was applied. This was shown to be crucial for enabling comparisons between the different model runs. The results presented here show that (1) no intensification occurred during the mature, postbaroclinic stage of the simulated polar low; (2) surface heat fluxes, i.e., air-sea interaction, were crucial processes both in order to attain the polar low's peak intensity during the baroclinic stage and to maintain its strength in the mature stage; and (3) latent heat release played a less important role than surface fluxes in both stages.</t>
  </si>
  <si>
    <t>[Kolstad, Erik W.] Uni Res Climate, Bjerknes Ctr Climate Res, Bergen, Norway; [Bracegirdle, Thomas J.] British Antarctic Survey, Cambridge, England; [Zahn, Matthias] Helmholtz Zentrum Geesthacht, Geesthacht, Germany</t>
  </si>
  <si>
    <t>Bjerknes Centre for Climate Research; UK Research &amp; Innovation (UKRI); Natural Environment Research Council (NERC); NERC British Antarctic Survey; Helmholtz Association; Helmholtz-Zentrum Hereon</t>
  </si>
  <si>
    <t>Kolstad, EW (corresponding author), Uni Res Climate, Bjerknes Ctr Climate Res, Bergen, Norway.</t>
  </si>
  <si>
    <t>erik.kolstad@uni.no</t>
  </si>
  <si>
    <t>Kolstad, Erik/A-2311-2015; Bracegirdle, Tom/AAD-6060-2020; Kolstad, Erik Olsøybakk/GYJ-6310-2022</t>
  </si>
  <si>
    <t>Kolstad, Erik/0000-0001-5394-9541; Bracegirdle, Thomas/0000-0002-8868-4739</t>
  </si>
  <si>
    <t>Research Council of Norway [245403]; Natural Environment Research Council; Cluster of Excellence CliSAP, Universitat Hamburg - German Science Foundation (DFG) [EXC177]; Natural Environment Research Council [nceo020007, bas0100032] Funding Source: researchfish; NERC [nceo020007, bas0100032] Funding Source: UKRI</t>
  </si>
  <si>
    <t>Research Council of Norway(Research Council of Norway); Natural Environment Research Council(UK Research &amp; Innovation (UKRI)Natural Environment Research Council (NERC)); Cluster of Excellence CliSAP, Universitat Hamburg - German Science Foundation (DFG)(German Research Foundation (DFG)); Natural Environment Research Council(UK Research &amp; Innovation (UKRI)Natural Environment Research Council (NERC)); NERC(UK Research &amp; Innovation (UKRI)Natural Environment Research Council (NERC))</t>
  </si>
  <si>
    <t>The authors would like to thank two anonymous reviewers for their efforts in improving the paper. We also thank the vast community that has developed and continues to maintain the WRF model, as well as the ECMWF for providing the ERA-Interim reanalysis data. E.W.K.'s work was funded by the Research Council of Norway through the Hordaklim project (project 245403). T.J.B. conducted this work as part of the British Antarctic Survey science program Polar Science for Planet Earth, which is funded by the Natural Environment Research Council. M.Z. was supported through the Cluster of Excellence CliSAP (EXC177), Universitat Hamburg, 501 funded through the German Science Foundation (DFG). The data used can be made available on demand by contacting E.W.K. at erik.kolstad@uni.no.</t>
  </si>
  <si>
    <t>10.1002/2015JD024633</t>
  </si>
  <si>
    <t>WOS:000380730500021</t>
  </si>
  <si>
    <t>Solomon, S; Ivy, DJ; Kinnison, D; Mills, MJ; Neely, RR; Schmidt, A</t>
  </si>
  <si>
    <t>Solomon, Susan; Ivy, Diane J.; Kinnison, Doug; Mills, Michael J.; Neely, Ryan R., III; Schmidt, Anja</t>
  </si>
  <si>
    <t>Emergence of healing in the Antarctic ozone layer</t>
  </si>
  <si>
    <t>BREWER-DOBSON CIRCULATION; STRATOSPHERIC OZONE; DATA SETS; VARIABILITY; DEPLETION; RECOVERY; TRENDS; SIMULATIONS; CLIMATE; SULFUR</t>
  </si>
  <si>
    <t>Industrial chlorofluorocarbons that cause ozone depletion have been phased out under the Montreal Protocol. A chemically driven increase in polar ozone (or healing) is expected in response to this historic agreement. Observations and model calculations together indicate that healing of the Antarctic ozone layer has now begun to occur during the month of September. Fingerprints of September healing since 2000 include (i) increases in ozone column amounts, (ii) changes in the vertical profile of ozone concentration, and (iii) decreases in the areal extent of the ozone hole. Along with chemistry, dynamical and temperature changes have contributed to the healing but could represent feedbacks to chemistry. Volcanic eruptions have episodically interfered with healing, particularly during 2015, when a record October ozone hole occurred after the Calbuco eruption.</t>
  </si>
  <si>
    <t>[Solomon, Susan; Ivy, Diane J.] MIT, Dept Earth Atmospher &amp; Planetary Sci, Cambridge, MA 02139 USA; [Kinnison, Doug; Mills, Michael J.] Natl Ctr Atmospher Res, Atmospher Chem Observat &amp; Modeling Lab, POB 3000, Boulder, CO 80305 USA; [Neely, Ryan R., III; Schmidt, Anja] Univ Leeds, Sch Earth &amp; Environm, Leeds, W Yorkshire, England; [Neely, Ryan R., III] Univ Leeds, Natl Ctr Atmospher Sci, Leeds, W Yorkshire, England</t>
  </si>
  <si>
    <t>Massachusetts Institute of Technology (MIT); National Center Atmospheric Research (NCAR) - USA; University of Leeds; University of Leeds; UK Research &amp; Innovation (UKRI); Natural Environment Research Council (NERC); NERC National Centre for Atmospheric Science</t>
  </si>
  <si>
    <t>Solomon, S (corresponding author), MIT, Dept Earth Atmospher &amp; Planetary Sci, Cambridge, MA 02139 USA.</t>
  </si>
  <si>
    <t>solos@mit.edu</t>
  </si>
  <si>
    <t>Schmidt, Anja/ABD-7113-2021; Schmidt, Anja/C-9617-2012; Neely III, Ryan R./F-8702-2010; Mills, Michael/B-5068-2010</t>
  </si>
  <si>
    <t>Schmidt, Anja/0000-0001-8759-2843; Neely III, Ryan R./0000-0003-4560-4812; Mills, Michael/0000-0002-8054-1346</t>
  </si>
  <si>
    <t>NSF Frontiers in Earth System Dynamics grant [OCE-1338814]; NSF Atmospheric Chemistry grant [AGS-1539972]; University of Leeds; NCAR visiting scientist grant; Natural Environment Research Council [NE/N006038/1]; NSF; Office of Science of the U.S. Department of Energy; Directorate For Geosciences; Div Atmospheric &amp; Geospace Sciences [1539972] Funding Source: National Science Foundation; Natural Environment Research Council [NE/N006038/1, ncas10003] Funding Source: researchfish; NERC [ncas10003, NE/N006038/1] Funding Source: UKRI</t>
  </si>
  <si>
    <t>NSF Frontiers in Earth System Dynamics grant; NSF Atmospheric Chemistry grant; University of Leeds; NCAR visiting scientist grant; Natural Environment Research Council(UK Research &amp; Innovation (UKRI)Natural Environment Research Council (NERC)); NSF(National Science Foundation (NSF)); Office of Science of the U.S. Department of Energy(United States Department of Energy (DOE)); Directorate For Geosciences; Div Atmospheric &amp; Geospace Sciences(National Science Foundation (NSF)NSF - Directorate for Geosciences (GEO)); Natural Environment Research Council(UK Research &amp; Innovation (UKRI)Natural Environment Research Council (NERC)); NERC(UK Research &amp; Innovation (UKRI)Natural Environment Research Council (NERC))</t>
  </si>
  <si>
    <t>We thank S. Tilmes (NCAR) for help with the MERRA (Modern-Era Retrospective Analysis for Research and Applications) data. D.K. and S. S. were partially supported by NSF Frontiers in Earth System Dynamics grant OCE-1338814, and D.J.I. was supported by NSF Atmospheric Chemistry grant AGS-1539972. A. S. was supported by an Academic Research Fellowship from the University of Leeds, an NCAR visiting scientist grant, and Natural Environment Research Council grant NE/N006038/1. NCAR is sponsored by NSF. WACCM is a component of CESM, which is supported by NSF and the Office of Science of the U.S. Department of Energy. We are grateful to D. Fahey, B. Hassler, W. D. McKenna, and the anonymous reviewers for helpful comments. Instructions for access to data reported in this paper are given in the supplementary materials.</t>
  </si>
  <si>
    <t>JUL 15</t>
  </si>
  <si>
    <t>10.1126/science.aae0061</t>
  </si>
  <si>
    <t>DR0EM</t>
  </si>
  <si>
    <t>WOS:000379580800044</t>
  </si>
  <si>
    <t>Cook, AJ; Holland, PR; Meredith, MP; Murray, T; Luckman, A; Vaughan, DG</t>
  </si>
  <si>
    <t>Cook, A. J.; Holland, P. R.; Meredith, M. P.; Murray, T.; Luckman, A.; Vaughan, D. G.</t>
  </si>
  <si>
    <t>Ocean forcing of glacier retreat in the western Antarctic Peninsula</t>
  </si>
  <si>
    <t>ICE SHELVES; DRIVEN; TRENDS; IMPACT</t>
  </si>
  <si>
    <t>In recent decades, hundreds of glaciers draining the Antarctic Peninsula (63 degrees to 70 degrees S) have undergone systematic and progressive change. These changes are widely attributed to rapid increases in regional surface air temperature, but it is now clear that this cannot be the sole driver. Here, we identify a strong correspondence between mid-depth ocean temperatures and glacier-front changes along the similar to 1000-kilometer western coastline. In the south, glaciers that terminate in warm Circumpolar Deep Water have undergone considerable retreat, whereas those in the far northwest, which terminate in cooler waters, have not. Furthermore, a mid-ocean warming since the 1990s in the south is coincident with widespread acceleration of glacier retreat. We conclude that changes in ocean-induced melting are the primary cause of retreat for glaciers in this region.</t>
  </si>
  <si>
    <t>[Cook, A. J.; Murray, T.; Luckman, A.] Swansea Univ, Dept Geog, Swansea, W Glam, Wales; [Cook, A. J.] Univ Durham, Dept Geog, Durham, England; [Holland, P. R.; Meredith, M. P.; Vaughan, D. G.] British Antarctic Survey, High Cross,Madingley Rd, Cambridge, England</t>
  </si>
  <si>
    <t>Swansea University; Durham University; UK Research &amp; Innovation (UKRI); Natural Environment Research Council (NERC); NERC British Antarctic Survey</t>
  </si>
  <si>
    <t>Cook, AJ (corresponding author), Swansea Univ, Dept Geog, Swansea, W Glam, Wales.;Cook, AJ (corresponding author), Univ Durham, Dept Geog, Durham, England.</t>
  </si>
  <si>
    <t>alison.cook@durham.ac.uk</t>
  </si>
  <si>
    <t>Vaughan, David/C-8348-2011; Luckman, Adrian/GVS-1716-2022; Holland, Paul R/G-2796-2012</t>
  </si>
  <si>
    <t>Luckman, Adrian/0000-0002-9618-5905; Vaughan, David/0000-0002-9065-0570; Meredith, Michael/0000-0002-7342-7756; Murray, Tavi/0000-0001-6714-6512</t>
  </si>
  <si>
    <t>AXA (global investment and insurance group) Research Fund Fellowship; NERC [bas0100033] Funding Source: UKRI; Natural Environment Research Council [bas0100033] Funding Source: researchfish</t>
  </si>
  <si>
    <t>AXA (global investment and insurance group) Research Fund Fellowship; NERC(UK Research &amp; Innovation (UKRI)Natural Environment Research Council (NERC)); Natural Environment Research Council(UK Research &amp; Innovation (UKRI)Natural Environment Research Council (NERC))</t>
  </si>
  <si>
    <t>This work was largely supported through an AXA (global investment and insurance group) Research Fund Fellowship. We are grateful to the National Centers for Environmental Information for providing access to the World Ocean Database and to all those who have contributed ocean data from the region surrounding the Antarctic Peninsula. The glacier-change data reported in this paper are tabulated in a database in the supplementary materials. We are most grateful to the reviewers who gave recommendations for improving this paper.</t>
  </si>
  <si>
    <t>10.1126/science.aae0017</t>
  </si>
  <si>
    <t>WOS:000379580800047</t>
  </si>
  <si>
    <t>Liang, S; Yuan, B; Kwon, JW; Ahn, M; Cui, XS; Bang, JK; Kim, NH</t>
  </si>
  <si>
    <t>Liang, Shuang; Yuan, Bao; Kwon, Jeong-Woo; Ahn, Mija; Cui, Xiang-Shun; Bang, Jeong Kyu; Kim, Nam-Hyung</t>
  </si>
  <si>
    <t>Effect of antifreeze glycoprotein 8 supplementation during vitrification on the developmental competence of bovine oocytes</t>
  </si>
  <si>
    <t>THERIOGENOLOGY</t>
  </si>
  <si>
    <t>Antifreeze glycoprotein 8; Oocyte; Vitrification; Cytoskeleton integrity; Fertilization; Embryonic development</t>
  </si>
  <si>
    <t>MATURED PORCINE OOCYTES; CYTOCHROME-C RELEASE; CATHEPSIN-B ACTIVITY; IN-VITRO; MOUSE OOCYTES; MEIOTIC SPINDLE; EMBRYO CRYOPRESERVATION; MITOCHONDRIAL-FUNCTION; ANTARCTIC FISHES; DNA-DAMAGE</t>
  </si>
  <si>
    <t>The purpose of this study was to investigate the effect of antifreeze glycoprotein 8 (AFGP8) supplementation during vitrification on the survival, fertilization, and embryonic development of bovine oocytes and the underlying molecular mechanism(s). Survival, fertilization, early embryonic development, apoptosis, DNA double-strand breaks, reactive oxygen species levels, meiotic cytoskeleton assembly, chromosome alignment, and energy status of mitochondria were measured in the present experiments. Compared with that in the nonsupplemented group; survival, monospermy, blastocyst formation rates, and blastomere counts were significantly higher in the AFGP8-supplemented animals. Oocytes of the latter group also presented fewer double-strand breaks and lower cathepsin B and caspase activities. Rates of normal spindle organization and chromosome alignment, actin filament impairment, and mitochondria] distribution were significantly higher in the AFGP8supplemented group. In addition, intracellular reactive oxygen species levels significantly decreased in the AFGP8-supplemented groups, maintaining a higher Delta Psi m than that in the nonsupplemented group. Taken together, these results indicated that supplementation with AFGP8 during vitrification has a protective effect on bovine oocytes against chilling injury. (c) 2016 Elsevier Inc. All rights reserved.</t>
  </si>
  <si>
    <t>[Liang, Shuang; Yuan, Bao; Kwon, Jeong-Woo; Cui, Xiang-Shun; Kim, Nam-Hyung] Chungbuk Natl Univ, Dept Anim Sci, Cheongju, Chungbuk, South Korea; [Yuan, Bao; Kim, Nam-Hyung] Jilin Univ, Coll Anim Sci, Dept Lab, Anim Ctr, Changchun 130023, Peoples R China; [Ahn, Mija; Bang, Jeong Kyu] Korea Basic Sci Inst, Div Magnet Resonance, Chungbuk, South Korea</t>
  </si>
  <si>
    <t>Chungbuk National University; Jilin University; Korea Basic Science Institute (KBSI)</t>
  </si>
  <si>
    <t>Kim, NH (corresponding author), Chungbuk Natl Univ, Dept Anim Sci, Cheongju, Chungbuk, South Korea.;Kim, NH (corresponding author), Jilin Univ, Coll Anim Sci, Dept Lab, Anim Ctr, Changchun 130023, Peoples R China.</t>
  </si>
  <si>
    <t>nhkim@chungbuk.ac.kr</t>
  </si>
  <si>
    <t>liang, shuang/JOK-5869-2023</t>
  </si>
  <si>
    <t>BioGreen 21 Program of the Rural Development Administration of the Republic of Korea [PJ011126]</t>
  </si>
  <si>
    <t>BioGreen 21 Program of the Rural Development Administration of the Republic of Korea</t>
  </si>
  <si>
    <t>This study was supported by a grant from the BioGreen 21 Program (PJ011126) of the Rural Development Administration of the Republic of Korea.</t>
  </si>
  <si>
    <t>360 PARK AVE SOUTH, NEW YORK, NY 10010-1710 USA</t>
  </si>
  <si>
    <t>0093-691X</t>
  </si>
  <si>
    <t>1879-3231</t>
  </si>
  <si>
    <t>Theriogenology</t>
  </si>
  <si>
    <t>10.1016/j.theriogenology.2016.01.032</t>
  </si>
  <si>
    <t>Reproductive Biology; Veterinary Sciences</t>
  </si>
  <si>
    <t>DO5SP</t>
  </si>
  <si>
    <t>WOS:000377843400003</t>
  </si>
  <si>
    <t>Tejedo, P; Benayas, J; Cajiao, D; Albertos, B; Lara, F; Pertierra, LR; Andrés-Abellán, M; Wic, C; Luciáñez, MJ; Enríquez, N; Justel, A; Reck, GK</t>
  </si>
  <si>
    <t>Tejedo, Pablo; Benayas, Javier; Cajiao, Daniela; Albertos, Belen; Lara, Francisco; Pertierra, Luis R.; Andres-Abellan, Manuela; Wic, Consuelo; Jose Lucianez, Maria; Enriquez, Natalia; Justel, Ana; Reck, Gunther K.</t>
  </si>
  <si>
    <t>Assessing environmental conditions of Antarctic footpaths to support management decisions</t>
  </si>
  <si>
    <t>Barrientos Island; Trampling impact; Precautionary Principle; Microbial activity; Moss communities; Collembola</t>
  </si>
  <si>
    <t>IMPACTS; CONSERVATION</t>
  </si>
  <si>
    <t>Thousands of tourists visit certain Antarctic sites each year, generating a wide variety of environmental impacts. Scientific knowledge of human activities and their impacts can help in the effective design of management measures and impact mitigation. We present a case study from Barrientos Island in which a management measure was originally put in place with the goal of minimizing environmental impacts but resulted in new undesired impacts. Two alternative footpaths used by tourist groups were compared. Both affected extensive moss carpets that cover the middle part of the island and that are very vulnerable to trampling. The first path has been used by tourists and scientists since over a decade and is a marked route that is clearly visible. The second one was created more recently. Several physical and biological indicators were measured in order to assess the environmental conditions for both paths. Some physical variables related to human impact were lower for the first path (e.g. soil penetration resistance and secondary treads), while other biochemical and microbiological variables were higher for the second path (e.g. beta-glucosidase and phosphatase activities, soil respiration). Moss communities located along the new path were also more diverse and sensitive to trampling. Soil biota (Collembola) was also more abundant and richer. These data indicate that the decision to adopt the second path did not lead to the reduction of environmental impacts as this path runs over a more vulnerable area with more outstanding biological features (e.g. microbiota activity, flora and soil fauna diversity). In addition, the adoption of a new route effectively doubles the human footprint on the island. We propose using only the original path that is less vulnerable to the impacts of trampling. Finally from this process, we identify several key issues that may be taken into account when carrying out impact assessment and environmental management decision-making in the Antarctic area. (C) 2016 Elsevier Ltd. All rights reserved.</t>
  </si>
  <si>
    <t>[Tejedo, Pablo; Benayas, Javier; Pertierra, Luis R.] Univ Autonoma Madrid, Dept Ecol, C Darwin 2, ES-28049 Madrid, Spain; [Cajiao, Daniela; Reck, Gunther K.] Univ San Francisco Quito, Inst Ecol Aplicada ECOLAP USFQ, POB 1712841, Quito, Ecuador; [Albertos, Belen] Univ Valencia, Dept Bot, Vicente Andres Estelles S-N, ES-46100 Burjassot, Spain; [Lara, Francisco; Jose Lucianez, Maria; Enriquez, Natalia] Univ Autonoma Madrid, Dept Biol, C Darwin 2, ES-28049 Madrid, Spain; [Andres-Abellan, Manuela; Wic, Consuelo] Univ Castilla La Mancha, Dept Ciencia &amp; Tecnol Agroforestal &amp; Genet, Avda Espana S-N, ES-02071 Albacete, Spain; [Justel, Ana] Univ Autonoma Madrid, Dept Matemat, C Francisco Tomas &amp; Valiente 5, ES-28049 Madrid, Spain</t>
  </si>
  <si>
    <t>Autonomous University of Madrid; Universidad San Francisco de Quito; University of Valencia; Autonomous University of Madrid; Universidad de Castilla-La Mancha; Autonomous University of Madrid</t>
  </si>
  <si>
    <t>Tejedo, P (corresponding author), Univ Autonoma Madrid, Dept Ecol, C Darwin 2, ES-28049 Madrid, Spain.</t>
  </si>
  <si>
    <t>pablo.tejedo@uam.es; javier.benayas@uam.es; danicajiao@gmail.com; belen.albertos@uv.es; francisco.lara@uam.es; luis.pertierra@gmail.com; manuela.andres@uclm.es; consuelowic@gmail.com; mjose.luciannez@uam.es; natalia.enriquez@estudiante.uam.es; ana.justel@uam.es; greck@usfq.edu.ec</t>
  </si>
  <si>
    <t>Albertos, Belén/ABF-9780-2020; Justel, Ana/A-3955-2010; Albertos, Belén/JCO-4227-2023; Pertierra, Luis R./K-3727-2017; Lara Garcia, Francisco/I-3003-2014; Benayas Del Alamo, Fco. Javier/E-5663-2017; Tejedo, Pablo/A-7163-2010</t>
  </si>
  <si>
    <t>Justel, Ana/0000-0003-3335-0579; Pertierra, Luis R./0000-0002-2232-428X; Lara Garcia, Francisco/0000-0002-1665-5277; Andres Abellan, Manuela/0000-0002-7960-3028; Benayas Del Alamo, Fco. Javier/0000-0002-5906-9569; Lucianez Sanchez, Maria Jose/0000-0001-5679-0951; Cajiao, Daniela/0000-0003-0816-2138; Albertos, Belen/0000-0002-2116-5600; Tejedo, Pablo/0000-0002-1865-0445</t>
  </si>
  <si>
    <t>Spanish Government [CTM2009-06604-E, CTM2013-47381-P]; Ecuadorian Government</t>
  </si>
  <si>
    <t>Spanish Government(Spanish Government); Ecuadorian Government</t>
  </si>
  <si>
    <t>Logistical support for this work was provided by the Ecuadorian and the Spanish National Antarctic Programs, and the Spanish Navy. Fieldwork for this paper was developed under three projects: EVA-ANTARCTICA (CTM2009-06604-E) and ALIENANT (CTM2013-47381-P), which were supported by the Spanish Government, and Proposal for Tourism Management of Barrientos Island and Surroundings (2011-13), funded by the Ecuadorian Government. The authors would like to thank Jose Olmedo Moran, Executive Director of the Ecuadorian National Antarctic Program, for his advice and support for this work, and Dr Tina Tin for her constructive and helpful comments during the editing process, which contributed to improving this paper. Many thanks also for the suggestions and proposals by two reviewers and the Associate Editor.</t>
  </si>
  <si>
    <t>10.1016/j.jenvman.2016.04.032</t>
  </si>
  <si>
    <t>DN1DA</t>
  </si>
  <si>
    <t>WOS:000376805300036</t>
  </si>
  <si>
    <t>Brothers, CJ; Smith, KE; Amsler, MO; Aronson, RB; Singh, H; McClintock, JB</t>
  </si>
  <si>
    <t>Brothers, Cecilia J.; Smith, Kathryn E.; Amsler, Margaret O.; Aronson, Richard B.; Singh, Hanumant; McClintock, James B.</t>
  </si>
  <si>
    <t>Covering behavior of deep-water echinoids in Antarctica: possible response to predatory king crabs</t>
  </si>
  <si>
    <t>Antarctic Peninsula; Echinoid; Covering behavior; Echinodermata; King crab; Lithodidae</t>
  </si>
  <si>
    <t>SEA-URCHIN; STRONGYLOCENTROTUS-DROEBACHIENSIS; STERECHINUS NEUMAYERI; CLIMATE-CHANGE; ECHINODERMATA; DIVERSITY; ABUNDANCE; BIODIVERSITY; POPULATIONS; SLOPE</t>
  </si>
  <si>
    <t>Covering behavior refers to the propensity of echinoids (Echinoidea) to lift materials from the surrounding environment onto their aboral surfaces using their tube feet and spines. This behavior has been widely documented in regular echinoids from a variety of well-lit, shallow-marine habitats. Covering behavior in the deep sea, however, is rarely observed, and the functional significance of covering when it does occur remains speculative. During a photographic survey of the seafloor off Anvers Island and Marguerite Bay along the western Antarctic Pen insula, we imaged 11 benthic transects at depths ranging from 390 to 2100 m. We recorded the number of echinoid species, incidence of covering behavior, types of materials used for covering, potential predators of echinoids, and potential prey items for predators. The echinoid Sterechinus spp. was found at all depths, and the percentage of individuals exhibiting covering behavior increased with depth between 390 and 1500 m. There was a significant positive correlation between the incidence of covering behavior in Sterechinus spp. and the density of king crabs (Anomura: Lithodidae), crushing predators that may be expanding their bathymetric range up the Antarctic continental slope as a consequence of ongoing climatic warming. In contrast, covering behavior was not positively correlated with the densities of non-crab predators, the total densities of predators, or the availability of prey. Our results document rarely observed covering behavior in echinoids living in the deep sea and suggest that covering could be a behavioral response to predation pressure by king crabs.</t>
  </si>
  <si>
    <t>[Brothers, Cecilia J.; Amsler, Margaret O.; McClintock, James B.] Univ Alabama Birmingham, Dept Biol, Campbell Hall 464,1720 2nd Ave South, Birmingham, AL 35294 USA; [Smith, Kathryn E.; Aronson, Richard B.] Florida Inst Technol, Dept Biol Sci, Melbourne, FL 32901 USA; [Singh, Hanumant] Woods Hole Oceanog Inst, Dept Appl Ocean Phys &amp; Engn, Woods Hole, MA 02543 USA</t>
  </si>
  <si>
    <t>University of Alabama System; University of Alabama Birmingham; Florida Institute of Technology; Woods Hole Oceanographic Institution</t>
  </si>
  <si>
    <t>Brothers, CJ (corresponding author), Univ Alabama Birmingham, Dept Biol, Campbell Hall 464,1720 2nd Ave South, Birmingham, AL 35294 USA.</t>
  </si>
  <si>
    <t>brotce@uab.edu</t>
  </si>
  <si>
    <t>Smith, kathryn/KBC-9376-2024</t>
  </si>
  <si>
    <t>Aronson, Richard/0000-0003-0383-3844</t>
  </si>
  <si>
    <t>US National Science Foundation [ANT-1141877, ANT-1141896]</t>
  </si>
  <si>
    <t>US National Science Foundation(National Science Foundation (NSF))</t>
  </si>
  <si>
    <t>We thank the crew of the RV 'Nathaniel B. Palmer' during the NBP13-10 cruise for logistical help, as well as J. S. Anderson, A. Brown, C. Easson, D. Ellis, S. Thatje, and S. C. Vos. Thanks also to Paul Dayton as well as 2 anonymous reviewers who offered constructive comments and suggestions. Funding was provided by grants from the US National Science Foundation to R.B.A. (ANT-1141877) and J.B.M. (ANT-1141896). This paper is contribution no. 160 from the Institute for Research on Global Climate Change at the Florida Institute of Technology.</t>
  </si>
  <si>
    <t>JUL 14</t>
  </si>
  <si>
    <t>10.3354/meps11739</t>
  </si>
  <si>
    <t>DW6ZR</t>
  </si>
  <si>
    <t>WOS:000383800600011</t>
  </si>
  <si>
    <t>Carneiro, APB; Manica, A; Clay, TA; Silk, JRD; King, M; Phillips, RA</t>
  </si>
  <si>
    <t>Carneiro, Ana P. B.; Manica, Andrea; Clay, Thomas A.; Silk, Janet R. D.; King, Michelle; Phillips, Richard A.</t>
  </si>
  <si>
    <t>Consistency in migration strategies and habitat preferences of brown skuas over two winters, a decade apart</t>
  </si>
  <si>
    <t>Annual variability; Biologging; GAMs; Geolocation; GLS; Habitat selection; Modelling; Seabird</t>
  </si>
  <si>
    <t>WHITE-CHINNED PETRELS; ACTIVITY PATTERNS; WANDERING ALBATROSSES; ROUND DISTRIBUTION; FORAGING BEHAVIOR; PROCELLARIA-AEQUINOCTIALIS; CORYS SHEARWATERS; CATHARACTA-SKUA; PELAGIC SEABIRD; SOUTH GEORGIA</t>
  </si>
  <si>
    <t>At-sea movements and activity patterns of brown skuas Stercorarius antarcticus lonnbergi from South Georgia were analysed in 2 winters, a decade apart, to examine the degree of consistency in migration strategies and habitat preferences during the non-breeding and prelaying exodus periods. Oceanographic habitat preferences of tracked skuas were determined using a robust model accounting for availability. At the population level, brown skuas were broadly consistent in their choice of wintering areas and habitat preferences, although the distribution extended farther east in 2012 than in 2002. Skuas preferred areas associated with static oceanography (bathymetric features) both during the non-breeding and pre-laying periods, which may explain the consistency between years in habitat use. There was no significant effect of year on departure dates from South Georgia, but birds returned earlier to the colony in 2002. Migration schedules varied according to breeding status, with failed birds departing earlier than birds that bred successfully. Although failed birds travelled farther from the colony, there was little variation in dates of return. In general the timing of movements was similar between sexes, but females were more likely than males to engage in a pre-laying exodus. Brown skuas spent a much higher proportion of time sitting on the water than other seabirds during both the non-breeding and prelaying exodus periods, and the number of flight bouts per day was surprisingly low. The selection of static features by brown skuas may indicate that skuas may have less flexibility to track environmental changes than species that use dynamic cues.</t>
  </si>
  <si>
    <t>[Carneiro, Ana P. B.; Manica, Andrea; Clay, Thomas A.] Univ Cambridge, Dept Zool, Downing St, Cambridge CB2 3EJ, England; [Carneiro, Ana P. B.; Clay, Thomas A.; Silk, Janet R. D.; King, Michelle; Phillips, Richard A.] British Antarctic Survey, NERC, Madingley Rd, Cambridge CB3 0ET, England</t>
  </si>
  <si>
    <t>University of Cambridge; UK Research &amp; Innovation (UKRI); Natural Environment Research Council (NERC); NERC British Antarctic Survey</t>
  </si>
  <si>
    <t>Carneiro, APB (corresponding author), Univ Cambridge, Dept Zool, Downing St, Cambridge CB2 3EJ, England.;Carneiro, APB (corresponding author), British Antarctic Survey, NERC, Madingley Rd, Cambridge CB3 0ET, England.</t>
  </si>
  <si>
    <t>ana.bertoldi.carneiro@gmail.com</t>
  </si>
  <si>
    <t>Clay, Tommy/W-4867-2019; Carneiro, Ana Paula/IQT-6077-2023; Manica, Andrea/N-9013-2019</t>
  </si>
  <si>
    <t>Clay, Tommy/0000-0002-0644-6105; Manica, Andrea/0000-0003-1895-450X</t>
  </si>
  <si>
    <t>South Georgia Heritage Trust; Government of South Georgia; South Sandwich Islands; Natural Environment Research Council; Coordenacao de Aperfeicoamento de Pessoal de Nivel Superior (CAPES); Cambridge Overseas Trust (COT); NERC [bas0100035] Funding Source: UKRI; Natural Environment Research Council [bas0100035] Funding Source: researchfish</t>
  </si>
  <si>
    <t>South Georgia Heritage Trust; Government of South Georgia; South Sandwich Islands; Natural Environment Research Council(UK Research &amp; Innovation (UKRI)Natural Environment Research Council (NERC)); Coordenacao de Aperfeicoamento de Pessoal de Nivel Superior (CAPES)(Coordenacao de Aperfeicoamento de Pessoal de Nivel Superior (CAPES)); Cambridge Overseas Trust (COT); NERC(UK Research &amp; Innovation (UKRI)Natural Environment Research Council (NERC)); Natural Environment Research Council(UK Research &amp; Innovation (UKRI)Natural Environment Research Council (NERC))</t>
  </si>
  <si>
    <t>We thank Ben Phalan, Ruth Brown and Jenny James for help with fieldwork on Bird Island, and the South Georgia Heritage Trust and Government of South Georgia and the South Sandwich Islands for part-funding the study. This study represents a contribution to the Ecosystems component of the British Antarctic Survey Polar Science for Planet Earth Programme, funded by The Natural Environment Research Council. The Coordenacao de Aperfeicoamento de Pessoal de Nivel Superior (CAPES) and Cambridge Overseas Trust (COT) provided a scholarship to A.P.B.C. Comments from 4 anonymous reviewers improved the manuscript.</t>
  </si>
  <si>
    <t>10.3354/meps11781</t>
  </si>
  <si>
    <t>WOS:000383800600019</t>
  </si>
  <si>
    <t>Daryabor, F; Ooi, SH; Abu Samah, A; Akbari, A</t>
  </si>
  <si>
    <t>Daryabor, Farshid; Ooi, See Hai; Abu Samah, Azizan; Akbari, Abolghasem</t>
  </si>
  <si>
    <t>Dynamics of the Water Circulations in the Southern South China Sea and Its Seasonal Transports</t>
  </si>
  <si>
    <t>INTEROCEAN CIRCULATION; INDONESIAN THROUGHFLOW; PENINSULAR MALAYSIA; FRESH-WATER; EAST-COAST; MODEL; OCEAN; SIMULATION; SURFACE; HEAT</t>
  </si>
  <si>
    <t>A three-dimensional Regional Ocean Modeling System is used to study the seasonal water circulations and transports of the Southern South China Sea. The simulated seasonal water circulations and estimated transports show consistency with observations, e.g., satellite altimeter data set and re-analysis data of the Simple Ocean Data Assimilation. It is found that the seasonal water circulations are mainly driven by the monsoonal wind stress and influenced by the water outflow/inflow and associated currents of the entire South China Sea. The intrusion of the strong current along the East Coast of Peninsular Malaysia and the eddies at different depths in all seasons are due to the conservation of the potential vorticity as the depth increases. Results show that the water circulation patterns in the northern part of the East Coast of Peninsular Malaysia are generally dominated by the geostrophic currents while those in the southern areas are due solely to the wind stress because of negligible Coriolis force there. This study clearly shows that individual surface freshwater flux ( evaporation minus precipitation) controls the sea salinity balance in the Southern South China Sea thermohaline circulations. Analysis of climatological data from a high resolution Regional Ocean Modeling System reveals that the complex bathymetry is important not only for water exchange through the Southern South China Sea but also in regulating various transports across the main passages in the Southern South China Sea, namely the Sunda Shelf and the Strait of Malacca. Apart from the above, in comparision with the dynamics of the Sunda Shelf, the Strait of Malacca reflects an equally significant role in the annual transports into the Andaman Sea.</t>
  </si>
  <si>
    <t>[Daryabor, Farshid; Ooi, See Hai; Abu Samah, Azizan] Univ Malaya, Inst Postgrad Studies, Natl Antarctic Res Ctr, Kuala Lumpur 50603, Malaysia; [Daryabor, Farshid; Abu Samah, Azizan] Univ Malaya, Inst Postgrad Studies, Inst Ocean &amp; Earth Sci, Kuala Lumpur 50603, Malaysia; [Akbari, Abolghasem] Univ Malaysia Pahang, Fac Civil Engn &amp; Earth Resources, Lebuhraya Tun Razak, Kuantan 26300, Pahang, Malaysia</t>
  </si>
  <si>
    <t>Akbari, Abolghasem/L-5971-2019; Daryabor, Farshid/A-9345-2019; Daryabor, Farshid/K-6084-2015; ABU SAMAH, AZIZAN HJ/B-8295-2010</t>
  </si>
  <si>
    <t>Akbari, Abolghasem/0000-0003-4394-1970; Daryabor, Farshid/0000-0001-8217-8504; Daryabor, Farshid/0000-0001-8217-8504;</t>
  </si>
  <si>
    <t>Higher Institution Centre of Excellence (HICoE) Grant under the Institute of Ocean and Earth Sciences (IOES)</t>
  </si>
  <si>
    <t>This research study is funded by the Higher Institution Centre of Excellence (HICoE) Grant under the Institute of Ocean and Earth Sciences (IOES-2014a, Air-Ocean-Land Interaction).; This research study is funded by the Higher Institution Centre of Excellence (HICoE) Grant under the Institute of Ocean and Earth Sciences (IOES-2014a, Air-Ocean-Land Interaction). It is also strongly supported by the Vice-Chancellor of the University of Malaya. Above all, the authors greatly appreciate the invaluable and constructive comments and suggestions by the reviewers on this manuscript.</t>
  </si>
  <si>
    <t>JUL 13</t>
  </si>
  <si>
    <t>e0158415</t>
  </si>
  <si>
    <t>10.1371/journal.pone.0158415</t>
  </si>
  <si>
    <t>DQ9CP</t>
  </si>
  <si>
    <t>WOS:000379508300023</t>
  </si>
  <si>
    <t>Moles, J; Wägele, H; Ballesteros, M; Pujals, A; Uhl, G; Avila, C</t>
  </si>
  <si>
    <t>Moles, Juan; Waegele, Heike; Ballesteros, Manuel; Pujals, Alvaro; Uhl, Gabriele; Avila, Conxita</t>
  </si>
  <si>
    <t>The End of the Cold Loneliness: 3D Comparison between Doto antarctica and a New Sympatric Species of Doto (Heterobranchia: Nudibranchia)</t>
  </si>
  <si>
    <t>GASTROPODA HETEROBRANCHIA; OPISTHOBRANCHIA; GENUS; PHYLOGENY; MOLLUSCA; HISTOLOGY; INVERTEBRATES; SYSTEMATICS; MORPHOLOGY; DIVERSITY</t>
  </si>
  <si>
    <t>Although several studies are devoted to determining the diversity of Antarctic heterobranch sea slugs, new species are still being discovered. Among nudibranchs, Doto antarctica Eliot, 1907 is the single species of this genus described from Antarctica hitherto, the type locality being the Ross Sea. Doto antarctica was described mainly using external features. During our Antarctic research on marine benthic invertebrates, we found D. antarctica in the Weddell Sea and Bouvet Island, suggesting a circumpolar distribution. Species affiliation is herein supported by molecular analyses using cytochrome c oxidase subunit I, 16S rRNA, and histone H3 markers. We redescribe D. antarctica using histology, micro-computed tomography (micro-CT), and 3D-reconstruction of the internal organs. Moreover, we describe a new, sympatric species, namely D. carinova Moles, Avila &amp; Wagele n. sp., and provide an anatomical comparison between the two Antarctic Doto species. Egg masses in both species are also described here for the first time. We demonstrate that micro-CT is a useful tool for non-destructive anatomical description of valuable specimens. Furthermore, our high resolution micro-CT data reveal that the central nervous system of both Doto species possesses numerous accessory giant cells, suggested to be neurons herein. In addition, the phylogenetic tree of all Doto species sequenced to date suggests a scenario for the evolution of the reproductive system in this genus: bursa copulatrix seems to have been reduced and the acquisition of a distal connection of the oviduct to the nidamental glands is a synapomorphy of the Antarctic Doto species. Overall, the combination of thorough morphological and anatomical description and molecular analyses provides a comprehensive means to characterize and delineate species, thus suggesting evolutionary scenarios.</t>
  </si>
  <si>
    <t>[Moles, Juan; Ballesteros, Manuel; Pujals, Alvaro; Avila, Conxita] Univ Barcelona, Dept Evolutionary Biol Ecol &amp; Environm Sci, Ave Diagonal 645, E-08028 Barcelona, Catalonia, Spain; [Moles, Juan; Ballesteros, Manuel; Pujals, Alvaro; Avila, Conxita] Univ Barcelona, Biodivers Res Inst IrBIO, Ave Diagonal 645, E-08028 Barcelona, Catalonia, Spain; [Waegele, Heike] Zool Res Museum Alexander Koenig, Adenauerallee 160, D-53113 Bonn, Germany; [Uhl, Gabriele] Ernst Moritz Arndt Univ Greifswald, Museum &amp; Inst Zool, Gen &amp; Systemat Zool, Anklamer Str 20, D-17489 Greifswald, Germany</t>
  </si>
  <si>
    <t>University of Barcelona; University of Barcelona; Zoologisches Forschungsmuseum Alexander Koenig (ZFMK); Universitat Greifswald</t>
  </si>
  <si>
    <t>Moles, J (corresponding author), Univ Barcelona, Dept Evolutionary Biol Ecol &amp; Environm Sci, Ave Diagonal 645, E-08028 Barcelona, Catalonia, Spain.;Moles, J (corresponding author), Univ Barcelona, Biodivers Res Inst IrBIO, Ave Diagonal 645, E-08028 Barcelona, Catalonia, Spain.</t>
  </si>
  <si>
    <t>moles.sanchez@gmail.com</t>
  </si>
  <si>
    <t>Avila, Conxita/B-9466-2008; Moles, Juan/H-4786-2018; Uhl, Gabriele Beate/JVN-4423-2024; Ballesteros, Manuel/M-1664-2014</t>
  </si>
  <si>
    <t>Avila, Conxita/0000-0002-5489-8376; Moles, Juan/0000-0003-4511-4055; Uhl, Gabriele Beate/0000-0001-8758-7913; Ballesteros, Manuel/0000-0001-9055-1241</t>
  </si>
  <si>
    <t>German Science foundation [INST 292/119-1 FUGG, INST 292/120-1 FUGG]; Spanish government through ECOQUIM project [REN2003-00545 a, REN2002-12006EANT]; Spanish government through ACTIQUIM project [CGL2007-65453, CTM2010-17415/ANT]; Spanish government through DISTANTCOM project [CTM2013-42667/ANT]; PhD grant of the Spanish Government (MEC) [BES-2011-045325]; Systematic Research Fund of the Systematics Association; Linnean Society of London</t>
  </si>
  <si>
    <t>German Science foundation(German Research Foundation (DFG)); Spanish government through ECOQUIM project; Spanish government through ACTIQUIM project; Spanish government through DISTANTCOM project; PhD grant of the Spanish Government (MEC)(German Research Foundation (DFG)); Systematic Research Fund of the Systematics Association; Linnean Society of London</t>
  </si>
  <si>
    <t>The authors are indebted to the German Science foundation for funding the Micro-CT at the imaging center of Greifswald (INST 292/119-1 FUGG and INST 292/120-1 FUGG) and to POM Steinhoff and J Krieger (both Greifswald) for help with the micro-CT scans. Funding was also provided by the Spanish government through the ECOQUIM (REN2003-00545 and REN2002-12006EANT), ACTIQUIM (CGL2007-65453, CTM2010-17415/ANT), and DISTANTCOM (CTM2013-42667/ANT) projects. J Moles was supported by a PhD grant of the Spanish Government (MEC; BES-2011-045325), and by the Systematic Research Fund of the Systematics Association and the Linnean Society of London.</t>
  </si>
  <si>
    <t>e0157941</t>
  </si>
  <si>
    <t>10.1371/journal.pone.0157941</t>
  </si>
  <si>
    <t>WOS:000379508300014</t>
  </si>
  <si>
    <t>Description of new members of the family Cylindroleberididae (Ostracoda: Cylindroleberidoidea) from the Southern Ocean</t>
  </si>
  <si>
    <t>benthic ostracods; Myodocopina; Cylindroleberididae; Empoulsenia; Parasterope; Synasterope; Bathyleberis; Antarctic Ocean</t>
  </si>
  <si>
    <t>We report new ostracod data (Family Cylindroleberididae) based on material collected during the German Expeditions onboard the research vessel Polarstern from bathyal and abyssal zones (sampling depth range from 1030 to 3963 m) in the Weddell and Scotia Seas and Drake Passage in 2002 and 2005. Four species belonging to four genera were identified in these collections. A new species, Synasterope pseudomystax, is illustrated and described. A first occurrence of an adult female is registered for Archasterope weddellensis (Kornicker, 1975). Additional description for Parasterope cf. styx Kornicker, 1975 is given. Description of Bathyleberis grossmani Kornicker, 1975 is supplemented with new data on the distribution. Additionally, keys for all species known for Antarctic waters are included.</t>
  </si>
  <si>
    <t>[Chavtur, Vladimir G.] Russian Acad Sci, Far Eastern Branch, AV Zhirmunsky Inst Marine Biol, Vladivostok 690041, Russia; [Chavtur, Vladimir G.] Fed Far Eastern Univ, Vladivostok 690050, Russia; [Keyser, Dietmar] Univ Hamburg, Biozentrum, Grindel &amp; Zool Museum, D-20146 Hamburg, Germany</t>
  </si>
  <si>
    <t>Keyser, D (corresponding author), Univ Hamburg, Biozentrum, Grindel &amp; Zool Museum, D-20146 Hamburg, Germany.</t>
  </si>
  <si>
    <t>JUL 12</t>
  </si>
  <si>
    <t>10.11646/zootaxa.4137.3.1</t>
  </si>
  <si>
    <t>DQ9GN</t>
  </si>
  <si>
    <t>WOS:000379518500001</t>
  </si>
  <si>
    <t>Kozai, M; Munakata, K; Kato, C; Kuwabara, T; Rockenbach, M; Dal Lago, A; Schuch, NJ; Braga, CR; Mendonça, RRS; Al Jassar, HK; Sharma, MM; Duldig, ML; Humble, JE; Evenson, P; Sabbah, I; Tokumaru, M</t>
  </si>
  <si>
    <t>Kozai, M.; Munakata, K.; Kato, C.; Kuwabara, T.; Rockenbach, M.; Dal Lago, A.; Schuch, N. J.; Braga, C. R.; Mendonca, R. R. S.; Al Jassar, H. K.; Sharma, M. M.; Duldig, M. L.; Humble, J. E.; Evenson, P.; Sabbah, I.; Tokumaru, M.</t>
  </si>
  <si>
    <t>AVERAGE SPATIAL DISTRIBUTION OF COSMIC RAYS BEHIND THE INTERPLANETARY SHOCK-GLOBAL MUON DETECTOR NETWORK OBSERVATIONS</t>
  </si>
  <si>
    <t>astroparticle physics; cosmic rays; interplanetary medium; methods: data analysis; solar wind; Sun: coronal mass ejections (CMEs)</t>
  </si>
  <si>
    <t>CORONAL MASS EJECTIONS; FORBUSH DECREASES; MAGNETIC FIELDS; SOLAR; SPACE; PARTICLES; PROPAGATION; ANISOTROPY; INTENSITY; ROTATION</t>
  </si>
  <si>
    <t>We analyze the galactic cosmic ray (GCR) density and its spatial gradient in Forbush Decreases (FDs) observed with the Global Muon Detector Network (GMDN) and neutron monitors (NMs). By superposing the GCR density and density gradient observed in FDs following 45 interplanetary shocks (IP-shocks), each associated with an identified eruption on the Sun, we infer the average spatial distribution of GCRs behind IP-shocks. We find two distinct modulations of GCR density in FDs, one in the magnetic sheath and the other in the coronal mass ejection (CME) behind the sheath. The density modulation in the sheath is dominant in the western flank of the shock, while the modulation in the CME ejecta stands out in the eastern flank. This east-west asymmetry is more prominent in GMDN data responding to similar to 60 GV GCRs than in NM data responding to similar to 10 GV GCRs, because of the softer rigidity spectrum of the modulation in the CME ejecta than in the sheath. The geocentric solar ecliptic-y component of the density gradient, G(y), shows a negative (positive) enhancement in FDs caused by the eastern (western) eruptions, while G(z) shows a negative (positive) enhancement in FDs caused by the northern (southern) eruptions. This implies that the GCR density minimum is located behind the central flank of IP-shocks and propagating radially outward from the location of the solar eruption. We also confirmed that the average Gz changes its sign above and below the heliospheric current sheet, in accord with the prediction of the drift model for the large-scale GCR transport in the heliosphere.</t>
  </si>
  <si>
    <t>[Kozai, M.; Munakata, K.; Kato, C.] Shinshu Univ, Dept Phys, Matsumoto, Nagano 3908621, Japan; [Kuwabara, T.] Chiba Univ, Grad Sch Sci, Chiba, Chiba 2638522, Japan; [Rockenbach, M.; Dal Lago, A.; Braga, C. R.; Mendonca, R. R. S.] Natl Inst Space Res INPE, BR-12227010 Sao Jose Dos Campos, SP, Brazil; [Schuch, N. J.] Southern Reg Space Res Ctr CRS INPE, POB 5021, BR-97110970 Santa Maria, RS, Brazil; [Al Jassar, H. K.; Sharma, M. M.] Kuwait Univ, Dept Phys, POB 5969, Safat 13060, Kuwait; [Duldig, M. L.; Humble, J. E.] Univ Tasmania, Sch Phys Sci, Hobart, Tas 7001, Australia; [Evenson, P.] Univ Delaware, Bartol Res Inst, Newark, DE 19716 USA; [Evenson, P.] Univ Delaware, Dept Phys &amp; Astron, Newark, DE 19716 USA; [Sabbah, I.] Publ Author Appl Educ &amp; Training, Coll Hlth Sci, Dept Nat Sci, Kuwait 72853, Kuwait; [Tokumaru, M.] Nagoya Univ, Inst Space Earth Environm Res, Nagoya, Aichi 4648601, Japan</t>
  </si>
  <si>
    <t>Shinshu University; Instituto Nacional de Pesquisas Espaciais (INPE); Kuwait University; University of Tasmania; University of Delaware; University of Delaware; Public Authority for Applied Education &amp; Training (PAAET) - Kuwait; Nagoya University</t>
  </si>
  <si>
    <t>Kozai, M (corresponding author), Shinshu Univ, Dept Phys, Matsumoto, Nagano 3908621, Japan.</t>
  </si>
  <si>
    <t>13st303f@shinshu-u.ac.jp; kmuna00@shinshu-u.ac.jp</t>
  </si>
  <si>
    <t>Mendonça, Rafael/J-6648-2016; AlJassar, Hala/Y-3030-2019; Dal Lago, Alisson/H-6511-2017; Rockenbach, Marlos/C-1711-2012; Schuch, Nelson Jorge/K-9730-2015</t>
  </si>
  <si>
    <t>Dal Lago, Alisson/0000-0002-4361-6492; Rockenbach, Marlos/0000-0002-9737-9429; Schuch, Nelson Jorge/0000-0002-7720-6491; /0000-0002-0417-6877; Duldig, Marcus/0000-0001-7463-8267; Braga, Carlos Roberto/0000-0003-1485-9564; AlJassar, Hala/0000-0002-4486-237X; Humble, John/0000-0002-4698-1671; Munakata, Kazuoki/0000-0002-2131-4100</t>
  </si>
  <si>
    <t>joint research programs of the Institute for Space-Earth Environmental Research (ISEE); Nagoya University; Institute for Cosmic Ray Research (ICRR); University of Tokyo; Sao Paulo Research Foundation (FAPESP) [2014/24711-6, 2013/03530-0, 2013/02712-8, 2012/05436-9, 2012/20594-0, 2008/08840-0]; Research Administration of Kuwait University [SP01/09]; National Science Foundation [ATM-0000315]; CNPq; CAPES; INPE; UFSM; Sao Martinho da Serra muon detector; Australian Antarctic Division</t>
  </si>
  <si>
    <t>joint research programs of the Institute for Space-Earth Environmental Research (ISEE); Nagoya University; Institute for Cosmic Ray Research (ICRR); University of Tokyo; Sao Paulo Research Foundation (FAPESP)(Fundacao de Amparo a Pesquisa do Estado de Sao Paulo (FAPESP)); Research Administration of Kuwait University; National Science Foundation(National Science Foundation (NSF)); CNPq(Conselho Nacional de Desenvolvimento Cientifico e Tecnologico (CNPQ)); CAPES(Coordenacao de Aperfeicoamento de Pessoal de Nivel Superior (CAPES)); INPE; UFSM; Sao Martinho da Serra muon detector; Australian Antarctic Division</t>
  </si>
  <si>
    <t>This work is supported in part by the joint research programs of the Institute for Space-Earth Environmental Research (ISEE), Nagoya University and the Institute for Cosmic Ray Research (ICRR), University of Tokyo. The observations are supported by Nagoya University with the Nagoya muon detector; by CNPq, CAPES, INPE, and UFSM with the Sao Martinho da Serra muon detector; and by the Australian Antarctic Division with the Hobart muon detector. Observations by the Sao Martinho da Serra muon detector are also supported by the Sao Paulo Research Foundation (FAPESP) grants # 2014/24711-6, # 2013/03530-0, # 2013/02712-8, # 2012/05436-9, # 2012/20594-0, and # 2008/08840-0. The Kuwait muon detector is supported by project SP01/09 of the Research Administration of Kuwait University. Neutron monitors of the Bartol Research Institute are supported by the National Science Foundation grant ATM-0000315. The SSC list was obtained from Helmholtz-Centre Potsdam-GFZ via the website http://www.gfz-potsdam.de. The SWPC events lists were obtained via the website http://www.swpc.noaa.gov. We thank the ACE SWEPAM instrument team and the ACE Science Center for providing the ACE data. The WIND spacecraft data were obtained via the NASA homepage. The SW news was provided by National Institute of Information and Communications Technology (NICT) until 2009 and is currently provided by NIT, Kagoshima College. We thank Prof. M. Shinohara for updating the SW news every day. We also thank Dr. V. Yanke of the Institute of Terrestrial Magnetism, Ionosphere and Radio Wave Propagation RAS (IZMIRAN) for providing us with the GMDN data in 2009 corrected for the atmospheric temperature effect.</t>
  </si>
  <si>
    <t>JUL 10</t>
  </si>
  <si>
    <t>10.3847/0004-637X/825/2/100</t>
  </si>
  <si>
    <t>DU1BM</t>
  </si>
  <si>
    <t>Bronze, Green Published, Green Accepted, Green Submitted</t>
  </si>
  <si>
    <t>WOS:000381940800018</t>
  </si>
  <si>
    <t>Dziewit, L; Radlinska, M</t>
  </si>
  <si>
    <t>Dziewit, Lukasz; Radlinska, Monika</t>
  </si>
  <si>
    <t>Two Inducible Prophages of an Antarctic Pseudomonas sp ANT_H14 Use the Same Capsid for Packaging Their Genomes - Characterization of a Novel Phage Helper-Satellite System</t>
  </si>
  <si>
    <t>ESCHERICHIA-COLI DEFICIENT; PATHOGENICITY ISLAND; CHROMOSOMAL ISLANDS; LAMBDOID PHAGE; HIM MUTANTS; BACTERIOPHAGE; DNA; TEMPERATE; GENES; INTEGRATION</t>
  </si>
  <si>
    <t>Two novel prophages phi AH14a and phi AH14b of a psychrotolerant Antarctic bacterium Pseudomonas sp. ANT_H14 have been characterized. They were simultaneously induced with mitomycin C and packed into capsids of the same size and protein composition. The genome sequences of phi AH14a and phi AH14b have been determined. phi AH14b, the phage with a smaller genome (16,812 bp) seems to parasitize phi AH14a (55,060 bp) and utilizes its capsids, as only the latter encodes a complete set of structural proteins. Both viruses probably constitute a phage helper-satellite system, analogous to the P2-P4 duo. This study describes the architecture and function of the phi AH14a and phi AH14b genomes. Moreover, a functional analysis of a phi AH14a-encoded lytic enzyme and a DNA methyltransferase was performed. In silico analysis revealed the presence of the homologs of phi AH14a and phi AH14b in other Pseudomonas genomes, which may suggest that helper-satellite systems related to the one described in this work are common in pseudomonads.</t>
  </si>
  <si>
    <t>[Dziewit, Lukasz] Univ Warsaw, Inst Microbiol, Dept Bacterial Genet, Fac Biol, Warsaw, Poland; [Radlinska, Monika] Univ Warsaw, Inst Microbiol, Dept Virol, Fac Biol, Warsaw, Poland</t>
  </si>
  <si>
    <t>University of Warsaw; University of Warsaw</t>
  </si>
  <si>
    <t>Radlinska, M (corresponding author), Univ Warsaw, Inst Microbiol, Dept Virol, Fac Biol, Warsaw, Poland.</t>
  </si>
  <si>
    <t>m.radlinska@biol.uw.edu.pl</t>
  </si>
  <si>
    <t>Dziewit, Lukasz/L-1131-2016</t>
  </si>
  <si>
    <t>Dziewit, Lukasz/0000-0002-5057-2811; Radlinska, Monika/0000-0001-6818-8685</t>
  </si>
  <si>
    <t>National Science Centre, Poland [DEC-2013/09/D/NZ8/03046]; European Union-the European Regional Development Fund [POIG.02.02.00-14-024/08-00]</t>
  </si>
  <si>
    <t>National Science Centre, Poland(National Science Centre, Poland); European Union-the European Regional Development Fund</t>
  </si>
  <si>
    <t>This work was supported by the National Science Centre, Poland (grant number DEC-2013/09/D/NZ8/03046). The funder had no role in study design, data collection and analysis, decision to publish, or preparation of the manuscript.; We thank Krzysztof Skowronek for useful comments and critical reading of the manuscript. This work was supported by the National Science Centre, Poland (grant no. DEC-2013/09/D/NZ8/03046). Library construction and phage genomes assembly was carried out at the DNA Sequencing and Oligonucleotide Synthesis Laboratory IBB PAS using the CePT infrastructure financed by the European Union-the European Regional Development Fund [Innovative economy 2007-13, Agreement POIG.02.02.00-14-024/08-00].</t>
  </si>
  <si>
    <t>JUL 7</t>
  </si>
  <si>
    <t>e0158889</t>
  </si>
  <si>
    <t>10.1371/journal.pone.0158889</t>
  </si>
  <si>
    <t>DR3OC</t>
  </si>
  <si>
    <t>WOS:000379811500060</t>
  </si>
  <si>
    <t>Conway, TM; Hoffmann, LJ; Breitbarth, E; Strzepek, RF; Wolff, EW</t>
  </si>
  <si>
    <t>Conway, Tim M.; Hoffmann, Linn J.; Breitbarth, Eike; Strzepek, Robert F.; Wolff, Eric W.</t>
  </si>
  <si>
    <t>The Growth Response of Two Diatom Species to Atmospheric Dust from the Last Glacial Maximum</t>
  </si>
  <si>
    <t>SOUTHERN-OCEAN PHYTOPLANKTON; NATURAL IRON FERTILIZATION; EAST ANTARCTICA ICE; LIGHT INTERACTIONS; FLOW-INJECTION; TRACE-ELEMENTS; SILICIC-ACID; CO2 CHANGE; CARBON; CLIMATE</t>
  </si>
  <si>
    <t>Relief of iron (Fe) limitation in the surface Southern Ocean has been suggested as one driver of the regular glacial-interglacial cycles in atmospheric carbon dioxide (CO2). The proposed cause is enhanced deposition of Fe-bearing atmospheric dust to the oceans during glacial intervals, with consequent effects on export production and the carbon cycle. However, understanding the role of enhanced atmospheric Fe supply in biogeochemical cycles is limited by knowledge of the fluxes and 'bioavailability' of atmospheric Fe during glacial intervals. Here, we assess the effect of Fe fertilization by dust, dry-extracted from the Last Glacial Maximum portion of the EPICA Dome C Antarctic ice core, on the Antarctic diatom species Eucampia antarctica and Proboscia inermis. Both species showed strong but differing reactions to dust addition. E. antarctica increased cell number (3880 vs. 786 cells mL(-1)), chlorophyll a (51 vs. 3.9 mu g mL(-1)) and particulate organic carbon (POC; 1.68 vs. 0.28 mu g mL(-1)) production in response to dust compared to controls. P. inermis did not increase cell number in response to dust, but chlorophyll a and POC per cell both strongly increased compared to controls (39 vs. 15 and 2.13 vs. 0.95 ng cell(-1) respectively). The net result of both responses was a greater production of POC and chlorophyll a, as well as decreased Si:C and Si:N incorporation ratios within cells. However, E, antarctica decreased silicate uptake for the same nitrate and carbon uptake, while P. inermis increased carbon and nitrate uptake for the same silicate uptake. This suggests that nutrient utilization changes in response to Fe addition could be driven by different underlying mechanisms between different diatom species. Enhanced supply of atmospheric dust to the surface ocean during glacial intervals could therefore have driven nutrient-utilization changes which could permit greater carbon fixation for lower silica utilization. Additionally, both species responded more strongly to lower amounts of direct Fe chloride addition than they did to dust, suggesting that not all the Fe released from dust was in a bioavailable form available for uptake by diatoms.</t>
  </si>
  <si>
    <t>[Conway, Tim M.; Wolff, Eric W.] British Antarctic Survey, Cambridge, England; [Conway, Tim M.; Wolff, Eric W.] Univ Cambridge, Dept Earth Sci, Cambridge, England; [Conway, Tim M.] Swiss Fed Inst Technol, Dept Earth Sci, Zurich, Switzerland; [Hoffmann, Linn J.; Breitbarth, Eike; Strzepek, Robert F.] Univ Otago, Dept Chem, Dunedin, New Zealand; [Conway, Tim M.] Univ S Florida, Coll Marine Sci, St Petersburg, FL 33701 USA; [Hoffmann, Linn J.] Univ Otago, Dept Bot, Dunedin, New Zealand; [Breitbarth, Eike] REZO Water Energy, Dunedin, New Zealand; [Strzepek, Robert F.] Australian Natl Univ, Res Sch Earth Sci, Canberra, ACT, Australia</t>
  </si>
  <si>
    <t>UK Research &amp; Innovation (UKRI); Natural Environment Research Council (NERC); NERC British Antarctic Survey; University of Cambridge; Swiss Federal Institutes of Technology Domain; ETH Zurich; University of Otago; State University System of Florida; University of South Florida; University of Otago; Australian National University</t>
  </si>
  <si>
    <t>Conway, TM (corresponding author), Univ S Florida, Coll Marine Sci, St Petersburg, FL 33701 USA.</t>
  </si>
  <si>
    <t>conway.tm@gmail.com</t>
  </si>
  <si>
    <t>Hoffmann, Linn/J-3761-2019; Strzepek, Robert Francis/GQH-8703-2022; Wolff, Eric W/D-7925-2014</t>
  </si>
  <si>
    <t>Hoffmann, Linn/0000-0003-0242-4686; Strzepek, Robert Francis/0000-0002-6442-7121; Wolff, Eric W/0000-0002-5914-8531; Conway, Tim/0000-0002-3069-9786</t>
  </si>
  <si>
    <t>Natural Environment Research Council studentship; Royal Society Research Professorship [RP120096]; German Research Foundation [HO-4217, BR-3794]; NERC [bas0100034] Funding Source: UKRI; Natural Environment Research Council [bas0100034] Funding Source: researchfish; Royal Society [RP120096] Funding Source: Royal Society</t>
  </si>
  <si>
    <t>Natural Environment Research Council studentship(UK Research &amp; Innovation (UKRI)Natural Environment Research Council (NERC)); Royal Society Research Professorship(Royal Society); German Research Foundation(German Research Foundation (DFG)); NERC(UK Research &amp; Innovation (UKRI)Natural Environment Research Council (NERC)); Natural Environment Research Council(UK Research &amp; Innovation (UKRI)Natural Environment Research Council (NERC)); Royal Society(Royal Society)</t>
  </si>
  <si>
    <t>This work was supported by the Natural Environment Research Council studentship to TMC (http://www.nerc.ac.uk/), Royal Society Research Professorship to EWW (https://royalsociety.org/) RP120096, LJH and EB were funded by German Research Foundation grants HO-4217 and BR-3794 (http://www.dfg.de/en/). The funders had no role in study design, data collection and analysis, decision to publish, or preparation of the manuscript.</t>
  </si>
  <si>
    <t>JUL 6</t>
  </si>
  <si>
    <t>e0158553</t>
  </si>
  <si>
    <t>10.1371/journal.pone.0158553</t>
  </si>
  <si>
    <t>DR3NH</t>
  </si>
  <si>
    <t>WOS:000379809400059</t>
  </si>
  <si>
    <t>Sulzberger, B; Arey, JS</t>
  </si>
  <si>
    <t>Sulzberger, Barbara; Arey, J. Samuel</t>
  </si>
  <si>
    <t>Impacts of Polar Changes on the UV-induced Mineralization of Terrigenous Dissolved Organic Matter</t>
  </si>
  <si>
    <t>CHARGE-TRANSFER INTERACTIONS; ARCTIC SEA-ICE; HUMIC SUBSTANCES; OZONE DEPLETION; CLIMATE-CHANGE; PHOTOCHEMICAL MINERALIZATION; ULTRAVIOLET-RADIATION; OPTICAL-PROPERTIES; MOLECULAR-WEIGHT; NATURAL-WATERS</t>
  </si>
  <si>
    <t>Local climates in the Northern and Southern Hemisphere are influenced by Arctic Amplification and by interactions of the Antarctic ozone hole with climate change, respectively. Polar changes may affect hydroclimatic conditions in temperate regions, for example, by increasing the length and intensity of precipitation events at Northern Hemisphere midlatitudes. Additionally, global warming has led to the thawing of ancient permafrost soils, particularly in Arctic regions, due to Arctic Amplification. Both heavy precipitation events and thawing of permafrost are increasing the net transfer of terrestrially derived dissolved organic matter (DOM) from land to surface waters. In aquatic ecosystems, UV-induced oxidation of terrigenous DOM (tDOM) produces atmospheric CO2 and this process is one of several mechanisms by which natural organic matter in aquatic and soil environments may play an important role in climate feedbacks. The Arctic is particularly affected by these processes: for example, melting of Arctic sea ice allows solar UV radiation to penetrate into the ice-free Arctic Ocean and to cause photochemical reactions that result in bleaching and mineralization of tDOM. Open questions, in addition to those shown in the Graphical Abstract, remain regarding the resulting contributions of tDOM photomineralization to CO2 production and global warming.</t>
  </si>
  <si>
    <t>[Sulzberger, Barbara] Eawag Swiss Fed Inst Aquat Sci &amp; Technol, POB 611, CH-8600 Dubendorf, Switzerland; [Arey, J. Samuel] Ecole Polytech Fed Lausanne, Dept Architecture Civil &amp; Environm Engn, Environm Chem Modeling Lab, CH-1015 Lausanne, Switzerland; [Arey, J. Samuel] Eawag Swiss Fed Inst Aquat Sci &amp; Technol, Dept Environm Chem, POB 611, CH-8600 Dubendorf, Switzerland</t>
  </si>
  <si>
    <t>Swiss Federal Institutes of Technology Domain; Swiss Federal Institute of Aquatic Science &amp; Technology (EAWAG); Swiss Federal Institutes of Technology Domain; Ecole Polytechnique Federale de Lausanne; Swiss Federal Institutes of Technology Domain; Swiss Federal Institute of Aquatic Science &amp; Technology (EAWAG)</t>
  </si>
  <si>
    <t>Sulzberger, B (corresponding author), Eawag Swiss Fed Inst Aquat Sci &amp; Technol, POB 611, CH-8600 Dubendorf, Switzerland.</t>
  </si>
  <si>
    <t>barbara.sulzberger@emeriti.eawag.ch</t>
  </si>
  <si>
    <t>Liu, Yifan/S-6217-2017</t>
  </si>
  <si>
    <t>Arey, J. Samuel/0000-0002-3189-1585</t>
  </si>
  <si>
    <t>JUL 5</t>
  </si>
  <si>
    <t>10.1021/acs.est.5b05994</t>
  </si>
  <si>
    <t>DQ7DE</t>
  </si>
  <si>
    <t>WOS:000379366300007</t>
  </si>
  <si>
    <t>Arienzo, MM; McConnell, JR; Chellman, N; Criscitiello, AS; Curran, M; Fritzsche, D; Kipfstuhl, S; Mulvaney, R; Nolan, M; Opel, T; Sigl, M; Steffensen, JP</t>
  </si>
  <si>
    <t>Arienzo, M. M.; McConnell, J. R.; Chellman, N.; Criscitiello, A. S.; Curran, M.; Fritzsche, D.; Kipfstuhl, S.; Mulvaney, R.; Nolan, M.; Opel, T.; Sigl, M.; Steffensen, J. P.</t>
  </si>
  <si>
    <t>A Method for Continuous 239PU Determinations in Arctic and Antarctic Ice Cores</t>
  </si>
  <si>
    <t>DEPOSITIONAL HISTORY; PLUTONIUM ISOTOPES; HIGH-RESOLUTION; FALLOUT; CHRONOLOGY; GLACIER; CLIMATE; RADIONUCLIDES; TRANSPORT; URANIUM</t>
  </si>
  <si>
    <t>Atmospheric nuclear weapons testing (NWT) resulted in the injection of plutonium (Pu) into the atmosphere and subsequent global deposition. We present a new method for continuous semiquantitative measurement of Pu-239 in ice cores, which was used to develop annual records of fallout from NWT in ten ice cores from Greenland and Antarctica. The Pu-239 was measured directly using an inductively coupled plasma sector field mass spectrometer, thereby reducing analysis time and increasing depth-resolution with respect to previous methods. To validate this method, we compared our one year averaged results to published Pu-239 records and other records of NWT. The Pu-239 profiles from the Arctic ice cores reflected global trends in NWT and were in agreement with discrete Pu profiles from lower latitude ice cores. The Pu-239 measurements in the Antarctic ice cores tracked low latitude NWT, consistent with previously published discrete records from Antarctica. Advantages of the continuous Pu-239 measurement method are (1) reduced sample preparation and analysis time; (2) no requirement for additional ice samples for NWT fallout determinations; (3) measurements are exactly coregistered with all other chemical, elemental, isotopic, and gas measurements from the continuous analytical system; and (4) the long half-life means the Pu-239 record is stable through time.</t>
  </si>
  <si>
    <t>[Arienzo, M. M.; McConnell, J. R.; Chellman, N.] Desert Res Inst, 2215 Raggio Pkwy, Reno, NV 89512 USA; [Criscitiello, A. S.] Univ Calgary, 2500 Univ Dr NW, Calgary, AB T2N 1N4, Canada; [Curran, M.] Australian Antarctic Div, 203 Channel Highway, Kingston, Tas 7050, Australia; [Curran, M.] Univ Tasmania, Antarctic Climate &amp; Ecosyst Cooperat Res Ctr, Hobart, Tas 7001, Australia; [Fritzsche, D.; Kipfstuhl, S.; Opel, T.] Alfred Wegener Inst, Potsdam, Germany; [Mulvaney, R.] British Antarctic Survey, Madingley Rd, Cambridge CB3 0ET, England; [Nolan, M.] Univ Alaska Fairbanks, 505 N Chandalar Dr, Fairbanks, AK 99775 USA; [Sigl, M.] Paul Scherrer Inst, CH-5232 Villigen, Switzerland; [Steffensen, J. P.] Univ Copenhagen, Niels Bohr Inst, Ctr Ice &amp; Climate, Copenhagen, Denmark</t>
  </si>
  <si>
    <t>Nevada System of Higher Education (NSHE); Desert Research Institute NSHE; University of Calgary; Australian Antarctic Division; University of Tasmania; Antarctic Climate &amp; Ecosystems Cooperative Research Centre (ACE CRC); Helmholtz Association; Alfred Wegener Institute, Helmholtz Centre for Polar &amp; Marine Research; UK Research &amp; Innovation (UKRI); Natural Environment Research Council (NERC); NERC British Antarctic Survey; University of Alaska System; University of Alaska Fairbanks; Swiss Federal Institutes of Technology Domain; Paul Scherrer Institute; University of Copenhagen; Niels Bohr Institute</t>
  </si>
  <si>
    <t>Arienzo, MM (corresponding author), Desert Res Inst, 2215 Raggio Pkwy, Reno, NV 89512 USA.</t>
  </si>
  <si>
    <t>marienzo@dri.edu</t>
  </si>
  <si>
    <t>Steffensen, Jorgen Peder/JFS-7831-2023; Mulvaney, Robert/K-3929-2012; Opel, Thomas/O-9037-2014</t>
  </si>
  <si>
    <t>Steffensen, Jorgen Peder/0000-0002-5516-1093; Criscitiello, Alison/0000-0002-8741-709X; Opel, Thomas/0000-0003-1315-8256; Fritzsche, Diedrich/0000-0002-0018-8993; Sigl, Michael/0000-0002-9028-9703; Arienzo, Monica/0000-0003-3444-9810</t>
  </si>
  <si>
    <t>US NSF PLR [0538416, 0856845, 0968391, 0909541, 1023672, 1023318, 1204176]; NERC [bas0100034] Funding Source: UKRI; Natural Environment Research Council [bas0100034] Funding Source: researchfish; Office Of Internatl Science &amp;Engineering; Office Of The Director [0968391] Funding Source: National Science Foundation; Office of Polar Programs (OPP); Directorate For Geosciences [1204176] Funding Source: National Science Foundation</t>
  </si>
  <si>
    <t>US NSF PLR; NERC(UK Research &amp; Innovation (UKRI)Natural Environment Research Council (NERC)); Natural Environment Research Council(UK Research &amp; Innovation (UKRI)Natural Environment Research Council (NERC)); Office Of Internatl Science &amp;Engineering; Office Of The Director(National Science Foundation (NSF)NSF - Office of the Director (OD)); Office of Polar Programs (OPP); Directorate For Geosciences(National Science Foundation (NSF)NSF - Directorate for Geosciences (GEO))</t>
  </si>
  <si>
    <t>We thank those who aided with the organization, drilling, processing, and analysis in the field and laboratory. We acknowledge L. Layman for his initial laboratory work and R. Kreidberg for his editorial advice. We also thank the three anonymous reviewers for their constructive feedback. The following US NSF PLR grants supported collection and analyses of the cores as well as interpretation of the measurements: 0538416, 0856845, 0968391, 0909541, 1023672, 1023318, and 1204176. Ice-core data (239Pu) for all ice cores are accessible at the NSF Arctic Data Center (https://arcticdata.io/).</t>
  </si>
  <si>
    <t>10.1021/acs.est.6b01108</t>
  </si>
  <si>
    <t>WOS:000379366300056</t>
  </si>
  <si>
    <t>Perkins, NR; Foster, SD; Hill, NA; Barrett, NS</t>
  </si>
  <si>
    <t>Perkins, Nicholas R.; Foster, Scott D.; Hill, Nicole A.; Barrett, Neville S.</t>
  </si>
  <si>
    <t>Image subsampling and point scoring approaches for large-scale marine benthic monitoring programs</t>
  </si>
  <si>
    <t>Autonomous underwater vehicle; Image selection; Point count; Precision; Bias; Survey design</t>
  </si>
  <si>
    <t>CORAL; STRATEGIES; COVERAGE</t>
  </si>
  <si>
    <t>Benthic imagery is an effective tool for quantitative description of ecologically and economically important benthic habitats and biota. The recent development of autonomous underwater vehicles (AUVs) allows surveying of spatial scales that were previously unfeasible. However, an AUV collects a large number of images, the scoring of which is time and labour intensive. There is a need to optimise the way that subsamples of imagery are chosen and scored to gain meaningful inferences for ecological monitoring studies. We examine the trade-off between the number of images selected within transects and the number of random points scored within images on the percent cover of target biota, the typical output of such monitoring programs. We also investigate the efficacy of various image selection approaches, such as systematic or random, on the bias and precision of cover estimates. We use simulated biotas that have varying size, abundance and distributional patterns. We find that a relatively small sampling effort is required to minimise bias. An increased precision for groups that are likely to be the focus of monitoring programs is best gained through increasing the number of images sampled rather than the number of points scored within images. For rare species, sampling using point count approaches is unlikely to provide sufficient precision, and alternative sampling approaches may need to be employed. The approach by which images are selected (simple random sampling, regularly spaced etc.) had no discernible effect on mean and variance estimates, regardless of the distributional pattern of biota. Field validation of our findings is provided through Monte Carlo resampling analysis of a previously scored benthic survey from temperate waters. We show that point count sampling approaches are capable of providing relatively precise cover estimates for candidate groups that are not overly rare. The amount of sampling required, in terms of both the number of images and number of points, varies with the abundance, size and distributional pattern of target biota. Therefore, we advocate either the incorporation of prior knowledge or the use of baseline surveys to establish key properties of intended target biota in the initial stages of monitoring programs. (C) 2016 Elsevier Ltd. All rights reserved.</t>
  </si>
  <si>
    <t>[Perkins, Nicholas R.; Hill, Nicole A.; Barrett, Neville S.] Univ Tasmania, Inst Marine &amp; Antarctic Studies, Private Bag 49, Hobart, Tas 7001, Australia; [Foster, Scott D.] Commonwealth Sci &amp; Ind Res Org, Canberra, ACT, Australia</t>
  </si>
  <si>
    <t>Perkins, NR (corresponding author), Univ Tasmania, Inst Marine &amp; Antarctic Studies, Private Bag 49, Hobart, Tas 7001, Australia.</t>
  </si>
  <si>
    <t>Nicholas.Perkins@utas.edu.au</t>
  </si>
  <si>
    <t>Hill, Nicole/AAI-7323-2021; Barrett, Neville/J-7593-2014; Foster, Scott/E-9311-2010</t>
  </si>
  <si>
    <t>Hill, Nicole/0000-0001-9329-6717; Perkins, Nicholas/0000-0002-1328-2321; Barrett, Neville/0000-0002-6167-1356; Foster, Scott/0000-0002-6719-8002</t>
  </si>
  <si>
    <t>Australian Government's National Environmental Research Program (NERP); IMOS program via the Australian Centre for Field Robotics at the University of Sydney</t>
  </si>
  <si>
    <t>Australian Government's National Environmental Research Program (NERP)(Australian Government); IMOS program via the Australian Centre for Field Robotics at the University of Sydney</t>
  </si>
  <si>
    <t>We would like to thank Justin Hulls, Lisa Meyer, David Peel and Geoff Hosack. This work was supported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Wealth from Oceans National Flagship, Geoscience Australia, Australian Institute of Marine Science, Museum Victoria, Charles Darwin University and the University of Western Australia. The IMOS program supported the AUV deployments via the Australian Centre for Field Robotics at the University of Sydney.</t>
  </si>
  <si>
    <t>10.1016/j.ecss.2016.04.005</t>
  </si>
  <si>
    <t>DP8PB</t>
  </si>
  <si>
    <t>WOS:000378759000003</t>
  </si>
  <si>
    <t>Sousa, LL; Xavier, R; Costa, V; Humphries, NE; Trueman, C; Rosa, R; Sims, DW; Queiroz, N</t>
  </si>
  <si>
    <t>Sousa, Lara L.; Xavier, Raquel; Costa, Vania; Humphries, Nicolas E.; Trueman, Clive; Rosa, Rui; Sims, David W.; Queiroz, Nuno</t>
  </si>
  <si>
    <t>DNA barcoding identifies a cosmopolitan diet in the ocean sunfish</t>
  </si>
  <si>
    <t>STABLE-ISOTOPES CHALLENGE; OXIDASE SUBUNIT-I; MOLA-MOLA; ANTARCTIC KRILL; PREY DNA; PRIMERS; SEA; PCR; PERCEPTION; AMPLIFICATION</t>
  </si>
  <si>
    <t>The ocean sunfish (Mola mola) is the world's heaviest bony fish reaching a body mass of up to 2.3 tonnes. However, the prey M. mola consumes to fuel this prodigious growth remains poorly known. Sunfish were thought to be obligate gelatinous plankton feeders, but recent studies suggest a more generalist diet. In this study, through molecular barcoding and for the first time, the diet of sunfish in the north-east Atlantic Ocean was characterised. Overall, DNA from the diet content of 57 individuals was successfully amplified, identifying 41 different prey items. Sunfish fed mainly on crustaceans and teleosts, with cnidarians comprising only 16% of the consumed prey. Although no adult fishes were sampled, we found evidence for an ontogenetic shift in the diet, with smaller individuals feeding mainly on small crustaceans and teleost fish, whereas the diet of larger fish included more cnidarian species. Our results confirm that smaller sunfish feed predominantly on benthic and on coastal pelagic species, whereas larger fish depend on pelagic prey. Therefore, sunfish is a generalist predator with a greater diversity of links in coastal food webs than previously realised. Its removal as fisheries' bycatch may have wider reaching ecological consequences, potentially disrupting coastal trophic interactions.</t>
  </si>
  <si>
    <t>[Sousa, Lara L.; Xavier, Raquel; Costa, Vania; Queiroz, Nuno] Univ Porto, CIBIO, Ctr Invest Biodiversidade &amp; Recursos Genet, Campus Agr Vairao,Rua Padre Armando Quintas, P-4485668 Vairao, Portugal; [Sousa, Lara L.; Humphries, Nicolas E.; Sims, David W.] Marine Biol Assoc UK, Lab, Citadel Hill, Plymouth PL1 2PB, Devon, England; [Sousa, Lara L.; Trueman, Clive; Sims, David W.] Univ Southampton, Ocean &amp; Earth Sci, Waterfront Campus,European Way, Southampton SO14 3ZH, Hants, England; [Xavier, Raquel] Cardiff Univ, Sch Biol Sci, Cardiff CF10 3AX, S Glam, Wales; [Costa, Vania] Univ Porto, Fac Sci, Rua Campo Alegre S-N, P-4169007 Oporto, Portugal; [Rosa, Rui] Univ Lisbon, Fac Ciencias, Lab Maritimo Guia, MARE Marine &amp; Environm Sci Ctr, Av Nossa Senhora Cabo 939, P-2750374 Cascais, Portugal; [Sims, David W.] Univ Southampton, Ctr Biol Sci, Bldg 85,Highfield Campus, Southampton SO17 1BJ, Hants, England</t>
  </si>
  <si>
    <t>Universidade do Porto; Marine Biological Association United Kingdom; University of Southampton; Cardiff University; Universidade do Porto; Universidade de Lisboa; University of Southampton</t>
  </si>
  <si>
    <t>Queiroz, N (corresponding author), Univ Porto, CIBIO, Ctr Invest Biodiversidade &amp; Recursos Genet, Campus Agr Vairao,Rua Padre Armando Quintas, P-4485668 Vairao, Portugal.</t>
  </si>
  <si>
    <t>nuno.queiroz@cibio.up.pt</t>
  </si>
  <si>
    <t>Queiroz, Nuno/G-3850-2010; Sousa, Lara/L-7774-2013; Trueman, Clive N/E-6925-2011; Humphries, Nick/AAE-7170-2019; Rosa, Rui/A-4580-2009; Xavier, Raquel/A-8393-2012</t>
  </si>
  <si>
    <t>Sousa, Lara/0000-0002-4392-3572; Humphries, Nick/0000-0003-3741-1594; Rosa, Rui/0000-0003-2801-5178; Xavier, Raquel/0000-0001-8800-3924; Sims, David/0000-0002-0916-7363</t>
  </si>
  <si>
    <t>Portuguese Foundation for Science and Technology (FCT) [IF/01611/2013, SFRH/BPD/75851/2011]; Programa Operacional Potencial Humano-Quadro de Referencia Estrategico Nacional funds (POPH-QREN) from European Social Fund (ESF); Portuguese Ministerio da Educacao e Ciencia; FCT (Consolidation Grant); Programa Operacional Pesca (PROMAR) [31-03-05-FEP-0037]; UK Natural Environment Research Council (NERC); Marine Biological Association (MBA) Senior Research Fellowship; [SFRH/BD/68717/2010]; [SFRH/BD/88129/2012]; Fundação para a Ciência e a Tecnologia [SFRH/BD/88129/2012] Funding Source: FCT</t>
  </si>
  <si>
    <t>Portuguese Foundation for Science and Technology (FCT)(Fundacao para a Ciencia e a Tecnologia (FCT)); Programa Operacional Potencial Humano-Quadro de Referencia Estrategico Nacional funds (POPH-QREN) from European Social Fund (ESF); Portuguese Ministerio da Educacao e Ciencia(Fundacao para a Ciencia e a Tecnologia (FCT)); FCT (Consolidation Grant); Programa Operacional Pesca (PROMAR); UK Natural Environment Research Council (NERC)(UK Research &amp; Innovation (UKRI)Natural Environment Research Council (NERC)); Marine Biological Association (MBA) Senior Research Fellowship(UK Research &amp; Innovation (UKRI)Biotechnology and Biological Sciences Research Council (BBSRC)); ; ; Fundação para a Ciência e a Tecnologia(Fundacao para a Ciencia e a Tecnologia (FCT))</t>
  </si>
  <si>
    <t>We thank all the crew in Tunipex S.A., especially Mr Morikawa and Captain Alfredo, for allowing access to the tuna pen and the sunfish. L.L.S and V.C. were recipient of PhD scholarships (SFRH/BD/68717/2010 and SFRH/BD/88129/2012, respectively); R.X. was recipient of a Post-Doctoral Fellowship (SFRH/BPD/75851/2011) and N.Q. of an Investigator Fellowship (IF/01611/2013), funded by the Portuguese Foundation for Science and Technology (FCT) and under the Programa Operacional Potencial Humano-Quadro de Referencia Estrategico Nacional funds (POPH-QREN) from European Social Fund (ESF) and Portuguese Ministerio da Educacao e Ciencia. Both FCT (Consolidation Grant-2013) and Programa Operacional Pesca 2007-2013 (PROMAR; 31-03-05-FEP-0037) funded RR. We gratefully acknowledge funding from the UK Natural Environment Research Council (NERC) Oceans 2025 Strategic Research Programme (Theme 6 Science for Sustainable Marine Resources) in which D.W.S. was a principal investigator. D.W.S. was also supported by a Marine Biological Association (MBA) Senior Research Fellowship.</t>
  </si>
  <si>
    <t>JUL 4</t>
  </si>
  <si>
    <t>10.1038/srep28762</t>
  </si>
  <si>
    <t>DQ2BG</t>
  </si>
  <si>
    <t>WOS:000379004900001</t>
  </si>
  <si>
    <t>Prerna, R; Singh, CK</t>
  </si>
  <si>
    <t>Prerna, R.; Singh, Chander Kumar</t>
  </si>
  <si>
    <t>Evaluation of LiDAR and image segmentation based classification techniques for automatic building footprint extraction for a segment of Atlantic County, New Jersey</t>
  </si>
  <si>
    <t>GEOCARTO INTERNATIONAL</t>
  </si>
  <si>
    <t>image segmentation; object-oriented classification; LiDAR; DSM; building footprints</t>
  </si>
  <si>
    <t>OBJECT-ORIENTED CLASSIFICATION; AIRBORNE LIDAR; MODELS</t>
  </si>
  <si>
    <t>Extracting high-quality building footprints is a basic requirement in multiple sectors of town planning, disaster management, 3D visualization, etc. In the current study, we compare three different techniques for acquiring building footprints using (i) LiDAR, (ii) object-oriented classification (OOC) applied on high-resolution aerial photographs and (iii) digital surface models generated from interpolated LiDAR point cloud data. The three outputs were compared with a digitized sample of building polygons quantitatively by computing the errors of commission and omission, and qualitatively using statistical operations. These findings showed that building footprints derived from OOC gave highest regression and correlation values with least commission error. The R-2 and R values (0.86 and 0.92, respectively) imply that the footprint areas derived by OOC matched more closely with the actual area of buildings, while a low commission error of 24.7% represented a higher number of footprints as correctly classified.</t>
  </si>
  <si>
    <t>[Prerna, R.; Singh, Chander Kumar] TERI Univ, Dept Nat Resource, New Delhi, India; [Prerna, R.] Natl Ctr Antarctic &amp; Ocean Res, Vasco Da Gama, Goa, India</t>
  </si>
  <si>
    <t>TERI University; Ministry of Earth Sciences (MoES) - India; National Centre for Polar and Ocean Research (NCPOR)</t>
  </si>
  <si>
    <t>Singh, CK (corresponding author), TERI Univ, Dept Nat Resource, New Delhi, India.</t>
  </si>
  <si>
    <t>chander.singh@teriuniversity.ac.in</t>
  </si>
  <si>
    <t>Singh, Chander Kumar/A-5248-2012</t>
  </si>
  <si>
    <t>Singh, Chander Kumar/0000-0002-2421-4826; Ramesh, Prerna/0000-0001-6894-3951</t>
  </si>
  <si>
    <t>1010-6049</t>
  </si>
  <si>
    <t>1752-0762</t>
  </si>
  <si>
    <t>GEOCARTO INT</t>
  </si>
  <si>
    <t>Geocarto Int.</t>
  </si>
  <si>
    <t>JUL 2</t>
  </si>
  <si>
    <t>10.1080/10106049.2015.1076060</t>
  </si>
  <si>
    <t>DF8VJ</t>
  </si>
  <si>
    <t>WOS:000371638000007</t>
  </si>
  <si>
    <t>Takeuchi, I; Tomikawa, K; Lindsay, D</t>
  </si>
  <si>
    <t>Takeuchi, Ichiro; Tomikawa, Ko; Lindsay, Dhugal</t>
  </si>
  <si>
    <t>A NEW GENUS AND SPECIES OF PHTISICIDAE (CRUSTACEA: AMPHIPODA) FROM ABYSSAL DEPTHS IN THE JAPAN TRENCH, WITH SPECIAL REFERENCE TO SIMILARITIES WITH SOUTHERN OCEAN GENERA</t>
  </si>
  <si>
    <t>JOURNAL OF CRUSTACEAN BIOLOGY</t>
  </si>
  <si>
    <t>Mid-Year Meeting of the Crustacean-Society</t>
  </si>
  <si>
    <t>JUL, 2015</t>
  </si>
  <si>
    <t>Antarctic Bottom Water; cold-seep fauna; Japan Trench; new genus; new species; taxonomy</t>
  </si>
  <si>
    <t>CAPRELLIDEA CRUSTACEA; ATLANTIC; PACIFIC; RECORDS; MAYER; COAST; ZONE</t>
  </si>
  <si>
    <t>Abyssododecas styx, a new genus and new species of Phtisicidae (Amphipoda), is described based on specimens collected from cold-seep sites at abyssal depths between 5313 and 7322 m in the Japan Trench, North Pacific, using the crewed submersible Shinlcai 6500 and the Remotely-Operated Vehicle Kaiko. This is the deepest yet record of a caprellidean amphipod. While A styx n. gen., n. sp. looks like a member of Caprellidae, this species can be assigned to Phtisicidae through the possession of a normally articulated pereopod 3 and the lack of a molar on the mandible. The distribution of Phtisicidae along the coast of Japan, including deep-sea habitats, is rather rare, whereas genera of Caprellidae are dominant. Abyssododecas n. gen. is most closely-related to Dodecasella K. H. Barnard, 1931, which is distributed in the Southern Ocean, but differs in possessing a 2-articulated flagellum on antenna 2. The present discovery of Abyssododecas n. gen. from the North Pacific suggests a northward-trending distribution pathway over the ocean floor over geological time into the North Pacific through transport by Antarctic Bottom Water.</t>
  </si>
  <si>
    <t>[Takeuchi, Ichiro] Ehime Univ, Grad Sch Agr, 3-5-7 Tarumi, Matsuyama, Ehime 7908566, Japan; [Takeuchi, Ichiro] Ehime Univ, Grad Sch Agr, Ctr Adv Technol Environm, 3-5-7 Tarumi, Matsuyama, Ehime 7908566, Japan; [Tomikawa, Ko] Hiroshima Univ, Grad Sch Educ, 1-1-1 Kagamiyama, Higashihiroshima, Hiroshima 7398524, Japan; [Lindsay, Dhugal] Japan Agcy Marine Earth Sci &amp; Technol JAMSTEC, Res &amp; Dev Ctr Submarine Resources, 2-15 Natsushima Cho, Yokosuka, Kanagawa 2370061, Japan</t>
  </si>
  <si>
    <t>Ehime University; Ehime University; Hiroshima University; Japan Agency for Marine-Earth Science &amp; Technology (JAMSTEC)</t>
  </si>
  <si>
    <t>Takeuchi, I (corresponding author), Ehime Univ, Grad Sch Agr, 3-5-7 Tarumi, Matsuyama, Ehime 7908566, Japan.;Takeuchi, I (corresponding author), Ehime Univ, Grad Sch Agr, Ctr Adv Technol Environm, 3-5-7 Tarumi, Matsuyama, Ehime 7908566, Japan.</t>
  </si>
  <si>
    <t>takeuchi@agr.ehime-u.ac.jp</t>
  </si>
  <si>
    <t>Tomikawa, Ko/W-3062-2017</t>
  </si>
  <si>
    <t>Grants-in-Aid for Scientific Research [25242015] Funding Source: KAKEN</t>
  </si>
  <si>
    <t>0278-0372</t>
  </si>
  <si>
    <t>1937-240X</t>
  </si>
  <si>
    <t>J CRUSTACEAN BIOL</t>
  </si>
  <si>
    <t>J. Crustac. Biol.</t>
  </si>
  <si>
    <t>JUL</t>
  </si>
  <si>
    <t>10.1163/1937240X-00002457</t>
  </si>
  <si>
    <t>EB3ZF</t>
  </si>
  <si>
    <t>WOS:000387307300008</t>
  </si>
  <si>
    <t>Vereda, M; Cárdenas, S; Jensen, M; Galdames, M; Rubio, R</t>
  </si>
  <si>
    <t>Vereda, Marisol; Cardenas, Silvina; Jensen, Marie; Galdames, Marion; Rubio, Rocio</t>
  </si>
  <si>
    <t>Local human resources as expedition staff in the Antarctic cruise expedition market</t>
  </si>
  <si>
    <t>PASOS-REVISTA DE TURISMO Y PATRIMONIO CULTURAL</t>
  </si>
  <si>
    <t>Human resources; Staff; Antarctic expedition cruise ships; Antarctic tourism</t>
  </si>
  <si>
    <t>This contribution aims to know the insertion of local (Ushuaia and Argentina) human resources as staff members in Antarctic expedition cruise ships. Firstly, ship inward and outward clearance documentation was analyzed in order to identify human resources involved, secondly, these people were asked to answer an electronic questionnaire. Lastly, key actors related to staff recruitment were interviewed. Results show an important participation of local human resources in the market of Antarctic tourism and they also permit to know the main factors that favored and affected that insertion. Besides, strategies to achieve better labor possibilities in the future can be thought.</t>
  </si>
  <si>
    <t>[Vereda, Marisol] Univ Nacl Tierra Fuego, Ushuaia, Tierra Del Fueg, Argentina; [Cardenas, Silvina; Jensen, Marie; Galdames, Marion; Rubio, Rocio] Univ Nacl Tierra Fuego, Inst Desarrollo Econ &amp; Innovac, Turismo, Ushuaia, Tierra Del Fueg, Argentina</t>
  </si>
  <si>
    <t>Vereda, M (corresponding author), Univ Nacl Tierra Fuego, Ushuaia, Tierra Del Fueg, Argentina.</t>
  </si>
  <si>
    <t>mvereda@untdf.edu.ar; scardenas@untdf.edu.ar; mjensen@untdf.edu.ar; sgaldames@untdf.edu.ar; rsrubio@untdf.edu.ar</t>
  </si>
  <si>
    <t>Vereda, Marisol/ABE-9136-2021</t>
  </si>
  <si>
    <t>Vereda, Marisol/0000-0003-1157-2971</t>
  </si>
  <si>
    <t>GOBIERNO CANARIAS, CONSEJERIA EDUCACION CULTURA &amp; DEPORTES</t>
  </si>
  <si>
    <t>CANARIAS</t>
  </si>
  <si>
    <t>AVE DE ANAGUA, SANTA CRUZ TENERIFE, CANARIAS, 38001, SPAIN</t>
  </si>
  <si>
    <t>1695-7121</t>
  </si>
  <si>
    <t>PASOS</t>
  </si>
  <si>
    <t>Pasos</t>
  </si>
  <si>
    <t>Hospitality, Leisure, Sport &amp; Tourism</t>
  </si>
  <si>
    <t>Social Sciences - Other Topics</t>
  </si>
  <si>
    <t>ED2IT</t>
  </si>
  <si>
    <t>WOS:000388668000002</t>
  </si>
  <si>
    <t>Alekseev, G; Glok, N; Smirnov, A</t>
  </si>
  <si>
    <t>Alekseev, Genrikh; Glok, Natalia; Smirnov, Alexander</t>
  </si>
  <si>
    <t>On assessment of the relationship between changes of sea ice extent and climate in the Arctic</t>
  </si>
  <si>
    <t>Arctic; Barents Sea; sea ice; surface air temperature; Atlantic water; sea ice disappearance</t>
  </si>
  <si>
    <t>ATMOSPHERIC CIRCULATION; NORDIC SEAS; TEMPERATURE; ANOMALIES</t>
  </si>
  <si>
    <t>An increase of surface air temperature (SAT) in the marine Arctic (a part of the Arctic covered with sea ice in winter) shows a good relationship with reduction of sea ice extent (SIE) in summer. For instance, a strong correlation (a coefficient equal to -0.93) was found between the summer SAT in the marine Arctic and satellite-derived 1980-2014 September sea ice index (the average of SIE in the Arctic since 1978, in millions of km(2)). Based on this finding, anomalies of Arctic September SIE were reconstructed from the beginning of 20th century using a linear regression relationship. This reconstructed SIE shows a substantial decrease in the 1930-1940s with a minimum occurring in 1936, which, however, is only a half of the decline in 2012. The strong relationship between the summer SAT and September SIE was used to assess the onset of summer sea ice disappearance in the Arctic Ocean. According to the estimates made with a simple regression model, we can expect a seasonally ice-free Arctic Ocean as early as in the mid-2030s. An impact of the inflow of warm and salty Atlantic water (AW) on winter SIE was evaluated as an example for the Barents Sea. This evaluation reveals a coherent spatial pattern of the AW spreading, presented by surface salinity distribution, and the position of sea ice edge, and significant correlation between the inflow of the AW and maximal SIE. This publication presents a revised version of an 'Arctic sea ice extent in changing climate' report (Alekseev et al., 2015).</t>
  </si>
  <si>
    <t>[Alekseev, Genrikh; Glok, Natalia; Smirnov, Alexander] Arctic &amp; Antarctic Res Inst, Ocean Air Interact Dept, Bering St 38, St Petersburg 199397, Russia</t>
  </si>
  <si>
    <t>Alekseev, G (corresponding author), Arctic &amp; Antarctic Res Inst, Ocean Air Interact Dept, Bering St 38, St Petersburg 199397, Russia.</t>
  </si>
  <si>
    <t>Smirnov, Alexander/J-5935-2014</t>
  </si>
  <si>
    <t>Smirnov, Alexander/0000-0003-3231-7283</t>
  </si>
  <si>
    <t>Ministry of Education and Science of the Russian Federation [RFMEFI61014X0006]</t>
  </si>
  <si>
    <t>Ministry of Education and Science of the Russian Federation(Ministry of Education and Science, Russian Federation)</t>
  </si>
  <si>
    <t>This research has been supported by the Ministry of Education and Science of the Russian Federation (project RFMEFI61014X0006). The authors thank Andrey Pnyushkov for his help with preparation of this manuscript and appreciate reviewers for corrections and constructive remarks.</t>
  </si>
  <si>
    <t>10.1002/joc.4550</t>
  </si>
  <si>
    <t>DW4JC</t>
  </si>
  <si>
    <t>WOS:000383608000018</t>
  </si>
  <si>
    <t>Colacrai, M</t>
  </si>
  <si>
    <t>Colacrai, Miryam</t>
  </si>
  <si>
    <t>When the border talks: Singularities of the Argentine-Chilean relationship in recent decades</t>
  </si>
  <si>
    <t>ESTUDIOS FRONTERIZOS</t>
  </si>
  <si>
    <t>Argentine-Chilean bilateral relationship; new vision of borders; trans-border relations; Integration Committees; Zicosur; Antarctic cooperation</t>
  </si>
  <si>
    <t>The paper deals with bilateral relations between Argentina and Chile in recent decades, highlighting the potential of their new border relations. It assumes that the wide range of governmental actors, subnational and local entities linking each other have given this a unique dynamic border and are considered spaces of cooperation. The article is descriptive-reflective and is organized around a series of questions about the continued search for Argentine-Chilean border integration since the nineties and the construction of top-down and bottom-up institutional agreements. Within the variety of links, some remarkable examples are selected for the article like the Integration Committees, the settlement of the Central West of South America Integration Zone (Zicosur) and the Argentine-Chilean cooperation in Antarctica. It stresses the integrationist Maipu Treaty (2009) and institutions that charge different instances of bilateral dialogue.</t>
  </si>
  <si>
    <t>[Colacrai, Miryam] Consejo Nacl Invest Cient &amp; Tecn, Buenos Aires, DF, Argentina</t>
  </si>
  <si>
    <t>Consejo Nacional de Investigaciones Cientificas y Tecnicas (CONICET)</t>
  </si>
  <si>
    <t>Colacrai, M (corresponding author), Consejo Nacl Invest Cient &amp; Tecn, Buenos Aires, DF, Argentina.</t>
  </si>
  <si>
    <t>miryam.colacrai@fcpolit.unr.edu.ar</t>
  </si>
  <si>
    <t>Colacrai, Miryam/0000-0002-2739-0534</t>
  </si>
  <si>
    <t>UNIV AUTONOMA BAJA CALIFORNIA</t>
  </si>
  <si>
    <t>BAJA CALIFORNIA</t>
  </si>
  <si>
    <t>AVENIDA OBREGON &amp; JULIAN CARRILLO S N, AP 3-136, BAJA CALIFORNIA, MEXICALI CP 21100, MEXICO</t>
  </si>
  <si>
    <t>0187-6961</t>
  </si>
  <si>
    <t>ESTUD FRONT</t>
  </si>
  <si>
    <t>Estud. Front.</t>
  </si>
  <si>
    <t>JUL-DEC</t>
  </si>
  <si>
    <t>10.21670/ref.2016.34.a05</t>
  </si>
  <si>
    <t>Geography</t>
  </si>
  <si>
    <t>EA3NQ</t>
  </si>
  <si>
    <t>WOS:000386510400005</t>
  </si>
  <si>
    <t>Leppäranta, M; Lindgren, E; Arvola, L</t>
  </si>
  <si>
    <t>Lepparanta, Matti; Lindgren, Elisa; Arvola, Lauri</t>
  </si>
  <si>
    <t>Heat balance of supraglacial lakes in the western Dronning Maud Land</t>
  </si>
  <si>
    <t>International Symposium on Hydrology of Glaciers and Ice Sheets</t>
  </si>
  <si>
    <t>JUN, 2015</t>
  </si>
  <si>
    <t>Hofn, ICELAND</t>
  </si>
  <si>
    <t>Antarctic glaciology; blue ice; heat balance; mass balance; radiation transfer; sublimation</t>
  </si>
  <si>
    <t>ANTARCTICA; MASS; SNOW</t>
  </si>
  <si>
    <t>Thermodynamics of a seasonal supraglacial lake were examined based on field data from three summers. At maximum, the lake body consisted of an upper layer with thin ice on top, and a lower layer with slush, hard ice and sediment at the bottom. Sublimation from the upper ice surface averaged to 0.7 mm d(-1), and melting in the ice interior averaged to 9.1 mm d(-1) during summer. Albedo was on average 0.6 and light attenuation coefficient was similar to 1 m(-1). Averaged over December and January, and over 3 different years, we found that the net solar heating was 137 W m(-2), while the losses averaged to 62 W m(-2) for the longwave radiation, 16 Wm(-2) for the sensible heat flux, 24 W m(-2) for the latent heat flux and 3 W m(-2) for the bottom flux. The depth scale is determined by the light attenuation distance and thermal diffusion coefficient, and the net liquid water volume ranged from 0.5 to 1.0 m in different years. The potential winter growth is more than summer melting, and thus the lake freezes up completely in winter in the present climate.</t>
  </si>
  <si>
    <t>[Lepparanta, Matti; Lindgren, Elisa] Univ Helsinki, Dept Phys, Helsinki, Finland; [Arvola, Lauri] Univ Helsinki, Lammi Biol Stn, Lammi, Finland</t>
  </si>
  <si>
    <t>University of Helsinki; University of Helsinki</t>
  </si>
  <si>
    <t>Leppäranta, M (corresponding author), Univ Helsinki, Dept Phys, Helsinki, Finland.</t>
  </si>
  <si>
    <t>matti.lepparanta@helsinki.fi</t>
  </si>
  <si>
    <t>Lepparanta, Matti/M-7507-2017</t>
  </si>
  <si>
    <t>Lepparanta, Matti/0000-0002-4754-5564</t>
  </si>
  <si>
    <t>10.1017/aog.2016.12</t>
  </si>
  <si>
    <t>DZ1IT</t>
  </si>
  <si>
    <t>WOS:000385592800006</t>
  </si>
  <si>
    <t>Goeller, S; Steinhage, D; Thoma, M; Grosfeld, K</t>
  </si>
  <si>
    <t>Goeller, Sebastian; Steinhage, Daniel; Thoma, Malte; Grosfeld, Klaus</t>
  </si>
  <si>
    <t>Assessing the subglacial lake coverage of Antarctica</t>
  </si>
  <si>
    <t>Antarctic glaciology; radio-echo sounding; subglacial hydrology; subglacial lakes</t>
  </si>
  <si>
    <t>ICE-SHEET; EXOBIOLOGICAL IMPLICATIONS; ALTERNATIVE ORIGIN; WEST ANTARCTICA; NUMERICAL-MODEL; VOSTOK; BENEATH; FLOW; SURFACE; INVENTORY</t>
  </si>
  <si>
    <t>Lakes beneath the Antarctic Ice Sheet are known to decrease traction at the ice base and therefore can have a great impact on ice dynamics. However, the total extent of Antarctic subglacial lakes is still unknown. We address this issue by combining modeling and remote-sensing strategies to predict potential lake locations using the general hydraulic potential equation. We are able to reproduce the majority of known lakes, as well as predict the existence of many new and so far undetected potential lakes. To validate our predictions, we analyzed ice-penetrating radar profiles from radio-echo sounding flights acquired over 1994-2013 in Dronning Maud Land, East Antarctica, and this led to the identification of 31 new subglacial lakes. Based on these findings, we estimate the total number of Antarctic subglacial lakes to be similar to 1300, a factor of three higher than the total number of lakes discovered to date. We estimate that only similar to 30% of all Antarctic subglacial lakes and similar to 65% of the total estimated lake-covered area have been discovered, and that lakes account for 0.6% of the Antarctic ice/bed interface.</t>
  </si>
  <si>
    <t>[Goeller, Sebastian; Steinhage, Daniel; Thoma, Malte; Grosfeld, Klaus] Helmholtz Ctr Polar &amp; Marine Res, Alfred Wegener Inst, Bremerhaven, Germany</t>
  </si>
  <si>
    <t>Goeller, S (corresponding author), Helmholtz Ctr Polar &amp; Marine Res, Alfred Wegener Inst, Bremerhaven, Germany.</t>
  </si>
  <si>
    <t>sgoeller@awi.de</t>
  </si>
  <si>
    <t>Grosfeld, Klaus/0000-0001-5936-179X</t>
  </si>
  <si>
    <t>10.1017/aog.2016.23</t>
  </si>
  <si>
    <t>WOS:000385592800012</t>
  </si>
  <si>
    <t>Walesby, KT; Beare, RJ</t>
  </si>
  <si>
    <t>Walesby, K. T.; Beare, R. J.</t>
  </si>
  <si>
    <t>Parametrizing the Antarctic stable boundary layer: synthesizing models and observations</t>
  </si>
  <si>
    <t>stable boundary layers; turbulence parametrizations; Antarctic boundary layers</t>
  </si>
  <si>
    <t>LARGE-EDDY SIMULATION; SURFACE; PART; TURBULENCE; LAND; SENSITIVITY; STABILITY; STEADY; FLUXES; HEAT</t>
  </si>
  <si>
    <t>The accurate representation of the stable boundary layer (SBL) is a key issue for weather prediction and climate models. The SBL exerts an important influence in controlling heat, moisture and momentum fluxes between the surface and the rest of the atmosphere. Some of the world's most stably stratified boundary layers develop on the Antarctic continent. Previous work investigating SBLs has tended to take either a purely observational or purely modelling-based approach. Here, a novel three-way methodology has been developed which uses observations from an Antarctic site, alongside large-eddy simulation (LES) and single-column model (SCM) techniques to examine a case-study. Reasonable agreement was generally achieved between the LES and observations. The choice of stability function is an important decision for column-based parametrizations of the SBL. Four schemes were tested in the SCM, providing persuasive evidence for the use of shorter-tailed stability functions. The LES data were also used to extract implied stability functions. These experiments reinforced the conclusion that shorter-tailed stability functions offered improved performance for the Antarctic SBL. This approach represents a powerful framework for verifying SCM and LES results against a range of in situ observations.</t>
  </si>
  <si>
    <t>[Walesby, K. T.; Beare, R. J.] Univ Exeter, Dept Math, Harrison Bldg,North Pk Rd, Exeter EX4 4QF, Devon, England</t>
  </si>
  <si>
    <t>University of Exeter</t>
  </si>
  <si>
    <t>Beare, RJ (corresponding author), Univ Exeter, Dept Math, Harrison Bldg,North Pk Rd, Exeter EX4 4QF, Devon, England.</t>
  </si>
  <si>
    <t>r.j.beare@exeter.ac.uk</t>
  </si>
  <si>
    <t>The authors would like to thank Dr Philip Anderson (formerly British Antarctic Survey, currently at the Scottish Association for Marine Science) for his provision of the observations used in this study. KTW also acknowledges a University of Exeter studentship.</t>
  </si>
  <si>
    <t>B</t>
  </si>
  <si>
    <t>10.1002/qj.2830</t>
  </si>
  <si>
    <t>DY8GL</t>
  </si>
  <si>
    <t>WOS:000385367000013</t>
  </si>
  <si>
    <t>Firth, PG</t>
  </si>
  <si>
    <t>Firth, Paul G.</t>
  </si>
  <si>
    <t>Of Penguins, Pinnipeds, and Poisons Anesthesia on Elephant Island</t>
  </si>
  <si>
    <t>ANESTHESIOLOGY</t>
  </si>
  <si>
    <t>CHLOROFORM</t>
  </si>
  <si>
    <t>Although Ernest Shackleton's Endurance Antarctic expedition of 1914 to 1916 is a famous epic of survival, the medical achievements of the two expedition doctors have received little formal examination. Marooned on Elephant Island after the expedition ship sank, Drs. Macklin and McIlroy administered a chloroform anesthetic to crew member Perce Blackborow to amputate his frostbitten toes. As the saturated vapor pressure of chloroform at 0 degrees C is 71.5 mmHg and the minimum alveolar concentration is 0.5% of sea-level atmospheric pressure (3.8 mmHg), it would have been feasible to induce anesthesia at a low temperature. However, given the potentially lethal hazards of a light chloroform anesthetic, an adequate and constant depth of anesthesia was essential. The pharmacokinetics of the volatile anesthetic, administered via the open-drop technique in the frigid environment, would have been unfamiliar to the occasional anesthetist. To facilitate vaporization of the chloroform, the team burned penguin skins and seal blubber under overturned lifeboats to increase the ambient temperature from -0.5 degrees to 26.6 degrees C. Chloroform degrades with heat to chlorine and phosgene, but buildup of these poisonous gases did not occur due to venting of the confined space by the stove chimney. The anesthetic went well, and the patient-and all the ship's crew-survived to return home.</t>
  </si>
  <si>
    <t>[Firth, Paul G.] Massachusetts Gen Hosp, Dept Anesthesia Crit Care &amp; Pain Med, 55 Fruit St, Boston, MA 02114 USA</t>
  </si>
  <si>
    <t>Harvard University; Massachusetts General Hospital</t>
  </si>
  <si>
    <t>Firth, PG (corresponding author), Massachusetts Gen Hosp, Dept Anesthesia Crit Care &amp; Pain Med, 55 Fruit St, Boston, MA 02114 USA.</t>
  </si>
  <si>
    <t>pfirth@partners.org</t>
  </si>
  <si>
    <t>Firth, Paul/0000-0003-1909-5225</t>
  </si>
  <si>
    <t>LIPPINCOTT WILLIAMS &amp; WILKINS</t>
  </si>
  <si>
    <t>TWO COMMERCE SQ, 2001 MARKET ST, PHILADELPHIA, PA 19103 USA</t>
  </si>
  <si>
    <t>0003-3022</t>
  </si>
  <si>
    <t>1528-1175</t>
  </si>
  <si>
    <t>Anesthesiology</t>
  </si>
  <si>
    <t>10.1097/ALN.0000000000001151</t>
  </si>
  <si>
    <t>DY2JO</t>
  </si>
  <si>
    <t>WOS:000384919100014</t>
  </si>
  <si>
    <t>Dominello, T; Sirovic, A</t>
  </si>
  <si>
    <t>Dominello, Talia; Sirovic, Ana</t>
  </si>
  <si>
    <t>Seasonality of Antarctic minke whale (Balaenoptera bonaerensis) calls off the western Antarctic Peninsula</t>
  </si>
  <si>
    <t>passive acoustics; minke whale; Balaenoptera bonaerensis; western Antarctic Peninsula; bio-duck; vocalizations; seasonality</t>
  </si>
  <si>
    <t>NORTH PACIFIC; MEGAPTERA-NOVAEANGLIAE; SONGS; SEA; ABUNDANCE; BLUE</t>
  </si>
  <si>
    <t>The Antarctic minke whale (Balaenoptera bonaerensis) is a difficult species to study because of its low visual detectability and preference for living within the sea ice habitat, accessible only by ice-strengthened vessels. Recent identification of the Antarctic minke whale as the source of the seasonally ubiquitous bio-duck call has allowed the use of this sound, as well as downsweeps, to investigate seasonality trends and diel patterns in Antarctic minke whale call production, and their relationship to sea ice cover. Passive acoustic data were collected using an autonomous Acoustic Recording Package (ARP) off the western Antarctic Peninsula. Bio-duck calls were classified into four distinct call variants, with one variant having two subtypes. Bio-duck calls were detected between April and November, with increasing call duration during the austral winter, indicating a strong seasonality in call production. Downsweeps, which were also attributed to Antarctic minke whales, were present throughout most months during the recording period, with a peak in July, and an absence in March and April. Both bio-duck and downsweeps were significantly correlated with sea ice cover. No diel patterns were observed in bio-duck calls or in downsweep call production at this site.</t>
  </si>
  <si>
    <t>[Dominello, Talia; Sirovic, Ana] Univ Calif San Diego, Scripps Inst Oceanog, 9500 Gilman Dr, La Jolla, CA 92093 USA</t>
  </si>
  <si>
    <t>Dominello, T (corresponding author), Univ Calif San Diego, Scripps Inst Oceanog, 9500 Gilman Dr, La Jolla, CA 92093 USA.</t>
  </si>
  <si>
    <t>tdominello@gmail.com</t>
  </si>
  <si>
    <t>Sirovic, Ana/0000-0001-5097-1268</t>
  </si>
  <si>
    <t>NSF Office of Polar Programs [OPP 99-10007]</t>
  </si>
  <si>
    <t>NSF Office of Polar Programs(National Science Foundation (NSF))</t>
  </si>
  <si>
    <t>The data collection was supported by NSF Office of Polar Programs grant OPP 99-10007 as part of the SO GLOBEC program. We would like to acknowledge the assistance of Raytheon Polar Services marine and science support personnel, the Masters, Officers and crew of ASRV L. M. Gould during LMG02-01A and LMG03-02. We also acknowledge the National Snow and Ice Data Center for the processing and distribution of sea ice concentration data.</t>
  </si>
  <si>
    <t>10.1111/mms.12302</t>
  </si>
  <si>
    <t>DY3PT</t>
  </si>
  <si>
    <t>WOS:000385006800002</t>
  </si>
  <si>
    <t>Hasegawa, K; Kato, A; Watanabe, T; Takagi, W; Romero, MF; Bell, JD; Toop, T; Donald, JA; Hyodo, S</t>
  </si>
  <si>
    <t>Hasegawa, Kumi; Kato, Akira; Watanabe, Taro; Takagi, Wataru; Romero, Michael F.; Bell, Justin D.; Toop, Tes; Donald, John A.; Hyodo, Susumu</t>
  </si>
  <si>
    <t>Sulfate transporters involved in sulfate secretion in the kidney are localized in the renal proximal tubule II of the elephant fish (Callorhinchus milii)</t>
  </si>
  <si>
    <t>cartilaginous fish; kidney; sulfate transporter; secretion; elephant fish</t>
  </si>
  <si>
    <t>INTRACELLULAR CHLORIDE ACTIVITY; MARINE TELEOST FISH; ANION-EXCHANGER; RAT-KIDNEY; FUNCTIONAL-CHARACTERIZATION; BASOLATERAL MEMBRANE; MOLECULAR PHYSIOLOGY; CARBONIC-ANHYDRASE; SLC26 TRANSPORTERS; BODY-FLUIDS</t>
  </si>
  <si>
    <t>Most vertebrates, including cartilaginous fishes, maintain their plasma SO42- concentration ([SO42-]) within a narrow range of 0.2-1 mM. As seawater has a [SO42-] about 40 times higher than that of the plasma, SO42- excretion is the major role of kidneys in marine teleost fishes. It has been suggested that cartilaginous fishes also excrete excess SO42- via the kidney. However, little is known about the underlying mechanisms for SO42- transport in cartilaginous fish, largely due to the extraordinarily elaborate four-loop configuration of the nephron, which consists of at least 10 morphologically distinguishable segments. In the present study, we determined cDNA sequences from the kidney of holocephalan elephant fish (Callorhinchus milii) that encoded solute carrier family 26 member 1 (Slc26a1) and member 6 (Slc26a6), which are SO42- transporters that are expressed in mammalian and teleost kidneys. Elephant fish Slc26a1 (cmSlc26a1) and cmSlc26a6 mRNAs were coexpressed in the proximal II (PII) segment of the nephron, which comprises the second loop in the sinus zone. Functional analyses using Xenopus oocytes and the results of immunohistochemistry revealed that cmSlc26a1 is a basolaterally located electroneutral SO42- transporter, while cmSlc26a6 is an apically located, electrogenic Cl- /SO42- exchanger. In addition, we found that both cmSlc26a1 and cmSlc26a6 were abundantly expressed in the kidney of embryos; SO42- was concentrated in a bladder-like structure of elephant fish embryos. Our results demonstrated that the PII segment of the nephron contributes to the secretion of excess SO42- by the kidney of elephant fish. Possible mechanisms for SO42- secretion in the PII segment are discussed.</t>
  </si>
  <si>
    <t>[Hasegawa, Kumi; Watanabe, Taro; Takagi, Wataru; Hyodo, Susumu] Univ Tokyo, Atmosphere &amp; Ocean Res Inst, Physiol Lab, 5-1-5 Kashiwanoha, Kashiwa, Chiba 2778564, Japan; [Kato, Akira] Tokyo Inst Technol, Ctr Biol Resources &amp; Informat, Yokohama, Kanagawa, Japan; [Kato, Akira] Tokyo Inst Technol, Dept Biol Sci, Yokohama, Kanagawa, Japan; [Takagi, Wataru] RIKEN, Ctr Life Sci &amp; Technol, Evolutionary Morphol Lab, Kobe, Hyogo, Japan; [Kato, Akira; Romero, Michael F.] Mayo Clin, Coll Med, Dept Physiol, Rochester, MN USA; [Kato, Akira; Romero, Michael F.] Mayo Clin, Coll Med, Dept Biomed Engn, Rochester, MN USA; [Kato, Akira; Romero, Michael F.] Mayo Clin, Coll Med, Dept Nephrol, Rochester, MN USA; [Kato, Akira; Romero, Michael F.] Mayo Clin, Coll Med, Dept Hypertens, Rochester, MN USA; [Bell, Justin D.; Toop, Tes; Donald, John A.] Deakin Univ, Sch Life &amp; Environm Sci, Geelong, Vic, Australia; [Bell, Justin D.] Univ Tasmania, Inst Marine &amp; Antarctic Studies, Taroona, Tas, Australia</t>
  </si>
  <si>
    <t>University of Tokyo; Tokyo Institute of Technology; Tokyo Institute of Technology; RIKEN; Mayo Clinic; Mayo Clinic; Mayo Clinic; Mayo Clinic; Deakin University; University of Tasmania</t>
  </si>
  <si>
    <t>Hasegawa, K (corresponding author), Univ Tokyo, Atmosphere &amp; Ocean Res Inst, Physiol Lab, 5-1-5 Kashiwanoha, Kashiwa, Chiba 2778564, Japan.</t>
  </si>
  <si>
    <t>hase0421kumi@aori.u-tokyo.ac.jp</t>
  </si>
  <si>
    <t>Takagi, Wataru/ISS-5569-2023; Takagi, Wataru/C-5377-2017; Kato, Akira/JBJ-6310-2023; Takagi, Wataru/N-7627-2019; Kato, Akira/E-6328-2010; Donald, John/B-4656-2012</t>
  </si>
  <si>
    <t>Takagi, Wataru/0000-0002-7882-0223; Takagi, Wataru/0000-0002-7882-0223; Romero, Michael F/0000-0002-1555-7835; Hyodo, Susumu/0000-0001-8146-2386; Kato, Akira/0000-0002-9083-1443; Donald, John/0000-0001-5930-2642</t>
  </si>
  <si>
    <t>Japan Society for the Promotion of Science (JSPS) [26291065, 26650110, 10034011-000062, 13039901-000237]; JSPS [26292113]; National Institutes of Health [DK-092408]; Grants-in-Aid for Scientific Research [26291065, 15J08671, 15H04534, 26292113, 16K14766, 16H04812] Funding Source: KAKEN</t>
  </si>
  <si>
    <t>Japan Society for the Promotion of Science (JSPS)(Ministry of Education, Culture, Sports, Science and Technology, Japan (MEXT)Japan Society for the Promotion of Science); JSPS(Ministry of Education, Culture, Sports, Science and Technology, Japan (MEXT)Japan Society for the Promotion of Science); National Institutes of Health(United States Department of Health &amp; Human ServicesNational Institutes of Health (NIH) - USA); Grants-in-Aid for Scientific Research(Ministry of Education, Culture, Sports, Science and Technology, Japan (MEXT)Japan Society for the Promotion of ScienceGrants-in-Aid for Scientific Research (KAKENHI))</t>
  </si>
  <si>
    <t>This study was supported by Grant-in-Aid for Scientific Research (B) (Grant 26291065) and for Challenging Exploratory Research (Grant 26650110), and a Japan-Australia Research Cooperative Program (References 10034011-000062 and 13039901-000237) from the Japan Society for the Promotion of Science (JSPS) to S. Hyodo, Grant-in-Aid for Scientific Research (B) (Grant 26292113) from JSPS to A. Kato, and the National Institutes of Health (Grant DK-092408) to M. F. Romero.</t>
  </si>
  <si>
    <t>JUL 1</t>
  </si>
  <si>
    <t>R66</t>
  </si>
  <si>
    <t>R78</t>
  </si>
  <si>
    <t>10.1152/ajpregu.00477.2015</t>
  </si>
  <si>
    <t>DY0DT</t>
  </si>
  <si>
    <t>WOS:000384767900010</t>
  </si>
  <si>
    <t>Paulsen, TS; Deering, C; Sliwinski, J; Bachmann, O; Guillong, M</t>
  </si>
  <si>
    <t>Paulsen, T. S.; Deering, C.; Sliwinski, J.; Bachmann, O.; Guillong, M.</t>
  </si>
  <si>
    <t>Detrital zircon ages from the Ross Supergroup, north Victoria Land, Antarctica: Implications for the tectonostratigraphic evolution of the Pacific-Gondwana margin</t>
  </si>
  <si>
    <t>Ross orogen; Detrital zircon; Terrane; Metamorphism; Antarctica</t>
  </si>
  <si>
    <t>CENTRAL TRANSANTARCTIC MOUNTAINS; U-TH-PB; PALEOZOIC SILICICLASTIC ROCKS; LACHLAN FOLD BELT; MARIE BYRD LAND; GLACIER AREA; LANTERMAN RANGE; SOUTHEASTERN AUSTRALIA; DELAMERIAN OROGENY; TECTONIC EVOLUTION</t>
  </si>
  <si>
    <t>We present new U-Pb isotopic age data for detrital zircons from 16 deformed sandstones of the Ross Supergroup in north Victoria Land, Antarctica. Zircon U/Th ratios primarily point to dominantly igneous parent rocks with subordinate contributions from metamorphic sources. Comparative analysis of detrital zircon age populations indicates that inboard stratigraphic successions (Wilson Terrane) and those located outboard of the East Antarctic craton (the Bowers and Robertson Bay terranes) have similar similar to 1200-950 Ma (Mesoproterozoic-Neoproterozoic) and similar to 700-490 Ma (late Neoproterozoic-Cambrian, Furongian) age populations. The affinity of the age populations of the sandstones to each other, as well as Gondwana sources and Pacific-Gondwana marginal stratigraphic belts, challenges the notion that the outboard successions form exotic terranes that docked with Gondwana during the Ross orogeny and instead places the terranes in proximity to each other and within the peri-Gondwana realm during the late Neoproterozoic to Cambrian. The cumulative zircon age suite from north Victoria Land yields a polymodal age spectra with a younger, primary 700-480 Ma age population that peaks at similar to 580 Ma. Cumulative analysis of zircons with elevated U/Th ratios (&gt;20) indicating metamorphic heritage yield similar to 657-532 Ma age probability peaks, which overlap with the younger dominantly igneous zircon population. The data are interpreted to give important new evidence that is consistent with ongoing convergent arc magmatism by similar to 626 Ma, which provided the dominant zircon-rich igneous rocks and subordinate metamorphic rocks. Maximum depositional ages as young as similar to 493-481 Ma yielded by deformed sequences in the outboard Bowers and Robertson Bay terrane samples provide new support for late Cambrian to Ordovician deformation in outboard sectors of the orogen, consistent with tectonic models that call for cyclic phases of contraction along the north Victoria Land sector of the Ross-Delamerian orogen. (C) 2016 International Association for Gondwana Research. Published by Elsevier B.V. All rights reserved.</t>
  </si>
  <si>
    <t>[Paulsen, T. S.] Univ Wisconsin, Dept Geol, Oshkosh, WI 54901 USA; [Deering, C.] Michigan Technol Univ, Dept Geol &amp; Min Engn &amp; Sci, Houghton, MI 49931 USA; [Sliwinski, J.; Bachmann, O.; Guillong, M.] ETH, Dept Earth Sci, Inst Geochem &amp; Petrol, CH-8092 Zurich, Switzerland</t>
  </si>
  <si>
    <t>University of Wisconsin System; Michigan Technological University; Swiss Federal Institutes of Technology Domain; ETH Zurich</t>
  </si>
  <si>
    <t>Paulsen, TS (corresponding author), Univ Wisconsin, Dept Geol, Oshkosh, WI 54901 USA.</t>
  </si>
  <si>
    <t>paulsen@uwosh.edu</t>
  </si>
  <si>
    <t>Sliwinski, Jakub/AAX-5307-2021; Guillong, Marcel/F-8527-2015</t>
  </si>
  <si>
    <t>Sliwinski, Jakub/0000-0003-3069-9978; Guillong, Marcel/0000-0002-6920-3362; Bachmann, Olivier/0000-0003-2952-3465</t>
  </si>
  <si>
    <t>Scientific Center for Optical and Electron Microscopy ScopeM of the Swiss Federal Institute of Technology ETHZ; Faculty Development Program at the University of Wisconsin Oshkosh; Edward M. Penson Endowed Professorship; Directorate For Geosciences; Division Of Earth Sciences [1338583] Funding Source: National Science Foundation; Directorate For Geosciences; Office of Polar Programs (OPP) [1141906] Funding Source: National Science Foundation</t>
  </si>
  <si>
    <t>Scientific Center for Optical and Electron Microscopy ScopeM of the Swiss Federal Institute of Technology ETHZ; Faculty Development Program at the University of Wisconsin Oshkosh; Edward M. Penson Endowed Professorship; Directorate For Geosciences; Division Of Earth Sciences(National Science Foundation (NSF)NSF - Directorate for Geosciences (GEO)); Directorate For Geosciences; Office of Polar Programs (OPP)(National Science Foundation (NSF)NSF - Directorate for Geosciences (GEO))</t>
  </si>
  <si>
    <t>We thank Alan Cooper, an anonymous reviewer, and Christie Demosthenous for helpful reviews that clarified drafts of this manuscript. We would like to thank Juliana Troch and Tilman Jeske for assisting in mineral separation and sample preparation. This research used rock samples provided by the Polar Rock Repository and New Zealand PETLAB rock collections. We thank John Simes for help in our effort to locate available samples for analyses, as well as Thomas Wright for the Handler Formation samples analyzed in this work. The authors acknowledge support of the Scientific Center for Optical and Electron Microscopy ScopeM of the Swiss Federal Institute of Technology ETHZ, the Faculty Development Program at the University of Wisconsin Oshkosh, and the Edward M. Penson Endowed Professorship to T. Paulsen.</t>
  </si>
  <si>
    <t>10.1016/j.gr.2016.04.001</t>
  </si>
  <si>
    <t>DX9GU</t>
  </si>
  <si>
    <t>WOS:000384702400006</t>
  </si>
  <si>
    <t>Watson, SJ; Whittaker, JM; Halpin, JA; Williams, SE; Milan, LA; Daczko, NR; Wyman, DA</t>
  </si>
  <si>
    <t>Watson, S. J.; Whittaker, J. M.; Halpin, J. A.; Williams, S. E.; Milan, L. A.; Daczko, N. R.; Wyman, D. A.</t>
  </si>
  <si>
    <t>Tectonic drivers and the influence of the Kerguelen plume on seafloor spreading during formation of the early Indian Ocean</t>
  </si>
  <si>
    <t>Extinct ridge; Plate motion; Kerguelen; Trace geochemistry; East Gondwana; Dirck Hartog Ridge</t>
  </si>
  <si>
    <t>RIDGE-HOTSPOT INTERACTIONS; LARGE IGNEOUS PROVINCE; PLATE MOTIONS; BROKEN RIDGE; GEOCHEMICAL CHARACTERISTICS; NATURALISTE PLATEAU; CRUSTAL STRUCTURE; PHOENIX RIDGE; DRAKE PASSAGE; ORIGIN</t>
  </si>
  <si>
    <t>The Perth Abyssal Plain (PAP), located offshore southwest Australia, formed at the centre of Mesozoic East Gondwana breakup and Kerguelen plume activity. Despite its importance as a direct and relatively undisturbed recorder of this early spreading history, sparse geophysical data sets and lack of geological sampling hamper our understanding of the evolution of the PAP. This study combines new bathymetric profiles across the PAP with petrographic and geochemical data from the first samples ever to be dredged from the flanks of the Dirck Hartog Ridge (DHR), a prominent linear bathymetric feature in the central PAP, to better constrain the formation of the early Indian Ocean floor and the influence of the Kerguelen plume. Seafloor spreading in the PAP initiated at similar to 136 Ma with spreading observed to occur at (half) rates of similar to 35 mm/yr. Changes in spreading rate are difficult to discern after the onset of the Cretaceous Quiet Zone at similar to 120 Ma, but an increase in seafloor roughness towards the centre of the PAP likely resulted from a half-spreading rate decrease from 35 mm/yr (based on magnetic reversals) to similar to 24 mm/yr at similar to 114 Ma. Exhumed gabbro dredged from the southernmost dredge site of the DHR supports a further slowdown of spreading immediately prior to full cessation at similar to 102 Ma. The DHR exhibits a high relief ridge axis and distinctive asymmetry that is unusual compared to most active or extinct spreading centres. The composition of mafic volcanic samples varies along the DHR, from sub-alkaline dolerites with incompatible element concentrations most similar to depleted-to-normal mid-ocean ridge basalts in the south, to alkali basalts similar to ocean island basalts in the north. Therefore, magma sources and degrees of partial melting varied in space and time. It is likely that the alkali basalts are a manifestation of later excess volcanism, subsequent to or during the cessation of spreading. In this case, enriched signatures may be attributed tectonic drivers and melting of a heterogeneous mantle, or to an episodic influence of the Kerguelen plume over distances greater than 1000 km. We also investigate possible scenarios to explain how lower crustal rocks were emplaced at the crest of the southern DHR. Our results demonstrate the significance of regional tectonic plate motions on the formation and deformation of young ocean crust, and provide insight into the unique DHR morphology. (C) 2016 International Association for Gondwana Research. Published by Elsevier B.V. All rights reserved.</t>
  </si>
  <si>
    <t>[Watson, S. J.; Whittaker, J. M.; Halpin, J. A.] Univ Tasmania, Inst Marine &amp; Antarctic Studies, Private Bag 129, Hobart, Tas 7001, Australia; [Halpin, J. A.] Univ Tasmania, Sch Phys Sci, ARC Ctr Excellence Ore Deposits CODES, Private Bag 79, Hobart, Tas 7001, Australia; [Williams, S. E.; Wyman, D. A.] Univ Sydney, Sch Geosci, Earthbyte Grp, Sydney, NSW 2006, Australia; [Milan, L. A.] Univ New England, Sch Environm &amp; Rural Sci, Div Earth Sci, Armidale, NSW 2351, Australia; [Daczko, N. R.] Macquarie Univ, Dept Earth &amp; Planetary Sci, Sydney, NSW 2109, Australia</t>
  </si>
  <si>
    <t>University of Tasmania; University of Tasmania; University of Sydney; University of New England; Macquarie University</t>
  </si>
  <si>
    <t>Watson, SJ (corresponding author), Univ Tasmania, Inst Marine &amp; Antarctic Studies, Private Bag 129, Hobart, Tas 7001, Australia.</t>
  </si>
  <si>
    <t>sally.watson@utas.edu.au</t>
  </si>
  <si>
    <t>Halpin, Jacqueline A/A-3776-2014; Milan, Luke/IXW-9916-2023; Whittaker, Joanne/B-3695-2010</t>
  </si>
  <si>
    <t>Halpin, Jacqueline A/0000-0002-4992-8681; Milan, Luke/0000-0003-3996-0992; Daczko, Nathan/0000-0002-3737-3818; Wyman, Derek/0000-0003-0533-1717; Watson, Sally/0000-0002-3666-5034; Williams, Simon/0000-0003-4670-8883; Whittaker, Joanne/0000-0002-3170-3935</t>
  </si>
  <si>
    <t>Statoil; University of New England [A14/1876]; Australian Research Council [DE140100376]; Australian Research Council's Special Research Initiative for Antarctic Gateway Partnership [SR140300001]; Australian Research Council [DE140100376] Funding Source: Australian Research Council</t>
  </si>
  <si>
    <t>Statoil; University of New England; Australian Research Council(Australian Research Council); Australian Research Council's Special Research Initiative for Antarctic Gateway Partnership(Australian Research Council); Australian Research Council(Australian Research Council)</t>
  </si>
  <si>
    <t>We are grateful to Dr. Roland Maas, Alan Greig (School of Earth Sciences, University of Melbourne), Alexander Cuison, and Katie and Peter McGoldrick (School of Earth Sciences, University of Tasmania) for their knowledge, assistance, and expertise in geochemical preparation and analyses. We thank Fred Frey and an anonymous reviewer for their constructive comments that greatly improved this paper. This work was only possible with the support of the crew and scientific party aboard voyage SS2011_V06 of Australia's Marine National Facility, R/V Southern Surveyor. We also thank Statoil for providing additional financial support to for this voyage. Finances for geochemical analyses undertaken in 2015 were supported by a University of New England 'seed grant' (A14/1876; 2015). J.W. was supported by Australian Research Council grant DE140100376. This research was supported under the Australian Research Council's Special Research Initiative for Antarctic Gateway Partnership (Project ID SR140300001).</t>
  </si>
  <si>
    <t>10.1016/j.gr.2016.03.009</t>
  </si>
  <si>
    <t>WOS:000384702400007</t>
  </si>
  <si>
    <t>Hu, JM; Ren, MH; Zhao, Y; Liu, XC; Chen, H</t>
  </si>
  <si>
    <t>Hu, Jianmin; Ren, Minghua; Zhao, Yue; Liu, Xiaochun; Chen, Hong</t>
  </si>
  <si>
    <t>Source region analyses of the morainal detritus from the Grove Mountains: Evidence from the subglacial geology of the Ediacaran-Cambrian Prydz Belt of East Antarctica</t>
  </si>
  <si>
    <t>Antarctica; Grove Mountains; Detrital zircon; U-Pb dating; Subglacial geology; High-pressure granulite</t>
  </si>
  <si>
    <t>PRINCE-CHARLES MOUNTAINS; T-T PATH; ECLOGITE-FACIES METAMORPHISM; HIGH-PRESSURE METAMORPHISM; HIGH-GRADE GNEISSES; PB ZIRCON AGES; U-PB; RAUER-GROUP; LANTERMAN RANGE; LARSEMANN HILLS</t>
  </si>
  <si>
    <t>The Grove Mountains are the inland exposures of the Prydz Belt in East Antarctica. Although the 550-500 Ma orogenic event was recognized as the latest major magmatic-metamorphic activity in the Prydz Belt, its subduction-collision origin was not confirmed until the discovery of high-pressure (HP) mafic granulite erratic boulders in the glacial moraines from the Grove Mountains. Because no HP metamorphic bedrock is exposed in this area, an understanding the regional geology required a thorough study of the morainal debris mineralogy and detrital zircon U-Pb chronology. Detrital zircon U-Pb age histograms show 550-450 Ma, 900-800 Ma, and 1100-1000 Ma modes from three morainal deposits and one paleosol samples. The oldest ages were 2300 to 2420 Ma. Detailed electron probe microanalyses (EPMA) for the detrital mineral grains were compared with the minerals from the nearby exposed bedrock. The mineral chemistry indicates that the exposed bedrock in the Grove Mountains was not the sole source for morainal materials. This new U-Pb zircon geochronology and microprobe mineral data support the previous interpretation that the 550-500 Ma tectonic activity was the final collisional event that formed the Prydz Belt and amalgamated East Antarctica. (C) 2015 International Association for Gondwana Research. Published by Elsevier B.V. All rights reserved.</t>
  </si>
  <si>
    <t>[Hu, Jianmin; Zhao, Yue; Liu, Xiaochun; Chen, Hong] Chinese Acad Geosci, Inst Geomech, Beijing 100081, Peoples R China; [Hu, Jianmin; Zhao, Yue; Liu, Xiaochun; Chen, Hong] Minist Land &amp; Resources, Key Lab Paleomagnetism &amp; Tecton Reconstruct, Beijing, Peoples R China; [Ren, Minghua] Univ Nevada, Dept Geosci, Las Vegas, NV 89154 USA</t>
  </si>
  <si>
    <t>China Geological Survey; Chinese Academy of Geological Sciences; Ministry of Natural Resources of the People's Republic of China; Nevada System of Higher Education (NSHE); University of Nevada Las Vegas</t>
  </si>
  <si>
    <t>Hu, JM (corresponding author), Chinese Acad Geosci, Inst Geomech, Beijing 100081, Peoples R China.</t>
  </si>
  <si>
    <t>Arctic and Antarctic Administration of China; National Natural Science Foundation of China [40872135]; Geological Investigation Project of the China Geological Survey [12120113019000, 1212010711509]; Chinese Polar Environment Comprehensive investigation AMP; Assessment Programmes [CHINARE2014-02-05]</t>
  </si>
  <si>
    <t>Arctic and Antarctic Administration of China; National Natural Science Foundation of China(National Natural Science Foundation of China (NSFC)); Geological Investigation Project of the China Geological Survey; Chinese Polar Environment Comprehensive investigation AMP; Assessment Programmes</t>
  </si>
  <si>
    <t>We would like to thank Yitai Ju, Yangting Lin, Xiao Cheng, Feixin Huang, Aimin Fang, Wenjun Peng, Mingrong Pan, Xiaobo Liu, Jinyan Li and Xiaxing Xu for assistance during the fieldwork and Hujun Gong for assistance with the LA-ICP-MS U-Pb zircon analyses. The fieldwork was completed during the 2005-2006 Chinese National Antarctic Research Expedition. Logistical and financial support by the Arctic and Antarctic Administration of China, the National Natural Science Foundation of China (No. 40872135), the Geological Investigation Project of the China Geological Survey (Nos. 12120113019000 and 1212010711509), and the Chinese Polar Environment Comprehensive investigation &amp; Assessment Programmes (No. CHINARE2014-02-05) are gratefully acknowledged. Comments from anonymous reviewers provided additional concepts for the local geology and the style of presenting our data. Their contributions and proof reading from Eugene Smith and Dan Miggins have greatly improved this manuscript.</t>
  </si>
  <si>
    <t>10.1016/j.gr.2015.04.010</t>
  </si>
  <si>
    <t>WOS:000384702400012</t>
  </si>
  <si>
    <t>Kernaléguen, L; Cherel, Y; Guinet, C; Arnould, JPY</t>
  </si>
  <si>
    <t>Kernaleguen, L.; Cherel, Y.; Guinet, C.; Arnould, J. P. Y.</t>
  </si>
  <si>
    <t>Mating success and body condition not related to foraging specializations in male fur seals</t>
  </si>
  <si>
    <t>Arctocephalus; diet; fitness payoff; reproductive success; stable isotopes; territorial males</t>
  </si>
  <si>
    <t>CARBON; DIET; PREY</t>
  </si>
  <si>
    <t>Individual specialization is widespread among wild populations. While its fitness consequences are central in predicting the ecological and evolutionary trajectories of populations, they remain poorly understood. Long-term individual foraging specializations occur in male Antarctic (Arctocephalus gazella) and Australian (A. pusillus doriferus) fur seals. Strong selective pressure is expected in these highly dimorphic and polygynous species, raising the question of the fitness payoffs associated with different foraging strategies. We investigated the relationship between individual isotopic niche (a proxy of foraging specialization), body size and condition, and an index of reproductive success (harem size) in territorial males. Individuals varied greatly in their skin and fur isotopic values reflecting a range of foraging strategies within the two populations. However, in both species, isotopic niche was not correlated to body size, condition or mating success (R-2 / p &lt; 0.06). Furthermore, no foraging niche was predominant in either species, which would have indicated a substantial long-term fitness benefit of a particular strategy via a higher survival rate. These results suggest that the fitness consequences of a foraging strategy depend not only on the quality of prey and feeding habitat but also on an individual's hunting efficiency and skills.</t>
  </si>
  <si>
    <t>[Kernaleguen, L.; Arnould, J. P. Y.] Deakin Univ, Sch Life &amp; Environm Sci, Geelong, Vic, Australia; [Kernaleguen, L.; Cherel, Y.; Guinet, C.] Univ La Rochelle, Ctr Etud Biol Chize, UMR 7372, CNRS, BP 14, F-79360 Villiers En Bois, France</t>
  </si>
  <si>
    <t>Deakin University; Centre National de la Recherche Scientifique (CNRS); CNRS - Institute of Ecology &amp; Environment (INEE); La Rochelle Universite</t>
  </si>
  <si>
    <t>Kernaléguen, L (corresponding author), Deakin Univ, Sch Life &amp; Environm Sci, Geelong, Vic, Australia.</t>
  </si>
  <si>
    <t>Guinet, Christophe/AAR-8457-2020</t>
  </si>
  <si>
    <t>Holsworth Wildlife Research Endowment; ANR-VMC IPSOS-SEAL; IPEV</t>
  </si>
  <si>
    <t>Holsworth Wildlife Research Endowment; ANR-VMC IPSOS-SEAL(Agence Nationale de la Recherche (ANR)); IPEV</t>
  </si>
  <si>
    <t>The research was financially supported by Holsworth Wildlife Research Endowment, ANR-VMC IPSOS-SEAL and IPEV.</t>
  </si>
  <si>
    <t>10.1098/rsos.160143</t>
  </si>
  <si>
    <t>DX5HB</t>
  </si>
  <si>
    <t>WOS:000384409400008</t>
  </si>
  <si>
    <t>Tsuji, M</t>
  </si>
  <si>
    <t>Tsuji, Masaharu</t>
  </si>
  <si>
    <t>Cold-stress responses in the Antarctic basidiomycetous yeast Mrakia blollopis</t>
  </si>
  <si>
    <t>cold stress; basidiomycetous yeast; metabolite response; capillary electrophoresis-time-of-flight mass spectrometry; Mrakia blollopis</t>
  </si>
  <si>
    <t>ICE-FREE AREA; SACCHAROMYCES-CEREVISIAE; S-ADENOSYLMETHIONINE; ADAPTATION; TEMPERATURE; GROWTH; SHOCK; SOIL; SVALBARD</t>
  </si>
  <si>
    <t>Microbes growing at subzero temperatures encounter numerous growth constraints. However, fungi that inhabit cold environments can grow and decompose organic compounds under subzero temperatures. Thus, understanding the cold-adaptation strategies of fungi under extreme environments is critical for elucidating polar-region ecosystems. Here, I report that two strains of the Antarctic basidiomycetous yeast Mrakia blollopis exhibited distinct growth characteristics under subzero conditions: SK-4 grew efficiently, whereas TKG1-2 did not. I analysed the metabolite responses elicited by cold stress in these two M. blollopis strains by using capillary electrophoresis-time-of-flight mass spectrometry. M. blollopis SK-4, which grew well under subzero temperatures, accumulated high levels of TCA-cycle metabolites, lactic acid, aromatic amino acids and polyamines in response to cold shock. Polyamines are recognized to function in cell-growth and developmental processes, and aromatic amino acids are also known to improve cell growth at low temperatures. By contrast, in TKG1-2, which did not grow efficiently, cold stress strongly induced the metabolites of the TCA cycle, but other metabolites were not highly accumulated in the cell. Thus, these differences in metabolite responses could contribute to the distinct abilities of SK-4 and TKG1-2 cells to grow under subzero temperature conditions.</t>
  </si>
  <si>
    <t>[Tsuji, Masaharu] Natl Inst Polar Res, 10-3 Midori Cho, Tachikawa, Tokyo, Japan</t>
  </si>
  <si>
    <t>Research Organization of Information &amp; Systems (ROIS); National Institute of Polar Research (NIPR) - Japan</t>
  </si>
  <si>
    <t>Tsuji, M (corresponding author), Natl Inst Polar Res, 10-3 Midori Cho, Tachikawa, Tokyo, Japan.</t>
  </si>
  <si>
    <t>spindletuber@gmail.com</t>
  </si>
  <si>
    <t>Tsuji, Masaharu/M-6609-2019</t>
  </si>
  <si>
    <t>Tsuji, Masaharu/0000-0002-9375-7998</t>
  </si>
  <si>
    <t>JSPS [15H06825]; NIPR; Research Organization of Information and Systems, Japan (ROIS); [16H06211]; Grants-in-Aid for Scientific Research [16H06211, 16K12643, 15H06825] Funding Source: KAKEN</t>
  </si>
  <si>
    <t>JSPS(Ministry of Education, Culture, Sports, Science and Technology, Japan (MEXT)Japan Society for the Promotion of Science); NIPR(National Institute of Polar Research (NIPR) - Japan); Research Organization of Information and Systems, Japan (ROIS); ; Grants-in-Aid for Scientific Research(Ministry of Education, Culture, Sports, Science and Technology, Japan (MEXT)Japan Society for the Promotion of ScienceGrants-in-Aid for Scientific Research (KAKENHI))</t>
  </si>
  <si>
    <t>This work was supported by a JSPS Grant-in-Aid for Research Activity Start-up grant (No. 15H06825), Young Scientists (A) (no. 16H06211) and a Research Organization of Information and Systems, Japan (ROIS), grant for Young Scientists. The preparation of this paper was also supported by an NIPR publication subsidy.</t>
  </si>
  <si>
    <t>10.1098/rsos.160106</t>
  </si>
  <si>
    <t>WOS:000384409400005</t>
  </si>
  <si>
    <t>Garrido-Benavent, I; Sochting, U; Murillo, AD; Pérez-Ortega, S</t>
  </si>
  <si>
    <t>Garrido-Benavent, Isaac; Sochting, Ulrik; de los Rios Murillo, Asuncion; Perez-Ortega, Sergio</t>
  </si>
  <si>
    <t>Shackletonia cryodesertorum (Teloschistaceae, Ascomycota), a new species from the McMurdo Dry Valleys (Antarctica) with notes on the biogeography of the genus Shackletonia</t>
  </si>
  <si>
    <t>MYCOLOGICAL PROGRESS</t>
  </si>
  <si>
    <t>Phylogenetic analysis; Divergence estimates; Cenozoic; Glaciation; Lichen metabolites; Trebouxia</t>
  </si>
  <si>
    <t>LICHENIZED ASCOMYCOTA; MAXIMUM-LIKELIHOOD; RIBOSOMAL DNA; CALOPLACA; DIVERSITY; AMPLIFICATION; FAMILY; MAFFT; PARMELIACEAE; PERFORMANCE</t>
  </si>
  <si>
    <t>A new species of Shackletonia (Teloschistaceae) is described from the McMurdo Dry Valleys in Antarctica, one of the regions with the harshest conditions on Earth. Distinctive traits of the new taxon are the grey thallus, its black lecideine apothecia with a dark greenish blue exterior side of the exciple, Lecidea green pigment present at the cortex and exciple, emodin-dominated anthraquinones only in epithecium, and spores on average 11.2 x 6.0 mu m with 3.6 mu m wide septum. New chemical data from HPLC analyses further supports the uniqueness of the genus Shackletonia regarding secondary metabolite production within subfamily Xanthorioideae. Using three molecular markers (nrITS, nuLSU, and mtSSU) we found the new species sister to S. sauronii, a species so far known only from Livingston Island (Antarctica). Using secondary calibrations we inferred a long-time evolution of Shackletonia in the Southern Hemisphere, which separated from the remaining lineages of Xanthorioideae between the late Cretaceous and the early Paleogene, and diversified during the late Paleocene and early Oligocene.</t>
  </si>
  <si>
    <t>[Garrido-Benavent, Isaac; de los Rios Murillo, Asuncion; Perez-Ortega, Sergio] CSIC, Natl Museum Nat Sci, Dept Biogeochem &amp; Microbial Ecol, Microbial Ecol &amp; Geomicrobiol Res Grp, C Serrano 115 Bis, Madrid, Spain; [Sochting, Ulrik] Univ Copenhagen, Dept Biol, Sect Ecol &amp; Evolut, Univ Pk 15, DK-2100 Copenhagen K, Denmark; [Perez-Ortega, Sergio] CSIC, Royal Bot Garden, Plaza Murillo 2, E-28014 Madrid, Spain</t>
  </si>
  <si>
    <t>Consejo Superior de Investigaciones Cientificas (CSIC); University of Copenhagen; Consejo Superior de Investigaciones Cientificas (CSIC); CSIC - Real Jardin Botanico de Madrid</t>
  </si>
  <si>
    <t>Garrido-Benavent, I (corresponding author), CSIC, Natl Museum Nat Sci, Dept Biogeochem &amp; Microbial Ecol, Microbial Ecol &amp; Geomicrobiol Res Grp, C Serrano 115 Bis, Madrid, Spain.</t>
  </si>
  <si>
    <t>igbenavent@mncn.csic.es</t>
  </si>
  <si>
    <t>Garrido-Benavent, Isaac/AAA-1982-2020; de los Rios, Asuncion/L-3694-2014; Perez-Ortega, Sergio/G-1257-2016; Sochting, Ulrik/M-2886-2014</t>
  </si>
  <si>
    <t>Garrido-Benavent, Isaac/0000-0002-5230-225X; de los Rios, Asuncion/0000-0002-0266-3516; Perez-Ortega, Sergio/0000-0002-5411-3698; Sochting, Ulrik/0000-0001-7122-9425</t>
  </si>
  <si>
    <t>European Community [DK-TAF-3064]; Spanish Economy and Competitiveness Ministry [CTM2012-38222-C02-02, FPU AP2012-3556, RYC-2014-16784]; New Zealand Antarctic Program; University of Waikato Antarctic Research Program</t>
  </si>
  <si>
    <t>European Community; Spanish Economy and Competitiveness Ministry(Spanish Government); New Zealand Antarctic Program; University of Waikato Antarctic Research Program</t>
  </si>
  <si>
    <t>This work was made possible due to a SYNTHESYS scholarship, which is financed by the European Community Research Infrastructure Action (http://www.synthesys.info/), to the University of Copenhagen (DK-TAF-3064) to the first author. The study was also supported by the Spanish Economy and Competitiveness Ministry grants CTM2012-38222-C02-02 and FPU AP2012-3556. SPO is supported by the grant RYC-2014-16784 from the Spanish Economy and Competitiveness Ministry. We are also grateful to T.G.A. Green, the New Zealand Antarctic Program, and the University of Waikato Antarctic Research Program by arranging and funding the expedition to Dry Valleys in which lichen samples were collected.</t>
  </si>
  <si>
    <t>1617-416X</t>
  </si>
  <si>
    <t>1861-8952</t>
  </si>
  <si>
    <t>MYCOL PROG</t>
  </si>
  <si>
    <t>Mycol. Prog.</t>
  </si>
  <si>
    <t>10.1007/s11557-016-1204-x</t>
  </si>
  <si>
    <t>DX4ES</t>
  </si>
  <si>
    <t>WOS:000384334600004</t>
  </si>
  <si>
    <t>Li, ZC; Cassar, N; Huang, K; Ducklow, H; Schofield, O</t>
  </si>
  <si>
    <t>Li, Zuchuan; Cassar, Nicolas; Huang, Kuan; Ducklow, Hugh; Schofield, Oscar</t>
  </si>
  <si>
    <t>Interannual variability in net community production at the Western Antarctic Peninsula region (1997-2014)</t>
  </si>
  <si>
    <t>net community production; sea-ice dynamics; Western Antarctic Peninsula</t>
  </si>
  <si>
    <t>ICE ZONE WEST; SOUTHERN-OCEAN; SEA-ICE; CLIMATE-CHANGE; SPATIOTEMPORAL VARIABILITY; PHYTOPLANKTON BIOMASS; BIOLOGICAL PRODUCTION; EXPORT PRODUCTION; MARINE ECOSYSTEM; COASTAL WATERS</t>
  </si>
  <si>
    <t>In this study, we examined the interannual variability of net community production (NCP) in the Western Antarctic Peninsula (WAP) using in situ O-2/Ar-NCP estimates (2008-2014) and satellite data (SeaWiFS and MODIS-Aqua) from 1997 to 2014. We found that NCP generally first peaks offshore and follows sea-ice retreat from offshore to inshore. Annually integrated NCP (ANCP) displays an onshore-to-offshore gradient, with coastal and shelf regions up to 8 times more productive than offshore regions. We examined potential drivers of interannual variability in the ANCP using an Empirical Orthogonal Function (EOF) analysis. The EOF's first mode explains approximate to 50% of the variance, with high interannual variability observed seaward of the shelf break. The first principal component is significantly correlated with the day of sea-ice retreat (R=-0.58, p&lt;0.05), as well as the Southern Annular Mode (SAM) and El Nino Southern Oscillation (ENSO) climate indices in austral spring. Although the most obvious pathway by which the day of sea-ice retreat influences NCP is by controlling light availability early in the growing season, we found that the effect of day of sea-ice retreat on NCP persists throughout the growing season, suggesting that additional controls, such as iron availability, are preconditioned or correlated to the day of sea-ice retreat.</t>
  </si>
  <si>
    <t>[Li, Zuchuan; Cassar, Nicolas; Huang, Kuan] Duke Univ, Nicholas Sch Environm, Div Earth &amp; Ocean Sci, Durham, NC 27708 USA; [Huang, Kuan] Picarro Inc, Santa Clara, CA USA; [Ducklow, Hugh] Columbia Univ, Lamont Doherty Earth Observ, Palisades, NY USA; [Schofield, Oscar] Rutgers State Univ, Sch Environm &amp; Biol Sci, Inst Marine &amp; Coastal Sci, New Brunswick, NJ USA</t>
  </si>
  <si>
    <t>Duke University; Columbia University; Rutgers University System; Rutgers University New Brunswick</t>
  </si>
  <si>
    <t>Li, ZC (corresponding author), Duke Univ, Nicholas Sch Environm, Div Earth &amp; Ocean Sci, Durham, NC 27708 USA.</t>
  </si>
  <si>
    <t>zuchuan.li@duke.edu</t>
  </si>
  <si>
    <t>Cassar, Nicolas/B-4260-2011; Schofield, Oscar/H-4169-2018</t>
  </si>
  <si>
    <t>Schofield, Oscar/0000-0003-2359-4131</t>
  </si>
  <si>
    <t>NASA Earth and Space Science Fellowship [NNX13AN85H]; NSF [OPP-1043339, OPP-9632763, 0217282, 0823101, 1440435]; Directorate For Geosciences; Office of Polar Programs (OPP) [0217282, 1440435] Funding Source: National Science Foundation; NASA [NNX13AN85H, 468590] Funding Source: Federal RePORTER</t>
  </si>
  <si>
    <t>NASA Earth and Space Science Fellowship; NSF(National Science Foundation (NSF)); Directorate For Geosciences; Office of Polar Programs (OPP)(National Science Foundation (NSF)NSF - Directorate for Geosciences (GEO)); NASA(National Aeronautics &amp; Space Administration (NASA))</t>
  </si>
  <si>
    <t>This study was supported by a NASA Earth and Space Science Fellowship (NNX13AN85H) to Z.L. and an NSF (OPP-1043339) grant to N.C. In situ data collection was supported by NSF awards OPP-9632763 to R.C. Smith (University of California at Santa Barbara) and 0217282, 0823101, and 1440435 to H. Ducklow. The authors acknowledge NASA GSFC SeaWiFS and MODIS-Aqua data products. The authors also thank S. Wang (Duke) and two anonymous reviewers whose valuable comments have greatly improved the manuscript. In situ measurements were downloaded from http://pal.lternet.edu/. Ocean-color data were downloaded from http://oceancolor.gsfc.nasa.gov/. The 1997-2012 SMMR-SSM/I sea-ice concentration data set was downloaded from EOS Distributed Active Archive Center (DAAC) at the National Snow and Ice Data Center, University of Colorado in Boulder, Colorado (http://nsidc.org). Cross-Calibrated Multi-Platform (CCMP) ocean surface wind vectors were downloaded from https://podaac.jpl.nasa.gov/. AVHRR SST was downloaded from http://www.nodc.noaa.gov/SatelliteData/pathfinder4km/. Monthly Nino 3.4 and SAM indices were downloaded from https://iridl.ldeo.columbia.edu/ and http://www.nerc-bas.ac.uk/icd/gjma/sam.html, respectively.</t>
  </si>
  <si>
    <t>10.1002/2015JC011378</t>
  </si>
  <si>
    <t>DW2JK</t>
  </si>
  <si>
    <t>WOS:000383468500019</t>
  </si>
  <si>
    <t>Artana, C; Ferrari, R; Koenig, Z; Saraceno, M; Piola, AR; Provost, C</t>
  </si>
  <si>
    <t>Artana, Camila; Ferrari, Ramiro; Koenig, Zoe; Saraceno, Martin; Piola, Alberto R.; Provost, Christine</t>
  </si>
  <si>
    <t>Malvinas Current variability from Argo floats and satellite altimetry</t>
  </si>
  <si>
    <t>Malvinas Current; blocking; altimetry; eddies; dissipation; Argo floats</t>
  </si>
  <si>
    <t>ANTARCTIC CIRCUMPOLAR CURRENT; DRAKE PASSAGE; SOUTH-ATLANTIC; SOUTHWESTERN ATLANTIC; INTERMEDIATE; TRANSPORT; FRONTS; WATERS; EDDIES; CRUISE</t>
  </si>
  <si>
    <t>The Malvinas Current (MC) is an offshoot of the Antarctic Circumpolar Current (ACC). Downstream of Drake Passage, the northern fronts of the ACC veer northward, cross over the North Scotia Ridge (NSR) and the Malvinas Plateau, and enter the Argentine Basin. We investigate the variations of the MC circulation between the NSR and 41 degrees S and their possible relations with the ACC circulation using data from Argo floats and satellite altimetry. The data depict meandering and eddy shedding of the northern ACC jets as they cross the NSR. The altimetry fields show that these eddies are trapped, break down, and dissipate over the Malvinas Plateau, suggesting that this region is a hot spot for dissipation of mesoscale variability. Variations of sea level anomalies (SLA) across the NSR do not impact the MC further north, except for intra-seasonal variability associated with coastal trapped waves. Altimetry and float trajectories show events during which a large fraction of the MC is cut off from the ACC. Blocking events at around 48.5 degrees S are a recurrent feature of the MC circulation. Over the 23 year altimetry record, we detected 26 events during which the MC surface transport at 48.5 degrees S was reduced to less than half its long-term mean. Blocking events last from 10 to 35 days and do not present any significant trend. These events were tracked back to positive SLA that built up over the Argentine Abyssal Plain. Future work is needed to understand the processes responsible for these blocking events.</t>
  </si>
  <si>
    <t>[Artana, Camila; Koenig, Zoe; Provost, Christine] Univ Paris 06, Lab LOCEAN IPSL, Sorbonne Univ, CNRS,IRD,MNHN, Paris, France; [Ferrari, Ramiro] UBA, CONICET, CIMA, Buenos Aires, DF, Argentina; [Ferrari, Ramiro; Saraceno, Martin] UMI IFAECI 3351, Buenos Aires, DF, Argentina; [Saraceno, Martin] UBA, FCEN, CIMA, CONICET UBA DCAO, Buenos Aires, DF, Argentina; [Piola, Alberto R.] UBA, FCEN, DCAO, Serv Hidrog Naval,Dept Oceanog, Buenos Aires, DF, Argentina; [Piola, Alberto R.] Consejo Nacl Invest Cient &amp; Tecn, UMI IFAECI 3351, Buenos Aires, DF, Argentina</t>
  </si>
  <si>
    <t>Centre National de la Recherche Scientifique (CNRS); Museum National d'Histoire Naturelle (MNHN); Sorbonne Universite; Institut de Recherche pour le Developpement (IRD); Consejo Nacional de Investigaciones Cientificas y Tecnicas (CONICET); University of Buenos Aires; University of Buenos Aires; Servicio de Hidrografia Naval; University of Buenos Aires; Consejo Nacional de Investigaciones Cientificas y Tecnicas (CONICET)</t>
  </si>
  <si>
    <t>Artana, C (corresponding author), Univ Paris 06, Lab LOCEAN IPSL, Sorbonne Univ, CNRS,IRD,MNHN, Paris, France.</t>
  </si>
  <si>
    <t>cartlod@locean-ipsl.upmc.fr</t>
  </si>
  <si>
    <t>Piola, Alberto/HZI-5475-2023; Piola, Alberto R/O-2280-2013</t>
  </si>
  <si>
    <t>Koenig, Zoe/0000-0002-7203-3827; Provost, Christine/0000-0003-4693-3685; Saraceno, Martin/0000-0002-5657-4420</t>
  </si>
  <si>
    <t>CNES (Centre National d'Etudes Spatiales); Universite Pierre et Marie Curie</t>
  </si>
  <si>
    <t>CNES (Centre National d'Etudes Spatiales)(Centre National D'etudes Spatiales); Universite Pierre et Marie Curie(Marie Curie Actions)</t>
  </si>
  <si>
    <t>The altimeter products were produced by Ssalto/Duacs and distributed by Aviso, with support from CNES (http://www.aviso.altimetry.fr/duacs/). The float data were collected and made freely available by the International Argo Program and the national programs that contribute to it (http://www.argo.ucsd.edu,//argo.jcommops.org). The Argo Program is part of the Global Ocean Observing System. The authors are deeply grateful to the CNES (Centre National d'Etudes Spatiales) for the strong and constant support. This study is a contribution to EUMETSAT/CNES DSP/OT/12-2118. We acknowledge support from the MINCYT-ECOS-Sud A14U0 projects ECOS-Sud program in facilitating scientific exchanges between Argentina and France. Camila Artana and Zoe Koenig are funded under PhD scholarships from Universite Pierre et Marie Curie.</t>
  </si>
  <si>
    <t>10.1002/2016JC011889</t>
  </si>
  <si>
    <t>WOS:000383468500026</t>
  </si>
  <si>
    <t>Herraiz-Borreguero, L; Church, JA; Allison, I; Peña-Molino, B; Coleman, R; Tomczak, M; Craven, M</t>
  </si>
  <si>
    <t>Herraiz-Borreguero, L.; Church, J. A.; Allison, I.; Pena-Molino, B.; Coleman, R.; Tomczak, M.; Craven, M.</t>
  </si>
  <si>
    <t>Basal melt, seasonal water mass transformation, ocean current variability, and deep convection processes along the Amery Ice Shelf calving front, East Antarctica</t>
  </si>
  <si>
    <t>Amery Ice Shelf; polynya; deep convection; mCDW; DSW; basal melt</t>
  </si>
  <si>
    <t>PRYDZ BAY; THERMOHALINE CIRCULATION; BOTTOM WATER; SEA-WATER; BENEATH; RONNE; REGION; MODEL</t>
  </si>
  <si>
    <t>Despite the Amery Ice Shelf (AIS) being the third largest ice shelf in Antarctica, the seasonal variability of the physical processes involved in the AIS-ocean interaction remains undocumented and a robust observational, oceanographic-based basal melt rate estimate has been lacking. Here we use year-long time series of water column temperature, salinity, and horizontal velocities measured along the ice shelf front from 2001 to 2002. Our results show strong zonal variations in the distribution of water masses along the ice shelf front: modified Circumpolar Deep Water (mCDW) arrives in the east, while in the west, Ice Shelf Water (ISW) and Dense Shelf Water (DSW) formed in the Mackenzie polynya dominate the water column. Baroclinic eddies, formed during winter deep convection (down to 1100 m), drive the inflow of DSW into the ice shelf cavity. Our net basal melt rate estimate is 57.425.3 Gt yr(-1) (10.4 m yr(-1)), larger than previous modeling-based and glaciological-based estimates, and results from the inflow of DSW (0.520.38 Sv; 1 Sv=10(6) m(3) s(-1)) and mCDW (0.220.06 Sv) into the cavity. Our results highlight the role of the Mackenzie polynya in the seasonal exchange of water masses across the ice shelf front, and the role of the ISW in controlling the formation rate and thermohaline properties of DSW. These two processes directly impact on the ice shelf mass balance, and on the contribution of DSW/ISW to the formation of Antarctic Bottom Water.</t>
  </si>
  <si>
    <t>[Herraiz-Borreguero, L.; Allison, I.; Pena-Molino, B.; Coleman, R.; Craven, M.] Univ Tasmania, Antarctic Climate &amp; Ecosyst Cooperat Res Ctr, Hobart, Tas, Australia; [Herraiz-Borreguero, L.] Univ Copenhagen, Ctr Ice, Copenhagen, Denmark; [Herraiz-Borreguero, L.] Univ Copenhagen, Climate Niels Bohr Inst, Copenhagen, Denmark; [Herraiz-Borreguero, L.] Univ Southampton, Natl Oceanog Ctr, Southampton, Hants, England; [Church, J. A.] CSIRO Oceans &amp; Atmosphere Flagship, Hobart, Tas, Australia; [Coleman, R.] Univ Tasmania, Inst Marine &amp; Antarctic Studies, Hobart, Tas, Australia; [Tomczak, M.] Flinders Univ South Australia, Sch Environm, Adelaide, SA, Australia</t>
  </si>
  <si>
    <t>University of Tasmania; Antarctic Climate &amp; Ecosystems Cooperative Research Centre (ACE CRC); University of Copenhagen; University of Copenhagen; NERC National Oceanography Centre; University of Southampton; Commonwealth Scientific &amp; Industrial Research Organisation (CSIRO); University of Tasmania; Flinders University South Australia</t>
  </si>
  <si>
    <t>Herraiz-Borreguero, L (corresponding author), Univ Tasmania, Antarctic Climate &amp; Ecosyst Cooperat Res Ctr, Hobart, Tas, Australia.;Herraiz-Borreguero, L (corresponding author), Univ Copenhagen, Climate Niels Bohr Inst, Copenhagen, Denmark.;Herraiz-Borreguero, L (corresponding author), Univ Southampton, Natl Oceanog Ctr, Southampton, Hants, England.</t>
  </si>
  <si>
    <t>L.Herraiz-Borreguero@soton.ac.uk</t>
  </si>
  <si>
    <t>Allison, Ian F/I-4477-2015; Church, John A/A-1541-2012; Pena-Molino, Beatriz/IYK-0313-2023; Coleman, Richard/H-4425-2012; Herraiz-Borreguero, Laura/D-5795-2015</t>
  </si>
  <si>
    <t>Allison, Ian F/0000-0001-9599-0251; Church, John A/0000-0002-7037-8194; Pena-Molino, Beatriz/0000-0003-1587-1696; Coleman, Richard/0000-0002-9731-7498; Herraiz-Borreguero, Laura/0000-0002-4455-801X</t>
  </si>
  <si>
    <t>Australian Government's Cooperative Research Centre Program through the Antarctic Climate and Ecosystems Cooperative Research Centre (ACE CRC); Australian Department of Environment; CSIRO; Bureau of Meteorology through the Australian Climate Change Science Program; Amery Ice Shelf-Ocean Research (AMISOR) [ASAC1164]</t>
  </si>
  <si>
    <t>Australian Government's Cooperative Research Centre Program through the Antarctic Climate and Ecosystems Cooperative Research Centre (ACE CRC)(Australian GovernmentDepartment of Industry, Innovation and ScienceCooperative Research Centres (CRC) Programme); Australian Department of Environment(Australian Government); CSIRO(Commonwealth Scientific &amp; Industrial Research Organisation (CSIRO)); Bureau of Meteorology through the Australian Climate Change Science Program; Amery Ice Shelf-Ocean Research (AMISOR)</t>
  </si>
  <si>
    <t>This work was supported by the Australian Government's Cooperative Research Centre Program through the Antarctic Climate and Ecosystems Cooperative Research Centre (ACE CRC) and by the Australian Department of Environment, CSIRO, and the Bureau of Meteorology through the Australian Climate Change Science Program. We acknowledge logistical support from the Australian Antarctic Division and the valuable input from the many people who have contributed to the Amery Ice Shelf-Ocean Research (AMISOR) ASAC1164 program. Data from the boreholes and along the ice shelf front are available through the Australian Antarctic Data Centre (https://www1.data.antarctica.gov.au). We also thank Heidi Leffanue for her early work on this data set [Leffanue and Craven, 2004].</t>
  </si>
  <si>
    <t>10.1002/2016JC011858</t>
  </si>
  <si>
    <t>WOS:000383468500031</t>
  </si>
  <si>
    <t>Carvalho, F; Kohut, J; Oliver, MJ; Sherrell, RM; Schofield, O</t>
  </si>
  <si>
    <t>Carvalho, Filipa; Kohut, Josh; Oliver, Matthew J.; Sherrell, Robert M.; Schofield, Oscar</t>
  </si>
  <si>
    <t>Mixing and phytoplankton dynamics in a submarine canyon in the West Antarctic Peninsula</t>
  </si>
  <si>
    <t>phytoplankton; mixed layer depth; Antarctica; glider</t>
  </si>
  <si>
    <t>NORTHERN MARGUERITE BAY; CIRCUMPOLAR DEEP-WATER; SEA-ICE; INTERANNUAL VARIABILITY; OCEAN PRODUCTIVITY; INTERNAL WAVES; CLIMATE-CHANGE; MIXED-LAYER; BIOMASS; REGION</t>
  </si>
  <si>
    <t>Bathymetric depressions (canyons) exist along the West Antarctic Peninsula shelf and have been linked with increased phytoplankton biomass and sustained penguin colonies. However, the physical mechanisms driving this enhanced biomass are not well understood. Using a Slocum glider data set with over 25,000 water column profiles, we evaluate the relationship between mixed layer depth (MLD, estimated using the depth of maximum buoyancy frequency) and phytoplankton vertical distribution. We use the glider deployments in the Palmer Deep region to examine seasonal and across canyon variability. Throughout the season, the ML becomes warmer and saltier, as a result of vertical mixing and advection. Shallow ML and increased stratification due to sea ice melt are linked to higher chlorophyll concentrations. Deeper mixed layers, resulting from increased wind forcing, show decreased chlorophyll, suggesting the importance of light in regulating phytoplankton productivity. Spatial variations were found in the canyon head region where local physical water column properties were associated with different biological responses, reinforcing the importance of local canyon circulation in regulating phytoplankton distribution in the region. While the mechanism initially hypothesized to produce the observed increases in phytoplankton over the canyons was the intrusion of warm, nutrient enriched modified Upper Circumpolar Deep Water (mUCDW), our analysis suggests that ML dynamics are key to increased primary production over submarine canyons in the WAP.</t>
  </si>
  <si>
    <t>[Carvalho, Filipa; Kohut, Josh; Sherrell, Robert M.; Schofield, Oscar] Rutgers State Univ, Dept Marine &amp; Coastal Sci, New Brunswick, NJ 08901 USA; [Oliver, Matthew J.] Univ Delaware, Coll Earth Ocean &amp; Environm, Lewes, DC USA; [Sherrell, Robert M.] Rutgers State Univ, Dept Earth &amp; Planetary Sci, Piscataway, NJ USA</t>
  </si>
  <si>
    <t>Rutgers University System; Rutgers University New Brunswick; University of Delaware; Rutgers University System; Rutgers University New Brunswick</t>
  </si>
  <si>
    <t>Carvalho, F (corresponding author), Rutgers State Univ, Dept Marine &amp; Coastal Sci, New Brunswick, NJ 08901 USA.</t>
  </si>
  <si>
    <t>filipa@marine.rutgers.edu</t>
  </si>
  <si>
    <t>Carvalho, Filipa/B-7223-2017</t>
  </si>
  <si>
    <t>Carvalho, Filipa/0000-0002-8355-4329</t>
  </si>
  <si>
    <t>National Science Foundation [ANT-0823101, ANT-1327248, ANT-1326541, ANT-1142250]; Portuguese doctoral fellowship from Fundacao para a Ciencia e Tecnologia [DFRH-SFRH/BD/72705/2010]; Directorate For Geosciences; Office of Polar Programs (OPP) [1327248, 1331681, 1326541, 1142250] Funding Source: National Science Foundation</t>
  </si>
  <si>
    <t>National Science Foundation(National Science Foundation (NSF)); Portuguese doctoral fellowship from Fundacao para a Ciencia e Tecnologia; Directorate For Geosciences; Office of Polar Programs (OPP)(National Science Foundation (NSF)NSF - Directorate for Geosciences (GEO))</t>
  </si>
  <si>
    <t>We thank the two anonymous reviewers whose suggestions helped improve and clarify this manuscript. The research was supported by the National Science Foundation grants ANT-0823101 (Palmer-LTER), ANT-1327248 and ANT-1326541 (CONVERGE) and ANT-1142250 (iron WAP). Filipa Carvalho was funded by a Portuguese doctoral fellowship from Fundacao para a Ciencia e Tecnologia (DFRH-SFRH/BD/72705/2010). Glider data can be accessed at ERDDAP server at http://erddap.marine.rutgers.edu/erddap/info/. Weather data can be access at http://oceaninformatics.ucsd.edu/datazoo/data/pallter/datasets.</t>
  </si>
  <si>
    <t>10.1002/2016JC011650</t>
  </si>
  <si>
    <t>WOS:000383468500038</t>
  </si>
  <si>
    <t>Forsyth, C; Rae, IJ; Murphy, KR; Freeman, MP; Huang, CL; Spence, HE; Boyd, AJ; Coxon, JC; Jackman, CM; Kalmoni, NME; Watt, CEJ</t>
  </si>
  <si>
    <t>Forsyth, C.; Rae, I. J.; Murphy, K. R.; Freeman, M. P.; Huang, C. -L.; Spence, H. E.; Boyd, A. J.; Coxon, J. C.; Jackman, C. M.; Kalmoni, N. M. E.; Watt, C. E. J.</t>
  </si>
  <si>
    <t>What effect do substorms have on the content of the radiation belts?</t>
  </si>
  <si>
    <t>substorm; radiation belts; enhancements; losses</t>
  </si>
  <si>
    <t>RELATIVISTIC ELECTRONS; PARTICLE INJECTIONS; GEOMAGNETIC STORMS; LOCAL ACCELERATION; SOLAR-WIND; ENHANCEMENT; POPULATIONS; PROTONS; GROWTH; INDEX</t>
  </si>
  <si>
    <t>Substorms are fundamental and dynamic processes in the magnetosphere, converting captured solar wind magnetic energy into plasma energy. These substorms have been suggested to be a key driver of energetic electron enhancements in the outer radiation belts. Substorms inject a keV seed population into the inner magnetosphere which is subsequently energized through wave-particle interactions up to relativistic energies; however, the extent to which substorms enhance the radiation belts, either directly or indirectly, has never before been quantified. In this study, we examine increases and decreases in the total radiation belt electron content (TRBEC) following substorms and geomagnetically quiet intervals. Our results show that the radiation belts are inherently lossy, shown by a negative median change in TRBEC at all intervals following substorms and quiet intervals. However, there are up to 3 times as many increases in TRBEC following substorm intervals. There is a lag of 1-3days between the substorm or quiet intervals and their greatest effect on radiation belt content, shown in the difference between the occurrence of increases and losses in TRBEC following substorms and quiet intervals, the mean change in TRBEC following substorms or quiet intervals, and the cross correlation between SuperMAG AL (SML) and TRBEC. However, there is a statistically significant effect on the occurrence of increases and decreases in TRBEC up to a lag of 6days. Increases in radiation belt content show a significant correlation with SML and SYM-H, but decreases in the radiation belt show no apparent link with magnetospheric activity levels.</t>
  </si>
  <si>
    <t>[Forsyth, C.; Rae, I. J.; Kalmoni, N. M. E.] Univ Coll London, Mullard Space Sci Lab, Dorking, Surrey, England; [Murphy, K. R.] NASA, Goddard Space Flight Ctr, Greenbelt, MD USA; [Freeman, M. P.] British Antarctic Survey, Cambridge, England; [Huang, C. -L.; Spence, H. E.; Boyd, A. J.] Univ New Hampshire, Ctr Space Sci, Durham, NH 03824 USA; [Boyd, A. J.] New Mexico Consortium, Los Alamos, NM USA; [Coxon, J. C.; Jackman, C. M.] Univ Southampton, Sch Phys &amp; Astron, Southampton, Hants, England; [Watt, C. E. J.] Univ Reading, Dept Meteorol, Reading, Berks, England</t>
  </si>
  <si>
    <t>University of London; University College London; National Aeronautics &amp; Space Administration (NASA); NASA Goddard Space Flight Center; UK Research &amp; Innovation (UKRI); Natural Environment Research Council (NERC); NERC British Antarctic Survey; University System Of New Hampshire; University of New Hampshire; University of Southampton; University of Reading</t>
  </si>
  <si>
    <t>Forsyth, C (corresponding author), Univ Coll London, Mullard Space Sci Lab, Dorking, Surrey, England.</t>
  </si>
  <si>
    <t>colin.forsyth@ucl.ac.uk</t>
  </si>
  <si>
    <t>Coxon, John/AAN-9355-2021; Rae, Jonathan/D-8132-2013; Spence, Harlan E/A-1942-2011; Forsyth, Colin/E-4159-2010; Watt, Clare/C-5218-2008; Freeman, Mervyn/E-5687-2019</t>
  </si>
  <si>
    <t>Coxon, John/0000-0002-0166-6854; Rae, Jonathan/0000-0002-2637-4786; Spence, Harlan E/0000-0002-2526-2205; Jackman, Caitriona/0000-0003-0635-7361; Forsyth, Colin/0000-0002-0026-8395; Boyd, Alexander/0000-0002-9725-508X; Watt, Clare/0000-0003-3193-8993; Freeman, Mervyn/0000-0002-8653-8279</t>
  </si>
  <si>
    <t>Natural Environment Research Council (NERC) [NE/L007495/1, NE/M00886X/1, NE/L007177/1, NE/L006456/1]; Science and Technology Facilities Council (STFC) [ST/L000563/1]; Canadian NSERC Postdoctoral Fellowship; RBSP-ECT by JHU/APL [967399]; NASA's Prime contract [NAS5-01072]; National Science Foundation (NSF); National Aeronautics and Space Administration (NASA); NSF [ATM-0646323, AGS-1003580]; NASA [NNX08AM32G S03]; Natural Environment Research Council [NE/L007495/1, NE/L006456/1, NE/L007177/1, NE/M00886X/1] Funding Source: researchfish; Science and Technology Facilities Council [ST/M000885/1, 1327682, ST/N000722/1, ST/L000563/1] Funding Source: researchfish; NERC [NE/N014480/1, NE/L007495/1, bas0100031, NE/L006456/1, NE/M00886X/1, NE/L007177/1] Funding Source: UKRI; STFC [ST/L000563/1, ST/N000722/1, ST/K000977/1, ST/M000885/1] Funding Source: UKRI</t>
  </si>
  <si>
    <t>Natural Environment Research Council (NERC)(UK Research &amp; Innovation (UKRI)Natural Environment Research Council (NERC)); Science and Technology Facilities Council (STFC)(UK Research &amp; Innovation (UKRI)Science &amp; Technology Facilities Council (STFC)Science and Technology Development Fund (STDF)); Canadian NSERC Postdoctoral Fellowship(European Research Council (ERC)Natural Sciences and Engineering Research Council of Canada (NSERC)); RBSP-ECT by JHU/APL; NASA's Prime contract; National Science Foundation (NSF)(National Science Foundation (NSF)); National Aeronautics and Space Administration (NASA)(National Aeronautics &amp; Space Administration (NASA)); NSF(National Science Foundation (NSF)); NASA(National Aeronautics &amp; Space Administration (NASA));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</si>
  <si>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C.F. and I.J.R. are funded in part by Natural Environment Research Council (NERC) grants NE/L007495/1 and NE/M00886X/1 and I.J.R. by Science and Technology Facilities Council (STFC) grant ST/L000563/1. K.R.M. is funded by a Canadian NSERC Postdoctoral Fellowship. J.C.C. and C.M.J. are supported by Natural Environment Research Council (NERC) joint grants NE/L007177/1 and M.P.F. by NE/L006456/1. The authors thank D.G. Sibeck for useful discussion of this work. Visits to and a portion of the work performed at GSFC were supported by the Van Allen Probes project. This work was supported by RBSP-ECT funding provided by JHU/APL contract 967399 under NASA's Prime contract NAS5-01072. We gratefully acknowledge the members of the RBSP-ECT team. For the ground magnetometer data we gratefully acknowledge the following: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Juergen Matzka; South Pole and McMurdo Magnetometer, PIs Louis J. Lanzarotti and Alan T. Weatherwax; ICESTAR; RAPIDMAG; PENGUIn; British Antarctic Survey; McMac, PI Peter Chi; BGS, PI Susan Macmillan; Pushkov Institute of Terrestrial Magnetism, Ionosphere and Radio Wave Propagation (IZMIRAN); GFZ, PI Juergen Matzka; MFGI, PI B. Heilig; IGFPAS, PI J. Reda; University of L'Aquila, PI M. Vellante; and SuperMAG, PI Jesper W. Gjerloev. SuperMAG is made possible by the generous funding provided by the National Science Foundation (NSF) and National Aeronautics and Space Administration (NASA). We gratefully acknowledge: NSF ATM-0646323, NSF AGS-1003580, and NASA NNX08AM32G S03.</t>
  </si>
  <si>
    <t>10.1002/2016JA022620</t>
  </si>
  <si>
    <t>DW1SE</t>
  </si>
  <si>
    <t>WOS:000383422100020</t>
  </si>
  <si>
    <t>Forbes, JM; Bruinsma, SL; Doornbos, E; Zhang, XL</t>
  </si>
  <si>
    <t>Forbes, Jeffrey M.; Bruinsma, Sean L.; Doornbos, Eelco; Zhang, Xiaoli</t>
  </si>
  <si>
    <t>Gravity wave-induced variability of the middle thermosphere</t>
  </si>
  <si>
    <t>gravity wave; thermosphere; troposphere; seasonal-latitudinal; background wind</t>
  </si>
  <si>
    <t>TRAVELING IONOSPHERIC DISTURBANCES; BODY FORCES; DISSIPATION; MIDLATITUDE; PROPAGATION; ENERGY; MODEL</t>
  </si>
  <si>
    <t>Contemporary theory, modeling, and first-principles simulations indicate that dissipation of gravity waves (GW) plays an important role in modifying the mean circulation, thermal structure, and composition of the thermosphere. GW can propagate into the thermosphere from various sources in the lower atmosphere, deposit energy, and momentum into the thermosphere, and thereby modify its mean circulation, thermal structure and composition. However, measurements that verify or constrain predictions of GW propagation well into the thermosphere, especially on a global basis, are extremely limited. In this paper total mass densities and cross-track winds between 230 and 280km derived from accelerometer measurements on the Gravity Field and Ocean Circulation Earth Explorer (GOCE) satellite between November 2009 and October 2013 are used to reveal the global morphology of horizontal structures between 128km and 640km, which are assumed to mainly reflect the presence of GW. The zonal-mean RMS variability at these scales is quantified in terms of seasonal-latitudinal dependences and dawn-dusk differences, which are interpreted in terms of current theoretical and modeling results. Little evidence is found for any longitude variability that can be attributed to specific source regions, except at high latitudes where polar/auroral sources and magnetic control dominate and near the Andes and the Antarctic Peninsula during local winter.</t>
  </si>
  <si>
    <t>[Forbes, Jeffrey M.; Zhang, Xiaoli] Univ Colorado, Dept Aerosp Engn Sci, UCB 429, Boulder, CO 80309 USA; [Bruinsma, Sean L.] Ctr Natl Etud Spatiales, Dept Terr &amp; Planetary Geodesy, Toulouse, France; [Doornbos, Eelco] Delft Univ Technol, Dept Earth Observat &amp; Space Syst, Delft, Netherlands</t>
  </si>
  <si>
    <t>University of Colorado System; University of Colorado Boulder; Delft University of Technology</t>
  </si>
  <si>
    <t>Forbes, JM (corresponding author), Univ Colorado, Dept Aerosp Engn Sci, UCB 429, Boulder, CO 80309 USA.</t>
  </si>
  <si>
    <t>forbes@colorado.edu</t>
  </si>
  <si>
    <t>Forbes, Jeffrey M/B-7234-2016</t>
  </si>
  <si>
    <t>Forbes, Jeffrey M/0000-0001-6937-0796; Doornbos, Eelco/0000-0002-9790-8546</t>
  </si>
  <si>
    <t>NASA [NNX12AD26G]; NASA [NNX12AD26G, 52889] Funding Source: Federal RePORTER</t>
  </si>
  <si>
    <t>NASA(National Aeronautics &amp; Space Administration (NASA)); NASA(National Aeronautics &amp; Space Administration (NASA))</t>
  </si>
  <si>
    <t>This work was supported by NASA Award NNX12AD26G as part of the U.S. Participating Investigator (USPI) Program. The GOCE data used in this work and related documentation referenced herein can be obtained from https://earth.esa.int/web/guest/missions/esa-operational-missions/goce/goce-thermospheric-data.</t>
  </si>
  <si>
    <t>10.1002/2016JA022923</t>
  </si>
  <si>
    <t>WOS:000383422100064</t>
  </si>
  <si>
    <t>Lu, G; Richmond, AD; Lühr, H; Paxton, L</t>
  </si>
  <si>
    <t>Lu, G.; Richmond, A. D.; Luehr, H.; Paxton, L.</t>
  </si>
  <si>
    <t>High-latitude energy input and its impact on the thermosphere</t>
  </si>
  <si>
    <t>high-latitude energy input; polar cap ionosphere; thermospheric density anomaly</t>
  </si>
  <si>
    <t>MAPPING ELECTRODYNAMIC FEATURES; FIELD LINE BOUNDARY; LATENT-HEAT RELEASE; POLAR-CAP AREA; AURORAL OVAL; IONOSPHERIC ELECTRODYNAMICS; PRECIPITATION BOUNDARIES; LOCALIZED OBSERVATIONS; STATISTICAL-MODEL; SUBSTORM ENERGY</t>
  </si>
  <si>
    <t>This paper presents a quantitative assessment of high-latitude energy input and its partitioning in the polar cap by synthesizing various space and ground-based observations during the 17 January 2005 geomagnetic storm. It was found that Joule heating is the primary form of magnetospheric energy input, especially during active times when the hemispheric-integrated Joule heating can be an order of magnitude larger than the hemispheric-integrated auroral power. Most of magnetospheric energy is dissipated in the auroral zone rather than in the polar cap. On average, only about 22-25% of the total hemispheric energy input is dissipated into the polar cap region bordered by the convection reversal boundary (CRB) and the poleward auroral flux boundary (FXB). The impact of high-latitude energy input was also investigated to unveil the causal relationship between Joule heating and the formation of polar cap mass density anomalies. Our numerical simulation demonstrated that thermosphere dynamics readily redistributes composition, temperature, and mass through upwelling and atmospheric gravity waves. The polar cap mass density anomalies observed by the CHAMP satellite during the storm were largely a result of large-scale atmospheric gravity waves. Therefore, an increase in local thermospheric mass density does not necessarily mean there is direct energy input.</t>
  </si>
  <si>
    <t>[Lu, G.; Richmond, A. D.] Natl Ctr Atmospher Res, High Altitude Observ, Pob 3000, Boulder, CO 80307 USA; [Luehr, H.] GFZ German Res Ctr Geosci, Helmholtz Ctr Potsdam, Potsdam, Germany; [Paxton, L.] Johns Hopkins Univ, Appl Phys Lab, Laurel, MD USA</t>
  </si>
  <si>
    <t>National Center Atmospheric Research (NCAR) - USA; Helmholtz Association; Helmholtz-Center Potsdam GFZ German Research Center for Geosciences; Johns Hopkins University; Johns Hopkins University Applied Physics Laboratory</t>
  </si>
  <si>
    <t>Lu, G (corresponding author), Natl Ctr Atmospher Res, High Altitude Observ, Pob 3000, Boulder, CO 80307 USA.</t>
  </si>
  <si>
    <t>ganglu@ucar.edu</t>
  </si>
  <si>
    <t>Paxton, Larry J/D-1934-2015; Lu, Gang/A-6669-2011; Richmond, Arthur/V-2118-2017</t>
  </si>
  <si>
    <t>Richmond, Arthur/0000-0002-6708-1023</t>
  </si>
  <si>
    <t>Heliophysics Guest Investigators program under NASA [NNH09AK621]; Geospace Research program under NASA [NNX13AD64G]; Living With a Star program under NASA [NNX14AE08G]; U.S. Participating Investigator (USPI) Program under NASA [NNX12AD26G]; NSF; NASA [685442, NNX14AE08G] Funding Source: Federal RePORTER</t>
  </si>
  <si>
    <t>Heliophysics Guest Investigators program under NASA; Geospace Research program under NASA; Living With a Star program under NASA; U.S. Participating Investigator (USPI) Program under NASA; NSF(National Science Foundation (NSF)); NASA(National Aeronautics &amp; Space Administration (NASA))</t>
  </si>
  <si>
    <t>We wish to acknowledge the International Real-time Magnetic Observatory Network for the INTERMAGNET magnetometer network, the Geophysical Institute of the University of Alaska for the Alaska magnetometer stations, the Solar-Terrestrial Environment Laboratory of the Nagoya University for the 210 magnetic meridian chain, the Finnish Meteorological Institute for the IMAGE chain, the Canadian Space Agency for CARISMA magnetometer network, the Space Plasma Environment and Radio Science (SPEARS) in the Department of Communication Systems at the Lancaster University for the SAMNET magnetometer chain, and the Danish Meterological Institute for the Greenland magnetometer stations. J. Posch at Augsburg College, A. Weather at Siena College, and O. Troshichev at the Arctic and Antarctic Research Institute in Russia provided additional ground magnetometer data used in the study. The SuperDARN radar data were provided by J.M. Ruohoniemi of the Virginia Tech SuperDARN group that is supported by the National Science Foundation (NSF). The DMSP particle data were prepared by Fred Rich at Air Force Research Laboratory, and the DMSP ion drift data were provided online by the University of Texas at Dallas at http://cindispace.utdallas.edu/DMSP/dmsp_data_at_utdallas.html. The POES data were processed and provided by Dave Evans at NOAA Space Weather Prediction Center. The ACE solar wind and IMF key parameters were obtained from the NASA CDAW website (http://cdaweb.gsfc.nasa.gov). This work was supported in part by the Heliophysics Guest Investigators program under NASA grant NNH09AK621, by the Geospace Research program under NASA grant NNX13AD64G, by the Living With a Star program under NASA grant NNX14AE08G, and by the U.S. Participating Investigator (USPI) Program under NASA grant NNX12AD26G. NCAR is sponsored by the NSF. The authors thank the International Space Science Institute in Bern, Switzerland, its staff and directors for supporting the ISSI Team Field-Aligned Currents: Their Morphology, Evolution, Source Regions and Generators, from which this work was developed. We would like to acknowledge high performance computing support from Yellowstone (ark:/85065/d7wd3xhc) provided by NCAR's Computational and Information Systems Laboratory and sponsored by the NSF. The GUVI and SSUSI data used in this study are available online at http://guvi.jhuapl.edu/site/data/guvi-dataproducts.shtml and http://ssusi.jhuapl.edu/data_products. The CHAMP neutral mass density data were prepared by Eelco Doornbos at Delft University of Technology in Delft, the Netherlands, and can be obtained at http://thermosphere.tudelft.nl/acceldrag/index.php. The TIEGCM and AMIE results in this study are archived on NCAR's High Performance Storage System and are available on request to Gang Lu (ganglu@ucar.edu).</t>
  </si>
  <si>
    <t>10.1002/2015JA022294</t>
  </si>
  <si>
    <t>WOS:000383422100076</t>
  </si>
  <si>
    <t>Dombrowski, MP; LaBelle, J; McGaw, DG; Broughton, MC</t>
  </si>
  <si>
    <t>Dombrowski, M. P.; LaBelle, J.; McGaw, D. G.; Broughton, M. C.</t>
  </si>
  <si>
    <t>An autonomous receiver/digital signal processor applied to ground-based and rocket-borne wave experiments</t>
  </si>
  <si>
    <t>autonomous; radio; instrument; aurora; roar; MF burst</t>
  </si>
  <si>
    <t>AURORAL RADIO EMISSIONS; SOUTH-POLE STATION; ROAR EMISSIONS; FINE-STRUCTURE; POLARIZATION; GENERATION; HISS</t>
  </si>
  <si>
    <t>The programmable combined receiver/digital signal processor platform presented in this article is designed for digital downsampling and processing of general waveform inputs with a 66MHz initial sampling rate and multi-input synchronized sampling. Systems based on this platform are capable of fully autonomous low-power operation, can be programmed to preprocess and filter the data for preselection and reduction, and may output to a diverse array of transmission or telemetry media. We describe three versions of this system, one for deployment on sounding rockets and two for ground-based applications. The rocket system was flown on the Correlation of High-Frequency and Auroral Roar Measurements (CHARM)-II mission launched from Poker Flat Research Range, Alaska, in 2010. It measured auroral roar signals at 2.60MHz. The ground-based systems have been deployed at Sondrestrom, Greenland, and South Pole Station, Antarctica. The Greenland system synchronously samples signals from three spaced antennas providing direction finding of 0-5MHz waves. It has successfully measured auroral signals and man-made broadcast signals. The South Pole system synchronously samples signals from two crossed antennas, providing polarization information. It has successfully measured the polarization of auroral kilometric radiation-like signals as well as auroral hiss. Further systems are in development for future rocket missions and for installation in Antarctic Automatic Geophysical Observatories.</t>
  </si>
  <si>
    <t>[Dombrowski, M. P.; LaBelle, J.; McGaw, D. G.; Broughton, M. C.] Dartmouth Coll, Dept Phys &amp; Astron, Hanover, NH 03755 USA</t>
  </si>
  <si>
    <t>Dartmouth College</t>
  </si>
  <si>
    <t>Dombrowski, MP (corresponding author), Dartmouth Coll, Dept Phys &amp; Astron, Hanover, NH 03755 USA.</t>
  </si>
  <si>
    <t>mpd@luriam.net</t>
  </si>
  <si>
    <t>Dombrowski, Micah/0000-0002-5686-4794; LaBelle, James/0000-0002-0772-8825</t>
  </si>
  <si>
    <t>NASA [NNX12AI44G]; NSF [ANT-1141817, PLR-1443338]; Directorate For Geosciences; Div Atmospheric &amp; Geospace Sciences [1147699] Funding Source: National Science Foundation; Office of Polar Programs (OPP); Directorate For Geosciences [1443338] Funding Source: National Science Foundation; NASA [NNX12AI44G, 21495] Funding Source: Federal RePORTER</t>
  </si>
  <si>
    <t>NASA(National Aeronautics &amp; Space Administration (NASA)); NSF(National Science Foundation (NSF)); Directorate For Geosciences; Div Atmospheric &amp; Geospace Sciences(National Science Foundation (NSF)NSF - Directorate for Geosciences (GEO)); Office of Polar Programs (OPP); Directorate For Geosciences(National Science Foundation (NSF)NSF - Directorate for Geosciences (GEO)); NASA(National Aeronautics &amp; Space Administration (NASA))</t>
  </si>
  <si>
    <t>Thanks to J. C. Vandiver for hardware and firmware development and maintenance and to Spencer Hatch for presenting this instrument at the 2015 Conference on Measurement Techniques in Solar and Space Physics. The data discussed may be acquired by contacting Jim LaBelle (jlabelle@aristotle.dartmouth.edu). Work supported by NASA grant NNX12AI44G and NSF grants ANT-1141817 and PLR-1443338.</t>
  </si>
  <si>
    <t>10.1002/2016JA022441</t>
  </si>
  <si>
    <t>WOS:000383422100093</t>
  </si>
  <si>
    <t>Meyzen, CM; Marzoli, A; Bellieni, G; Levresse, G</t>
  </si>
  <si>
    <t>Meyzen, Christine Marie; Marzoli, Andrea; Bellieni, Giuliano; Levresse, Gilles</t>
  </si>
  <si>
    <t>Magmatic Activity on a Motionless Plate: the Case of East Island, Crozet Archipelago (Indian Ocean)</t>
  </si>
  <si>
    <t>JOURNAL OF PETROLOGY</t>
  </si>
  <si>
    <t>Crozet plume; lithosphere; Indian Ocean; magmatism; Antarctic plate; lithospheric root</t>
  </si>
  <si>
    <t>ELEMENT FRACTIONATION PROCESSES; PLUME-LITHOSPHERE INTERACTIONS; MANTLE HETEROGENEITY BENEATH; TRACE-ELEMENT; CANARY-ISLANDS; BENI-BOUSERA; HEAT-FLOW; PARTITION-COEFFICIENTS; KERGUELEN ARCHIPELAGO; ISOTOPE SYSTEMATICS</t>
  </si>
  <si>
    <t>Lying atop the relatively motionless Antarctic plate (velocity similar to 6.46 mm a(-1)), the Crozet archipelago, midway between Madagascar and Antarctica, is a region of unusually shallow (1543-1756 m) and thickened oceanic crust (10-16.5 km), high geoid height, and deep low-velocity zone, which may represent the surface expression of a mantle plume. Here, new major and trace element data are presented for Quaternary alkali basalts of the subaerial eruptive stage of East Island, the most easterly and oldest island (similar to 9 Ma) of the Crozet archipelago. Crystallization at uppermost mantle depths and phenocryst accumulation have strongly affected the parental magma compositions. Trace element patterns show a large negative K anomaly relative to Ta-La, moderate depletions in Rb and Ba with respect to Th-U, and heavy rare earth element depletions relative to light rare earth elements. These characteristics allow limits to be placed upon the composition and mineralogy of the mantle source of the magmas. The average trace element pattern of the East Island basalts can be matched by similar to 1.7% melting of a garnet-phlogopite-bearing peridotite source. The stability field of phlogopite restricts melting depths to lithospheric levels. The modelled source composition requires a multistage evolution in which the mantle has been depleted by melt extraction before being metasomatized by alkali-rich plume-derived melts. The depleted mantle component is inferred to be sourced from residual mantle plume remnants that stagnated at the melting locus owing to a weak lateral flow velocity inside the melting region, whose accumulation progressively forms a depleted lithospheric root above the plume core. Low-degree, alkali-rich melts are probably derived from the plume source. Such a mantle source evolution may be general to both terrestrial and extraterrestrial environments in which the lateral component velocity of the mantle flow field is extremely slow.</t>
  </si>
  <si>
    <t>[Meyzen, Christine Marie; Marzoli, Andrea; Bellieni, Giuliano] Univ Padua, Dipartimento Geosci, Via G Gradenigo 6, I-35131 Padua, Italy; [Marzoli, Andrea] Univ Padua, IGG CNR Padova, Via G Gradenigo 6, I-35131 Padua, Italy; [Levresse, Gilles] Univ Nacl Autonoma Mexico, Geofluidos, Ctr Geociencias, Blvd Juriquilla 3001, Queretaro 76230, Mexico</t>
  </si>
  <si>
    <t>University of Padua; Consiglio Nazionale delle Ricerche (CNR); Istituto di Geoscienze e Georisorse (IGG-CNR); University of Padua; Universidad Nacional Autonoma de Mexico</t>
  </si>
  <si>
    <t>Meyzen, CM (corresponding author), Univ Padua, Dipartimento Geosci, Via G Gradenigo 6, I-35131 Padua, Italy.</t>
  </si>
  <si>
    <t>christine.meyzen@unipd.it</t>
  </si>
  <si>
    <t>levresse, gilles/AAD-9580-2022; Marzoli, Andrea/W-9406-2019; Meyzen, Christine/L-1941-2015</t>
  </si>
  <si>
    <t>Marzoli, Andrea/0000-0003-0093-2759; Meyzen, Christine/0000-0002-7529-5347; levresse, gilles/0000-0001-9290-9825</t>
  </si>
  <si>
    <t>National Science Foundation [OCE-644625]; University of Padua [ATENEO CPDA114007/11]; Cassa di Risparmio di Padova e Rovigo [MARZECCE08]</t>
  </si>
  <si>
    <t>National Science Foundation(National Science Foundation (NSF)); University of Padua; Cassa di Risparmio di Padova e Rovigo</t>
  </si>
  <si>
    <t>This work was supported by a grant of the National Science Foundation (grant number OCE-644625) for the curation of geological samples at the University of Rhode Island, a grant of the University of Padua (grant number ATENEO CPDA114007/11) to C.M.M. and a grant of the Cassa di Risparmio di Padova e Rovigo (grant number MARZECCE08) to A.M.</t>
  </si>
  <si>
    <t>0022-3530</t>
  </si>
  <si>
    <t>1460-2415</t>
  </si>
  <si>
    <t>J PETROL</t>
  </si>
  <si>
    <t>J. Petrol.</t>
  </si>
  <si>
    <t>10.1093/petrology/egw045</t>
  </si>
  <si>
    <t>DW6CN</t>
  </si>
  <si>
    <t>WOS:000383734100007</t>
  </si>
  <si>
    <t>Golovin, PN; Antipov, NN; Klepikov, AV</t>
  </si>
  <si>
    <t>Golovin, P. N.; Antipov, N. N.; Klepikov, A. V.</t>
  </si>
  <si>
    <t>Intrusive Layering of the Antarctic Slope Front</t>
  </si>
  <si>
    <t>OCEANOLOGY</t>
  </si>
  <si>
    <t>COMMONWEALTH SEA; BAROCLINICITY; WATER; ZONE; THERMOCLINICITY; SHELF; OCEAN</t>
  </si>
  <si>
    <t>Cascading of cold Antarctic shelf water (ASW) initiates compensatory isopycnic upwelling of the warm Circumpolar Deep Water (CDW). The baroclinic/thermoclinic Antarctic slope front (ASF) is formed, and a mesoscale intrusive structure develops on the shelf edge and slope. Mesoscale processes when the ASF peaks are periodically accompanied by local baroclinic instability, which forms a smaller-scale intrusive structure. Therefore, the ASF is naturally subdivided into two layers according to the intrusion scales (vertical delta H and horizontal L) and the horizontal parameters of the front (thermoclinity (T-L)(rho) and baroclinity gamma(rho)). Analysis of ASF intrusive layering due to the baroclinic factor supports the following conclusion: the higher the (T-L)(rho) of the ASF, the greater the intrusion intensity vertical bar delta theta vertical bar (temperature anomaly amplitude), while an increase in gamma(rho) of the ASF leads to a decrease in intrusion scales delta H and L. Frontal intrusions can be distinguished by a development degree. Regardless of the degree of development, all warm intrusions are characterized by vertical density stratification, while cold intrusions are characterized by density quasihomogeneity. According to field data, the ASF instability process is subdivided into four stages. When the ASF is baroclinically unstable, the local baroclinic deformation radius Rd(L) of the front is close in magnitude to the horizontal scale L of the intrusions that form, and their characteristic vertical scale delta H is close to the typical vertical scale of front instability.</t>
  </si>
  <si>
    <t>[Golovin, P. N.; Antipov, N. N.; Klepikov, A. V.] Arctic &amp; Antarctic Res Inst, Ul Beringa 38, St Petersburg 199397, Russia</t>
  </si>
  <si>
    <t>Golovin, PN (corresponding author), Arctic &amp; Antarctic Res Inst, Ul Beringa 38, St Petersburg 199397, Russia.</t>
  </si>
  <si>
    <t>golovin@aari.ru</t>
  </si>
  <si>
    <t>0001-4370</t>
  </si>
  <si>
    <t>1531-8508</t>
  </si>
  <si>
    <t>OCEANOLOGY+</t>
  </si>
  <si>
    <t>Oceanology</t>
  </si>
  <si>
    <t>10.1134/S0001437016030085</t>
  </si>
  <si>
    <t>DW0TI</t>
  </si>
  <si>
    <t>WOS:000383355300002</t>
  </si>
  <si>
    <t>Welke, B; Licht, K; Hennessy, A; Hemming, S; Davis, EP; Kassab, C</t>
  </si>
  <si>
    <t>Welke, Bethany; Licht, Kathy; Hennessy, Andrea; Hemming, Sidney; Davis, Elizabeth Pierce; Kassab, Christine</t>
  </si>
  <si>
    <t>Applications of detrital geochronology and thermochronology from glacial deposits to the Paleozoic and Mesozoic thermal history of the Ross Embayment, Antarctica</t>
  </si>
  <si>
    <t>(U-Th); He dating; U-Pb dating; 40Ar; 39Ar dating; (U-Th-Sm); dating; thermochronology; geochronology</t>
  </si>
  <si>
    <t>CENTRAL TRANSANTARCTIC MOUNTAINS; LARGE IGNEOUS PROVINCE; MARIE BYRD LAND; BEACON SUPERGROUP; VICTORIA-LAND; WEST ANTARCTICA; ICE STREAM; FERRAR; EROSION; MARGIN</t>
  </si>
  <si>
    <t>Till from moraines at the heads of six major outlet glaciers in the Transantarctic Mountains (TAM) and from till beneath three West Antarctic ice streams have a ubiquitous zircon U-Pb age population spanning the time of the Ross/Pan-African Orogenies (610-475 Ma). Geochronology and thermochronology of detrital minerals in these Antarctic glacial tills reveal two different thermal histories for the central and southern TAM. Double-dating of the zircons reveals a geographically widespread (U-Th)/He (ZHe) population of 180-130 Ma in most of the till samples. Sandstone outcrops at Shackleton Glacier, and three Beacon Supergroup sandstone clasts from three moraines, have ZHe ages that fall entirely within this range. The similar population and proximity of many of the till samples to Beacon outcrops lead us to suggest that this extensive ZHe population in the tills is derived from Beacon Supergroup rocks and reflects the thermal response of the Beacon Basin to the breakup of Gondwana. A second population of older (&gt;200 Ma) ZHe ages in tills at the head of Byrd, Nimrod, and Reedy Glaciers. For the tills at the head of the Nimrod and Byrd Glaciers, integrating the double-dated zircon results with 40Ar/39Ar of hornblende, muscovite and biotite, and U-Pb and (U-Th-Sm)/He double-dates on apatite yields a typical pattern of early rapid orogenic cooling (approximate to 4-10 degrees C/Myr) 590-475 Ma after the emplacement of the Granite Harbour Intrusives. Low temperature thermochronometers at these sites yield variable but quite old ages (ZHe 480-70 Ma and AHe 200-70 Ma) that require a long history at low temperature.</t>
  </si>
  <si>
    <t>[Welke, Bethany; Licht, Kathy; Hennessy, Andrea; Kassab, Christine] Indiana Univ Purdue Univ, Dept Earth Sci, Indianapolis, IN 46202 USA; [Hemming, Sidney; Davis, Elizabeth Pierce] Lamont Doherty Earth Observ, Palisades, NY USA</t>
  </si>
  <si>
    <t>Indiana University System; Indiana University-Purdue University Indianapolis; Columbia University</t>
  </si>
  <si>
    <t>Welke, B (corresponding author), Indiana Univ Purdue Univ, Dept Earth Sci, Indianapolis, IN 46202 USA.</t>
  </si>
  <si>
    <t>bmwelke56@gmail.com</t>
  </si>
  <si>
    <t>Licht, Kathy/0000-0002-2233-2853; Hemming, Sidney/0000-0001-8117-2303</t>
  </si>
  <si>
    <t>National Science Foundation Office of Polar Programs [NSF OPP-1043572, NSF OPP-1043619]; Geological Society of America Graduate Student Research grant; IUPUI Educational Enhancement and School of Science Graduate Student Council grants; University of Arizona [OPP-0838722]; Gondwana Map Project [IGCP-628]; Directorate For Geosciences; Office of Polar Programs (OPP) [1141906] Funding Source: National Science Foundation; Division Of Earth Sciences; Directorate For Geosciences [1338583] Funding Source: National Science Foundation</t>
  </si>
  <si>
    <t>National Science Foundation Office of Polar Programs(National Science Foundation (NSF)NSF - Directorate for Geosciences (GEO)); Geological Society of America Graduate Student Research grant; IUPUI Educational Enhancement and School of Science Graduate Student Council grants; University of Arizona; Gondwana Map Project; Directorate For Geosciences; Office of Polar Programs (OPP)(National Science Foundation (NSF)NSF - Directorate for Geosciences (GEO)); Division Of Earth Sciences; Directorate For Geosciences(National Science Foundation (NSF)NSF - Directorate for Geosciences (GEO))</t>
  </si>
  <si>
    <t>This work was supported by the National Science Foundation Office of Polar Programs grant NSF OPP-1043572, NSF OPP-1043619, a 2012 Geological Society of America Graduate Student Research grant, and IUPUI Educational Enhancement and School of Science Graduate Student Council grants. We appreciate the assistance with analyses provided by the Lamont-Doherty Earth Observatory Ar Geochronology Lab, as well as the University of Arizona's LaserChron Center and Helium Radiogenic Dating Laboratory, with special thanks to Stuart Thomson. The apatite data were collected by Christine Kassab during the 2014 Multichron Workshop at University of Arizona grant OPP-0838722. We also appreciate the helpful comments, suggestions and samples from David Elliot, and Leigh Stearns for constructing an ice flow map of the Ross Embayment. Data for Figure 2 were provided by Renata Schmitt as part of the Gondwana Map Project (IGCP-628). We also appreciate comments and suggestions provided by two anonymous reviewers. All of the data from this paper are available in the supporting information.</t>
  </si>
  <si>
    <t>10.1002/2015GC005941</t>
  </si>
  <si>
    <t>DV5BI</t>
  </si>
  <si>
    <t>WOS:000382940000017</t>
  </si>
  <si>
    <t>Xarnxidin, M; Wu, YH; Jian, SL; Zhou, YD; Wang, CS; Tohty, D; Xu, XW</t>
  </si>
  <si>
    <t>Xarnxidin, Maripat; Wu, Yue-Hong; Jian, Shu-Ling; Zhou, Ya-Dong; Wang, Chun-Sheng; Tohty, Dilbar; Xu, Xue-Wei</t>
  </si>
  <si>
    <t>Aquaticitalea lipolytica gen. nov., sp nov., isolated from Antarctic seawater</t>
  </si>
  <si>
    <t>TIDAL FLAT SEDIMENT; MESOPHILUS SP NOV.; FAMILY FLAVOBACTERIACEAE; EMENDED DESCRIPTION; MARINE BACTERIUM; BIZIONIA; MEMBER; ENVIRONMENTS</t>
  </si>
  <si>
    <t>A Gram-stain-negative, rod-shaped bacterium, designated Ar-125(T), was isolated from Antarctic seawater. It produced carotenoid-like pigments and did not produce Bchl a. Ar-125(T) was positive for hydrolysis of DNA, aesculin, gelatin, starch, Tween 40 and Tween 60. The sole respiratory quinone was MK-6. The major polar lipids were phosphatidylethanolamine, one unidentified aminolipid, one unidentified glycolipid and two unidentified lipids. The principal fatty acids were branched-chain fatty acids, including iso-C-15:0, iso-C-15:1 G, summed feature 3 (iso-C-15:0 2-OH and/or C-16:1 omega 7c, iso-C-16:0, iso-C-17:0 3-OH, iso-C-16:0 3-OH and iso-C-15:0 3-OH, as well as C-15:0. The genomic DNA G+C content was 31.8 mol%. On the basis of 16S rRNA gene sequence analysis, Ar-125(T) is closely related to the species of the genera Bizionia (with 16S rRNA gene pairwise sequence similarity of 93.7-96.5%), Formosa(94.3-95.8%), Gaetbulibacter(94.2-95.7 %), Geojedonia(95.5 %), Gelidibacter (93.3-95.4 %), Meridianimaribacter(95.3 %) and Psychroserpens (94.8-95.3%), of the family Flavobacteriaceae. Phylogenetic analysis indicated that it represented an independent lineage and that the closest relatives were members of the genus Gelidibacter. Differential phenotypic properties and chemotaxonomic differences, together with phylogenetic distinctiveness, revealed that Ar-125(T) could be differentiated from members of closely related genera. Therefore, it is proposed that Ar-125(T) represents a novel species in a new genus, for which the name Aquaticitalea lipolytica gen. nov., sp. nov. (type strain Ar-125(T) =CGMCC 1.15295(T) =JCM 30876(T)) is proposed.</t>
  </si>
  <si>
    <t>[Xarnxidin, Maripat; Tohty, Dilbar] Xinjiang Normal Univ, Coll Life Sci, Urumqi 830054, Peoples R China; [Xarnxidin, Maripat; Wu, Yue-Hong; Jian, Shu-Ling; Zhou, Ya-Dong; Wang, Chun-Sheng; Xu, Xue-Wei] State Ocean Adm, Inst Oceanog 2, Key Lab Marine Ecosyst &amp; Biogeochem, Hangzhou 310012, Zhejiang, Peoples R China</t>
  </si>
  <si>
    <t>Xinjiang Normal University; Ministry of Natural Resources of the People's Republic of China; Second Institute of Oceanography, Ministry of Natural Resources</t>
  </si>
  <si>
    <t>Tohty, D (corresponding author), Xinjiang Normal Univ, Coll Life Sci, Urumqi 830054, Peoples R China.;Xu, XW (corresponding author), State Ocean Adm, Inst Oceanog 2, Key Lab Marine Ecosyst &amp; Biogeochem, Hangzhou 310012, Zhejiang, Peoples R China.</t>
  </si>
  <si>
    <t>dilbar.th@163.corn; xuxw@sio.org.cn</t>
  </si>
  <si>
    <t>Wang, Chunsheng/GLR-4364-2022; Wang, Jin/GYA-2019-2022; xu, xuewei/J-9219-2013</t>
  </si>
  <si>
    <t>Wang, Chunsheng/0000-0001-5927-0804;</t>
  </si>
  <si>
    <t>National Basic Research Program of China (973 Program) [2014CB441503]; National Natural Science Foundation of China [41276173, 31260002]; Top-Notch Young Talents Program of China</t>
  </si>
  <si>
    <t>National Basic Research Program of China (973 Program)(National Basic Research Program of China); National Natural Science Foundation of China(National Natural Science Foundation of China (NSFC)); Top-Notch Young Talents Program of China</t>
  </si>
  <si>
    <t>We would like to thank professor John P. Bowman for his providing of Gelidibacter salicanalis IC162T, thank professor Aharon Oren for his help with nomenclature, and thank the China Center for Type Culture Collection (CCTCC) for their help with the Biolog GN2 analysis. This work was supported by grants from National Basic Research Program of China (973 Program) (No. 2014CB441503), the National Natural Science Foundation of China (No. 41276173 and 31260002) and the Top-Notch Young Talents Program of China.</t>
  </si>
  <si>
    <t>10.1099/ijsem.0.001101</t>
  </si>
  <si>
    <t>DV4ON</t>
  </si>
  <si>
    <t>WOS:000382905000030</t>
  </si>
  <si>
    <t>Yannic, G; Broquet, T; Strom, H; Aebischer, A; Dufresnes, C; Gavrilo, MV; Gilchrist, HG; Mallory, ML; Morrison, RIG; Sabard, B; Sermier, R; Gilg, O</t>
  </si>
  <si>
    <t>Yannic, Glenn; Broquet, Thomas; Strom, Hallvard; Aebischer, Adrian; Dufresnes, Christophe; Gavrilo, Maria V.; Gilchrist, H. Grant; Mallory, Mark L.; Morrison, R. I. Guy; Sabard, Brigitte; Sermier, Roberto; Gilg, Olivier</t>
  </si>
  <si>
    <t>Genetic and morphological sex identification methods reveal a male-biased sex ratio in the Ivory Gull Pagophila eburnea</t>
  </si>
  <si>
    <t>Molecular sexing; Morphological sexing; Sexual dimorphism; Noninvasive sampling; Buccal swab; Arctic</t>
  </si>
  <si>
    <t>LARUS-MICHAHELLIS-LUSITANIUS; BLACK-HEADED GULLS; BUCCAL SWABS; SIZE DIMORPHISM; ARCTIC SEABIRDS; DNA; BIRDS; FEATHERS; EGGS; ORGANOCHLORINES</t>
  </si>
  <si>
    <t>Sex identification of birds is relevant to studies of evolutionary biology and ecology and is often a central issue for the management and conservation of populations. The Ivory Gull Pagophila eburnea (Phipps, 1774) is a rare high-Arctic species whose main habitat is sea ice throughout the year. This species is currently listed Near Threatened by the IUCN, because populations have drastically declined in part of the species distribution in the recent past. Here we tested molecular sexing methods with different types of samples. Molecular sexing appeared to be very efficient with DNA extracted from muscle, blood, and buccal swabs, both for adults and young chicks. We also performed morphological analyses to characterize sexual size dimorphism in Ivory Gulls sampled in three distinct regions: Greenland, Svalbard, and Russia. Males were larger than females for all morphometric measurements, with little overlap between sexes. Discriminant analysis based on six morphometric variables correctly classified similar to 95 % of the individuals, even when using two variables only, i.e., gonys height and skull length. Therefore, both molecular and biometric methods are useful for sexing Ivory Gulls. Interestingly, our results indicate a male-biased sex ratio across all Ivory Gull populations studied, including two samples of offspring (67.8 % males).</t>
  </si>
  <si>
    <t>[Yannic, Glenn] Univ Savoie Mt Blanc, CNRS, UMR 5553, LECA Lab Ecol Alpine, F-73376 Le Bourget Du Lac, France; [Yannic, Glenn; Aebischer, Adrian; Sabard, Brigitte; Gilg, Olivier] GREA, F-21440 Francheville, France; [Broquet, Thomas] CNRS, Team Divers &amp; Connect Coastal Marine Landscapes, Stn Biol Roscoff, F-29680 Roscoff, France; [Broquet, Thomas] Univ Paris 06, Sorbonne Univ, Stn Biol Roscoff, UMR 7144, F-29680 Roscoff, France; [Strom, Hallvard] Norwegian Polar Res Inst, Polar Environm Ctr, N-9296 Tromso, Norway; [Dufresnes, Christophe; Sermier, Roberto] Univ Lausanne, Dept Ecol &amp; Evolut, CH-1015 Lausanne, Switzerland; [Gavrilo, Maria V.] Natl Pk Russian Arctic, 57 Sovetskikh Kosmonavtov Pr, Arkhangelsk 163000, Russia; [Gavrilo, Maria V.] Joint Directorate Taimyr Nat Reserves, 22 Talnakhskaya, Norilsk 663300, Russia; [Gilchrist, H. Grant] Environm Canada, Natl Wildlife Res Ctr, Ottawa, ON K1S 5B6, Canada; [Gilchrist, H. Grant] Carleton Univ, Dept Biol, Ottawa, ON K1S 5B6, Canada; [Mallory, Mark L.] Acadia Univ, 33 Westwood Ave, Wolfville, NS B4P 2R6, Canada; [Morrison, R. I. Guy] Carleton Univ, Natl Wildlife Res Ctr, Sci &amp; Technol Branch, Environm Canada, 1125 Colonel By Dr Raven Rd, Ottawa, ON K1A OH3, Canada; [Gilg, Olivier] Univ Bourgogne, Equipe Ecol Evolut, UMR CNRS 6282, Lab Biogeosci, Blvd Gabriel, F-21000 Dijon, France</t>
  </si>
  <si>
    <t>Centre National de la Recherche Scientifique (CNRS); CNRS - Institute of Ecology &amp; Environment (INEE); Communaute Universite Grenoble Alpes; Universite Grenoble Alpes (UGA); Universite Savoie Mont Blanc; Sorbonne Universite; Centre National de la Recherche Scientifique (CNRS); Centre National de la Recherche Scientifique (CNRS); CNRS - Institute of Ecology &amp; Environment (INEE); Sorbonne Universite; Norwegian Polar Institute; University of Lausanne; Environment &amp; Climate Change Canada; Canadian Wildlife Service; National Wildlife Research Centre - Canada; Carleton University; Acadia University; Environment &amp; Climate Change Canada; Canadian Wildlife Service; National Wildlife Research Centre - Canada; Carleton University; Centre National de la Recherche Scientifique (CNRS); CNRS - Institute of Ecology &amp; Environment (INEE); Universite de Bourgogne</t>
  </si>
  <si>
    <t>Yannic, G (corresponding author), Univ Savoie Mt Blanc, CNRS, UMR 5553, LECA Lab Ecol Alpine, F-73376 Le Bourget Du Lac, France.;Yannic, G (corresponding author), GREA, F-21440 Francheville, France.</t>
  </si>
  <si>
    <t>glenn.yannic@gmail.com</t>
  </si>
  <si>
    <t>YANNIC, Glenn/HDO-0551-2022; Gavrilo, Maria V/R-7091-2016; Dufresnes, Christophe/U-1387-2019; GILG, Olivier/C-2588-2008; Mallory, Mark/A-1952-2017</t>
  </si>
  <si>
    <t>YANNIC, Glenn/0000-0002-6477-2312; Gavrilo, Maria V/0000-0002-3500-9617; Mallory, Mark/0000-0003-2744-3437; Dufresnes, Christophe/0000-0002-8497-8908; GILG, Olivier/0000-0002-9083-4492; Broquet, Thomas/0000-0002-2986-2822</t>
  </si>
  <si>
    <t>foundation Ellis Elliot (Switzerland); Societe vaudoise des Sciences naturelles (Switzerland); Nos Oiseaux (Switzerland); foundation Agassiz (Switzerland); Nicolas Perrin's research group (Department of Ecology and Evolution, University of Lausanne); Norwegian Ministry of Environment; Norwegian Polar Institute; Arctic and Antarctic Research Institute</t>
  </si>
  <si>
    <t>We are grateful to Emmanuelle Pouive, to the late John Lau (Station Nord), and to David Paetkau and collaborators (Wildlife Genetics International Inc.) for logistic assistance. We also thank Jacques Hausser for answering our questions regarding linear discriminant function analysis. We thank two anonymous referees for their comments on a previous version of this manuscript. This work was supported by grants from foundation Ellis Elliot (Switzerland), Societe vaudoise des Sciences naturelles (Switzerland), and Nos Oiseaux (Switzerland) to GY, by a foundation Agassiz (Switzerland) grant to TB and by Nicolas Perrin's research group (Department of Ecology and Evolution, University of Lausanne). Field work in Greenland was supported by the National Geographic Society, Prix Gore-Tex initiative, Fondation Avenir Finance, the Arctic Ocean Diversity Census of Marine Life Project, CNES, CLS, the Groupe de Recherche en Ecologie Arctique (GREA), and F. Paulsen. The fieldwork in Norway and Russia was funded by the Norwegian Ministry of Environment, the Norwegian Polar Institute, Arctic and Antarctic Research Institute. The project was part of the work plan of the Joint Norwegian-Russian Commission on Environmental Protection. The work in Russia was part of the Russian IPY 2007/2008 program. Canadian fieldwork was supported by Environment Canada and Natural Resources Canada (PCSP). We thank the Commanding Officers and members of CFS Alert, as well as staff at the Environment Canada Weather Station at Alert, for this generous support.</t>
  </si>
  <si>
    <t>10.1007/s10336-016-1328-4</t>
  </si>
  <si>
    <t>DV5CQ</t>
  </si>
  <si>
    <t>WOS:000382943900018</t>
  </si>
  <si>
    <t>Cenizo, M; Noriega, JI; Reguero, MA</t>
  </si>
  <si>
    <t>Cenizo, Marcos; Noriega, Jorge I.; Reguero, Marcelo A.</t>
  </si>
  <si>
    <t>A stem falconid bird from the Lower Eocene of Antarctica and the early southern radiation of the falcons</t>
  </si>
  <si>
    <t>Fossil bird; Falconiformes; Paleogene; Seymour Island; Stem lineage; Antarctoboenus carlinii</t>
  </si>
  <si>
    <t>LATE MIOCENE; DIVERSIFICATION; PHYLOGENY; EVOLUTION; AVES; PLIOCENE</t>
  </si>
  <si>
    <t>Antarctoboenus carlinii nov. gen. nov. sp. is a large-sized falconiform bird from the La Meseta Formation (Lower Eocene) at Seymour (Marambio) Island, West Antarctica. The holotypical tarsometatarsus was originally assigned to Falconidae and its affinities to Polyborinae were pointed out. Detailed osteological and comparative analyses of the Antarctic specimen allowed recognition of the new taxon as a member of stem group Falconidae, i.e. it is supposed to belong to the early radiation of the falconiform lineage. Antarctoboenus carlinii is distinguished from members of crown group Falconidae by having a very shallow sulcus extensorius, a large foramen vasculare distale, an undistinguishable tendinal attachment for the m. adductor digiti II, and short trochlea metatarsi II, among its main diagnostic characters. Purported phylogenetic relationships between A. carlinii and Polyborinae are based on plesiomorphic characters retained in the tarsometatarsus of the latter clade. Our conclusions reinforce the hypothesis about the Neotropical or Austral origin of Falconidae supported by previous molecular phylogenies.</t>
  </si>
  <si>
    <t>[Cenizo, Marcos] Museo Prov Hist Nat, Area Paleontol, Pellegrini 180, RA-6300 Santa Rosa, La Pampa, Argentina; [Cenizo, Marcos] Univ Maimonides, CEBBAD, Fdn Hist Nat Felix Azara, Dept Ciencias Nat &amp; Antropol, Hidalgo 775,C1405BDB, Buenos Aires, DF, Argentina; [Noriega, Jorge I.] Consejo Nacl Invest Cient &amp; Tecn, CICYTTP, UADER, Lab Paleontol Vertebrados, RA-3105 Diamante, Entre Rios, Argentina; [Reguero, Marcelo A.] Inst Antartico Argentino, Balcarce 290,C1064AAF, Buenos Aires, DF, Argentina</t>
  </si>
  <si>
    <t>Consejo Nacional de Investigaciones Cientificas y Tecnicas (CONICET); Instituto Antartico Argentino</t>
  </si>
  <si>
    <t>Cenizo, M (corresponding author), Museo Prov Hist Nat, Area Paleontol, Pellegrini 180, RA-6300 Santa Rosa, La Pampa, Argentina.;Cenizo, M (corresponding author), Univ Maimonides, CEBBAD, Fdn Hist Nat Felix Azara, Dept Ciencias Nat &amp; Antropol, Hidalgo 775,C1405BDB, Buenos Aires, DF, Argentina.</t>
  </si>
  <si>
    <t>cenizomarcos@yahoo.com.ar</t>
  </si>
  <si>
    <t>Cenizo, Marcos/M-5144-2019; Reguero, Marcelo A./JHS-4893-2023</t>
  </si>
  <si>
    <t>Cenizo, Marcos/0000-0001-9301-0205;</t>
  </si>
  <si>
    <t>10.1007/s10336-015-1316-0</t>
  </si>
  <si>
    <t>WOS:000382943900020</t>
  </si>
  <si>
    <t>Porfirio, LL; Harris, RMB; Stojanovic, D; Webb, MH; Mackey, B</t>
  </si>
  <si>
    <t>Porfirio, Luciana L.; Harris, Rebecca M. B.; Stojanovic, Dejan; Webb, Mathew H.; Mackey, Brendan</t>
  </si>
  <si>
    <t>Projected direct and indirect effects of climate change on the Swift Parrot, an endangered migratory species</t>
  </si>
  <si>
    <t>EMU-AUSTRAL ORNITHOLOGY</t>
  </si>
  <si>
    <t>Eucalypts; migratory bird; model ensemble; refugia; species distribution models; species interactions; Sugar Glider; trophic level</t>
  </si>
  <si>
    <t>BIOTIC INTERACTIONS; IMPROVE PREDICTION; DISTRIBUTIONS; MODELS; AUSTRALIA; PHENOLOGY; ABUNDANCE; RESPONSES; PATTERNS; TASMANIA</t>
  </si>
  <si>
    <t>Assessing future changes in the suitability of the climate niche for interacting species across different trophic levels can identify direct and indirect effects of climate change that may be missed using single-species approaches. We use ensembles of species distribution models based on a dynamically down-scaled regional climate model to project the future suitability of climate for the Swift Parrot (Lathamus discolor), its primary food and habitat resources (Tasmanian Blue Gum (Eucalyptus globulus) and Swamp Gum (E. ovata)), and an introduced nest predator, the Sugar Glider (Petaurus breviceps). These results are combined with layers representing mature forest and fire danger to identify locations that may act as refuges for the Swift Parrot from fire, deforestation and predation under baseline and future climates. Almost a quarter of the nesting habitat of Swift Parrots is projected to become climatically unsuitable by the end of the 21st century, but large areas may remain climatically suitable for both Swift Parrots and their food trees. However, loss of forests and the presence of Sugar Gliders are likely to limit the availability of high-quality habitat. Offshore islands that the Sugar Glider is unable to colonise or where future climate is not projected to be suitable for the Sugar Glider may be the only places, in the near future, where the Swift Parrot will be protected from nest predation by this introduced species.</t>
  </si>
  <si>
    <t>[Porfirio, Luciana L.] CSIRO, CSIRO Oceans &amp; Atmosphere Flagship, Bldg 002, Yarralumla, ACT 2601, Australia; [Porfirio, Luciana L.; Stojanovic, Dejan; Webb, Mathew H.] Australian Natl Univ, Fenner Sch Environm &amp; Soc, B48A,Linneaus Way, Acton, ACT 0200, Australia; [Harris, Rebecca M. B.] Univ Tasmania, ACE CRC, Private Bag 80, Hobart, Tas 7000, Australia; [Mackey, Brendan] Griffith Univ, Griffith Climate Change Response Program, Acad 1 Bldg G01,Gold Coast Campus,Parklands Dr, Southport, Qld 4222, Australia</t>
  </si>
  <si>
    <t>Commonwealth Scientific &amp; Industrial Research Organisation (CSIRO); Australian National University; University of Tasmania; Griffith University; Griffith University - Gold Coast Campus</t>
  </si>
  <si>
    <t>Porfirio, LL (corresponding author), CSIRO, CSIRO Oceans &amp; Atmosphere Flagship, Bldg 002, Yarralumla, ACT 2601, Australia.;Porfirio, LL (corresponding author), Australian Natl Univ, Fenner Sch Environm &amp; Soc, B48A,Linneaus Way, Acton, ACT 0200, Australia.</t>
  </si>
  <si>
    <t>Luciana.Porfirio@csiro.au</t>
  </si>
  <si>
    <t>Mackey, Brendan/ABE-3805-2020; Stojanovic, Dejan/AAB-3113-2019; Stojanovic, Dejan/AFQ-4247-2022; Harris, Rebecca/N-2790-2013</t>
  </si>
  <si>
    <t>Stojanovic, Dejan/0000-0002-1176-3244; Stojanovic, Dejan/0000-0002-1176-3244; Mackey, Brendan/0000-0003-1996-4064; Harris, Rebecca/0000-0002-6426-2179</t>
  </si>
  <si>
    <t>Australian Government's National Environmental Research Program</t>
  </si>
  <si>
    <t>Australian Government's National Environmental Research Program(Australian Government)</t>
  </si>
  <si>
    <t>We thank our colleagues Ms Sonia Hugh and Ms Lauren Carter from the Australian National University (ANU) for their help in formatting the GIS data used in the analysis. This research is an output from the Landscapes and Policy Research Hub. The Hub was supported through funding from the Australian Government's National Environmental Research Program and involves researchers from the University of Tasmania, ANU, Murdoch University, the Antarctic Climate and Ecosystems Cooperative Research Centre, Griffith University and Charles Sturt University.</t>
  </si>
  <si>
    <t>TAYLOR &amp; FRANCIS AUSTRALIA</t>
  </si>
  <si>
    <t>MELBOURNE</t>
  </si>
  <si>
    <t>LEVEL 2, 11 QUEENS RD, MELBOURNE, VIC 3004, AUSTRALIA</t>
  </si>
  <si>
    <t>0158-4197</t>
  </si>
  <si>
    <t>1448-5540</t>
  </si>
  <si>
    <t>EMU</t>
  </si>
  <si>
    <t>Emu</t>
  </si>
  <si>
    <t>10.1071/MU15094</t>
  </si>
  <si>
    <t>DT4DU</t>
  </si>
  <si>
    <t>WOS:000381431100006</t>
  </si>
  <si>
    <t>Adams, EY; Fretz, KA; Ukhorskiy, AY; Fox, NJ</t>
  </si>
  <si>
    <t>Adams, Elena Y.; Fretz, Kristin A.; Ukhorskiy, Aleksandr Y.; Fox, Nicola J.</t>
  </si>
  <si>
    <t>Van Allen Probes Mission Overview and Discoveries to Date</t>
  </si>
  <si>
    <t>JOHNS HOPKINS APL TECHNICAL DIGEST</t>
  </si>
  <si>
    <t>INNER RADIATION BELT; MARCH 2013 STORM; ULTRARELATIVISTIC ELECTRONS; SEED POPULATION; CHORUS WAVE; ACCELERATION; INJECTIONS; PROTONS; EVENT</t>
  </si>
  <si>
    <t>The morning of 30 August 2012 saw an Atlas V rocket launch NASA's second Living With a Star spacecraft mission, the twin Radiation Belt Storm Probes (RBSP), into orbit for an epic mission to understand Earth's space radiation environment. Renamed the Van Allen Probes soon after launch, the Probes are designed to determine how populations of high-energy charged particles within Earth's radiation belts, dangerous to astronauts and satellites, are created, respond to solar variations, and evolve in space environments. Operating in nearly identical geocentric 1.1 x 5.8 R-E (10 degrees inclination) orbits, the two Probes have advanced the goals of NASA's Science Plan (2014) by radically revising our understanding of Earth's radiation belts and inner magnetosphere. As a key new member of the Heliophysics System Observatory, the mission has led to the discovery of several new and unanticipated structures, the verification and quantification of previously suggested energization processes, and the discovery of new energization processes. It has revealed the critical importance of dynamic injections into the innermost magnetosphere and has coordinated with the high-altitude Antarctic balloon mission Balloon Array for RBSP Relativistic Electron Losses (BARREL) to determine the nature of particle precipitation. The uniquely capable instruments have revealed inner radiation belt features that were all but invisible to previous sensors, and the mission has profoundly advanced our understanding of the measurements critical for predictive modeling of space weather. This article describes the science objectives of the Van Allen Probes mission, highlights the discoveries made so far, and explains the objectives and observation plan for the extended mission.</t>
  </si>
  <si>
    <t>[Adams, Elena Y.; Fretz, Kristin A.; Ukhorskiy, Aleksandr Y.] APLs Space Explorat Sect, Laurel, MD 20723 USA; [Adams, Elena Y.] Van Allen Probes, ECT Suite MagEIS HOPE &amp; REPT, Washington, DC 20546 USA; [Fretz, Kristin A.] Van Allen Probes Mission, Fault Management Team, Dev Integrat &amp; Test Phases Project, Washington, DC 20546 USA; [Ukhorskiy, Aleksandr Y.; Fox, Nicola J.] Van Allen Probes Mission, Washington, DC 20546 USA; [Fox, Nicola J.] APLs Space Explorat Sect, Space Weather, Space Res Branch, Laurel, MD 20723 USA</t>
  </si>
  <si>
    <t>Adams, EY (corresponding author), APLs Space Explorat Sect, Laurel, MD 20723 USA.;Adams, EY (corresponding author), Van Allen Probes, ECT Suite MagEIS HOPE &amp; REPT, Washington, DC 20546 USA.</t>
  </si>
  <si>
    <t>elena.adams@jhuapl.edu</t>
  </si>
  <si>
    <t>Ukhorskiy, Aleksandr/E-6429-2016; Fox, Nicola J/P-6692-2016</t>
  </si>
  <si>
    <t>Ukhorskiy, Aleksandr/0000-0002-3326-4024; Fox, Nicola J/0000-0003-3411-4228</t>
  </si>
  <si>
    <t>JOHNS HOPKINS UNIV</t>
  </si>
  <si>
    <t>LAUREL</t>
  </si>
  <si>
    <t>APPLIED PHYSICS LABORATORY ATTN: TECHNICAL DIGEST JOHN HOPKINS RD, BLDG 1W-131, LAUREL, MD 20723-6099 USA</t>
  </si>
  <si>
    <t>0270-5214</t>
  </si>
  <si>
    <t>1930-0530</t>
  </si>
  <si>
    <t>J HOPKINS APL TECH D</t>
  </si>
  <si>
    <t>Johns Hopkins APL Tech. Dig.</t>
  </si>
  <si>
    <t>Engineering, Multidisciplinary</t>
  </si>
  <si>
    <t>DT4PI</t>
  </si>
  <si>
    <t>WOS:000381462800003</t>
  </si>
  <si>
    <t>Fudge, TJ; Taylor, KC; Waddington, ED; Fitzpatrick, JJ; Conway, H</t>
  </si>
  <si>
    <t>Fudge, T. J.; Taylor, Kendrick C.; Waddington, Edwin D.; Fitzpatrick, Joan J.; Conway, Howard</t>
  </si>
  <si>
    <t>Electrical stratigraphy of the WAIS Divide ice core: Identification of centimeter-scale irregular layering</t>
  </si>
  <si>
    <t>ice core; boudin; paleoclimate; ice deformation; stratigraphy</t>
  </si>
  <si>
    <t>WD2014 CHRONOLOGY; OPTICAL SCANNER; DOME-C; GREENLAND; ANTARCTICA; DIFFUSION; RECORDS; GISP2; SYNCHRONIZATION; DISTURBANCE</t>
  </si>
  <si>
    <t>Multitrack electrical conductivity measurements imaged a continuous record of the two-dimensional electrical stratigraphy for the deepest 40% of the WAIS Divide ice core (1956m to 3405m, 11.5 to 68ka). The electrical stratigraphy showed clear banding driven primarily by annual variations. Centimeter-scale pinched layers and other irregularities were concentrated between 2700m and 2900m (27ka to 33ka); below 2900m, decreasing amplitude of conductance variations likely due to diffusion prevented confident interpretation of both annual and irregular layering. The effective diffusivity at -30 degrees C is 2.2x10(-8)m(2)yr(-1), approximately 5 times greater than for self-diffusion of water molecules, implying diffusion at grain boundaries. The irregular layering indicates that the centimeter-scale layering was disturbed in sections even though other records, such as atmospheric methane, indicate meter and larger layering is not compromised. Preservation of irregular layering at deposition is unlikely to be the cause of the identified irregular layering; instead, the irregular layering likely arises from variations in the deformation of ice.</t>
  </si>
  <si>
    <t>[Fudge, T. J.; Waddington, Edwin D.; Conway, Howard] Univ Washington, Dept Earth &amp; Space Sci, Seattle, WA 98195 USA; [Taylor, Kendrick C.] Nevada Syst Higher Educ, Desert Res Inst, Reno, NV USA; [Fitzpatrick, Joan J.] US Geol Survey, Geosci &amp; Environm Change Sci Ctr, Box 25046, Denver, CO 80225 USA</t>
  </si>
  <si>
    <t>University of Washington; University of Washington Seattle; Nevada System of Higher Education (NSHE); Desert Research Institute NSHE; United States Department of the Interior; United States Geological Survey</t>
  </si>
  <si>
    <t>Fudge, TJ (corresponding author), Univ Washington, Dept Earth &amp; Space Sci, Seattle, WA 98195 USA.</t>
  </si>
  <si>
    <t>tjfudge@uw.edu</t>
  </si>
  <si>
    <t>; Taylor, Kendrick/A-3469-2016</t>
  </si>
  <si>
    <t>Conway, Howard/0000-0003-4634-3474; Taylor, Kendrick/0000-0001-8535-1261; Fudge, Tyler/0000-0002-6818-7479</t>
  </si>
  <si>
    <t>U.S. National Science Foundation (NSF) [0944197, 0944191]; NSF [0230396, 0440817, 0944348, 0944266]; National Science Foundation Division of Polar Programs; Directorate For Geosciences; Division Of Polar Programs [0440817] Funding Source: National Science Foundation; Directorate For Geosciences; Division Of Polar Programs [0230396] Funding Source: National Science Foundation; Directorate For Geosciences; Office of Polar Programs (OPP) [0944266] Funding Source: National Science Foundation</t>
  </si>
  <si>
    <t>U.S. National Science Foundation (NSF)(National Science Foundation (NSF)); NSF(National Science Foundation (NSF)); National Science Foundation Division of Polar Programs(National Science Foundation (NSF)); Directorate For Geosciences; Division Of Polar Programs(National Science Foundation (NSF)NSF - Directorate for Geosciences (GEO)); Directorate For Geosciences; Division Of Polar Programs(National Science Foundation (NSF)NSF - Directorate for Geosciences (GEO)); Directorate For Geosciences; Office of Polar Programs (OPP)(National Science Foundation (NSF)NSF - Directorate for Geosciences (GEO))</t>
  </si>
  <si>
    <t>The electrical measurements are available at http://nsidc.org/data/docs/agdc/nsidc0591/index.html. We thank Sean Michael, Tami Nguyen, Bryan Holmes, Evan Lewarch, and Paulene Roberts for many hours operating the ECM when the outside temperature was 100F warmer than in the freezer. We also thank Bryn Hubbard and two anonymous reviewers for improving the manuscript. This work was supported by the U.S. National Science Foundation (NSF) grants 0944197 (H.C. and E.D.W.) and 0944191 (K.C.T.). The authors appreciate the support of the WAIS Divide Science Coordination Office at the Desert Research Institute, Reno, NE, USA, and University of New Hampshire, USA, for the collection and distribution of the WAIS Divide ice core and related tasks (NSF grants 0230396, 0440817, 0944348, and 0944266). K.C.T. led the field effort that collected the samples. The National Science Foundation Division of Polar Programs also funded the Ice Drilling Program Office (IDPO) and Ice Drilling Design and Operations (IDDO) group for coring activities; the National Ice Core Laboratory for curation of the core; the Antarctic Support Contractor for logistics support in Antarctica; and the 109th New York Air National Guard for airlift in Antarctica.</t>
  </si>
  <si>
    <t>10.1002/2016JF003845</t>
  </si>
  <si>
    <t>DV0AZ</t>
  </si>
  <si>
    <t>WOS:000382581200002</t>
  </si>
  <si>
    <t>Platt, JD; Perol, T; Suckale, J; Rice, JR</t>
  </si>
  <si>
    <t>Platt, John D.; Perol, Thibaut; Suckale, Jenny; Rice, James R.</t>
  </si>
  <si>
    <t>Determining conditions that allow a shear margin to coincide with a Rothlisberger channel</t>
  </si>
  <si>
    <t>Ice stream dynamics; Shear Margins; Subglacial hydrology</t>
  </si>
  <si>
    <t>ICE STREAM-B; SUBGLACIAL HYDROLOGY; DEFORMATION; BENEATH; FLOW; MECHANICS; GLACIERS; ANTARCTICA; MIGRATION; STRAIN</t>
  </si>
  <si>
    <t>The mass loss from the West Antarctic Ice Sheet is dominated by numerous rapidly flowing ice streams, which are separated from stagnant ice in the adjacent ridges by zones of concentrated deformation known as shear margins. Because the discharge from a single ice stream depends sensitively on the ice stream width, determining the physical processes that control shear margin location is crucial to a full understanding of ice stream dynamics. Previous work has shown that the transition from a deforming to an undeforming bed within a shear margin concentrates large stresses on the undeforming bed beneath the ridge. In this paper we investigate how the presence of a drainage channel collocated with the transition from a deforming to an undeforming bed perturbs the stress field within the shear margin. We show that the channel limits the maximum shear stress on the undeforming bed and alters the yield strength of the till by changing the normal stress on the ice-till interface. By comparing the maximum stress with the till strength, we show that the transition from a deforming to an undeforming bed can occur across a channel whenever the water flux in the channel exceeds a critical value. This critical flux is sensitive to the rheology and loading of the shear margin, but we conclude that there are some scenarios where the transition from a deforming to an undeforming bed can be collocated with a drainage channel, though this configuration is probably not typical.</t>
  </si>
  <si>
    <t>[Platt, John D.; Perol, Thibaut; Rice, James R.] Harvard Univ, Harvard John A Paulson Sch Engn &amp; Appl Sci, Cambridge, MA 02138 USA; [Platt, John D.] Carnegie Inst Sci, Dept Terr Magnetism, 5241 Broad Branch Rd NW, Washington, DC 20015 USA; [Suckale, Jenny] Stanford Univ, Dept Geophys, Palo Alto, CA 94304 USA; [Rice, James R.] Harvard Univ, Dept Earth &amp; Planetary Sci, 20 Oxford St, Cambridge, MA 02138 USA</t>
  </si>
  <si>
    <t>Harvard University; Carnegie Institution for Science; Stanford University; Harvard University</t>
  </si>
  <si>
    <t>Platt, JD (corresponding author), Harvard Univ, Harvard John A Paulson Sch Engn &amp; Appl Sci, Cambridge, MA 02138 USA.;Platt, JD (corresponding author), Carnegie Inst Sci, Dept Terr Magnetism, 5241 Broad Branch Rd NW, Washington, DC 20015 USA.</t>
  </si>
  <si>
    <t>jplatt@seas.harvard.edu</t>
  </si>
  <si>
    <t>National Science Foundation through the Office of Polar Programs [1341499]; Directorate For Geosciences; Office of Polar Programs (OPP) [1341499] Funding Source: National Science Foundation</t>
  </si>
  <si>
    <t>National Science Foundation through the Office of Polar Programs; Directorate For Geosciences; Office of Polar Programs (OPP)(National Science Foundation (NSF)NSF - Directorate for Geosciences (GEO))</t>
  </si>
  <si>
    <t>This research was supported by the National Science Foundation through the Office of Polar Programs award 1341499 (March 2014 to February 2017) and previously grant ANT-0739444 (June 2008 to May 2012) to Harvard University. Input files used for the numerical simulations are available upon request by emailing the corresponding author at jplatt@dtm.ciw.edu The authors thank Christian Schoof, Tim Creyts, and Alan Rempel for fruitful discussions.</t>
  </si>
  <si>
    <t>10.1002/2015JF003707</t>
  </si>
  <si>
    <t>WOS:000382581200005</t>
  </si>
  <si>
    <t>Martín, MA; Ortiz, JM; Seva, J; Vidal, V; Valera, F; Benzal, J; Cuervo, JJ; de la Cruz, C; Belliure, J; Martínez, AM; Díaz, JI; Motas, M; Jerez, S; D'Amico, VL; Barbosa, A</t>
  </si>
  <si>
    <t>Martin, Maria A.; Ortiz, Juana M.; Seva, Juan; Vidal, Virginia; Valera, Francisco; Benzal, Jesus; Cuervo, Jose J.; de la Cruz, Carlos; Belliure, Josabel; Martinez, Ana M.; Diaz, Julia I.; Motas, Miguel; Jerez, Silvia; D'Amico, Veronica L.; Barbosa, Andres</t>
  </si>
  <si>
    <t>MODE OF ATTACHMENT AND PATHOLOGY CAUSED BY PARORCHITES ZEDERI IN THREE SPECIES OF PENGUINS: PYGOSCELIS PAPUA, PYGOSCELIS ADELIAE, AND PYGOSCELIS ANTARCTICA IN ANTARCTICA</t>
  </si>
  <si>
    <t>Cestoda; histopathology; parasite effects; Parorchites zederi; Pygoscelis</t>
  </si>
  <si>
    <t>SP-N; ALCATAENIA; CESTODA</t>
  </si>
  <si>
    <t>We identified and compared gross and microscopic lesions associated with the cestode, Parorchites zederi, in the digestive tracts of three species of penguins (Spheniscidae): the Chinstrap (Pygoscelis antarctica), Gentoo (Pygoscelis papua), and Adelie penguins (Pygoscelis adeliae). The gastrointestinal tracts of 79 recently dead individuals (71 chicks and eight adults) were collected in locations throughout the Antarctic Peninsula during summer field trips in 2006-09. Parorchites zederi was found in the small intestine of 37 animals (47%), and 23 (62%) of these had parasite-associated lesions. The cestodes were either free in the intestinal lumen, clustered within mucosal ulcers, or deeply embedded in the intestinal wall. Histopathologic changes were most severe in adult Gentoo Penguins and included transmural fibrogranulomatous enteritis, hemorrhage, and edema. This report of pathology associated with P. zederi in the digestive tracts of penguins can serve as reference to monitor health in Antarctic birds associated with environmental changes.</t>
  </si>
  <si>
    <t>[Martin, Maria A.; Ortiz, Juana M.; Vidal, Virginia] Univ Murcia, Fac Vet, Dept Sanidad Anim Parasitol, Reg Campus Int Excellence Campus Mare Nostrum, E-30100 Murcia, Spain; [Seva, Juan] Univ Murcia, Fac Vet, Dept Anat &amp; Anat Patol Comparadas, E-30100 Murcia, Spain; [Valera, Francisco; Benzal, Jesus] CSIC, Estn n Expt Zonas Aridas, Dept Ecol Func &amp; Evolut, La Canada De San Urbano 04120, Almeria, Spain; [Vidal, Virginia; Cuervo, Jose J.; Barbosa, Andres] CSIC, Museo Nacl Ciencias Nat, Dept Ecol Evolut, C Jose Gutierrez Abascal 2, E-28006 Madrid, Spain; [de la Cruz, Carlos] Univ Extremadura, Fac Ciencias, Dept Biol Anim, Ave Elvas S-N, E-06071 Badajoz, Spain; [Belliure, Josabel] Univ Alcala de Henares, Dept Ecol, Madrid 28871, Spain; [Martinez, Ana M.] Univ Nacl Autonoma Mexico, Inst Invest Mat, Circuito Interior SN,POB 70-360, Mexico City 04510, DF, Mexico; [Diaz, Julia I.] UNLP, CONICET, CCT La Plata, Ctr Estudios Parasitol &amp; Vectores, La Plata, Buenos Aires, Argentina; [Motas, Miguel; Jerez, Silvia] Univ Murcia, Fac Vet, Area Toxicol, Campus Espinardo, E-30100 Murcia, Spain; [D'Amico, Veronica L.] Consejo Nacl Invest Cient &amp; Tecn, CENPAT, Ctr Nacl Patagon, Blvd Brown, RA-2825 Puerto Madryn, Chubut, Argentina; [Ortiz, Juana M.; Valera, Francisco; Benzal, Jesus; Cuervo, Jose J.; Motas, Miguel; Jerez, Silvia; Barbosa, Andres] Univ Murcia, CSIC, Unidad Asociada Ecol &amp; Inmunol Parasitaria, Reg Campus Int Excellence Campus Mare Nostrum, E-30100 Murcia, Spain</t>
  </si>
  <si>
    <t>University of Murcia; University of Murcia; Consejo Superior de Investigaciones Cientificas (CSIC); Consejo Superior de Investigaciones Cientificas (CSIC); CSIC - Museo Nacional de Ciencias Naturales (MNCN); Universidad de Extremadura; Universidad de Alcala; Universidad Nacional Autonoma de Mexico; Consejo Nacional de Investigaciones Cientificas y Tecnicas (CONICET); National University of La Plata; University of Murcia; Centro Nacional Patagonico (CENPAT); Consejo Nacional de Investigaciones Cientificas y Tecnicas (CONICET); Consejo Superior de Investigaciones Cientificas (CSIC); University of Murcia</t>
  </si>
  <si>
    <t>Martín, MA (corresponding author), Univ Murcia, Fac Vet, Dept Sanidad Anim Parasitol, Reg Campus Int Excellence Campus Mare Nostrum, E-30100 Murcia, Spain.</t>
  </si>
  <si>
    <t>foodquality2014@gmail.com</t>
  </si>
  <si>
    <t>Benzal, Jesús/T-4555-2017; JEREZ, SILVIA/Q-8876-2016; Cuervo, José Javier/K-1646-2014; Valera, Francisco/R-3437-2019; Ortiz, Juana/AAA-4874-2019; Barbosa, Andrés/C-3208-2008; Belliure, Josabel/R-8513-2018; Seva, Juan/Z-5503-2019; Motas, Miguel/L-3061-2014</t>
  </si>
  <si>
    <t>Cuervo, José Javier/0000-0001-7943-7835; Valera, Francisco/0000-0003-2266-8899; Ortiz, Juana/0000-0002-0889-2985; Barbosa, Andrés/0000-0001-8434-3649; Belliure, Josabel/0000-0001-7697-3616; Seva, Juan/0000-0002-0175-2621; Motas Guzman, Miguel/0000-0002-2229-7779</t>
  </si>
  <si>
    <t>Spanish Ministry of Science and Innovation [CGL2004-01348, POL2006-05175, CGL2007-60369, CTM2011-24427]; European Regional Development Fund; PhD grant from the Spanish Council for Scientific Research; European Social Fund [JAEPre08-01053]</t>
  </si>
  <si>
    <t>Spanish Ministry of Science and Innovation(Spanish Government); European Regional Development Fund(European Union (EU)); PhD grant from the Spanish Council for Scientific Research; European Social Fund(European Social Fund (ESF))</t>
  </si>
  <si>
    <t>This study was funded by the Spanish Ministry of Science and Innovation projects CGL2004-01348, POL2006-05175, CGL2007-60369, and CTM2011-24427, and by the European Regional Development Fund. V.V. was supported by a PhD grant from the Spanish Council for Scientific Research and the European Social Fund (JAEPre08-01053). We thank the Spanish Antarctic Research station Gabriel de Castilla, the Spanish Polar Ship Las Palmas, the Argentinean Antarctic station Carlini, the Argentinean Antarctic Institute, and the Maritime Technology Unit for logistic support and transport. Permission to work in the study area and to collect samples was given by the Spanish Polar Committee. This is a contribution to the International Polar Year project 172 Bird Health and to the PINGUCLIM project. Deborah Fuldauer corrected the language.</t>
  </si>
  <si>
    <t>10.7589/2015-07-200</t>
  </si>
  <si>
    <t>DT5NA</t>
  </si>
  <si>
    <t>WOS:000381528700014</t>
  </si>
  <si>
    <t>Tan, B; Wang, T; Wang, L; Feng, EM; Lu, P; Li, ZJ</t>
  </si>
  <si>
    <t>Tan, Bing; Wang, Ting; Wang, Lei; Feng, Enmin; Lu, Peng; Li, Zhijun</t>
  </si>
  <si>
    <t>CLUSTERING AND ANALYZING THE PRESSURE RIDGE MORPHOLOGY IN NORTHWESTERN WEDDELL SEA OF ANTARCTIC VIA AN IMPROVED k-MEANS CLUSTERING ALGORITHM</t>
  </si>
  <si>
    <t>PACIFIC JOURNAL OF OPTIMIZATION</t>
  </si>
  <si>
    <t>International Conference on Applications and Mathematical Analysis in Engineering and Science (AMAES)</t>
  </si>
  <si>
    <t>JAN 19-21, 2014</t>
  </si>
  <si>
    <t>Miri, MALAYSIA</t>
  </si>
  <si>
    <t>bi-level programming; clustering method; sea ice surface; pressure ridges; morphology feature</t>
  </si>
  <si>
    <t>WINTER</t>
  </si>
  <si>
    <t>As the most important morphological feature of the sea ice surface, pressure ridges are generally analyzed by clustering methods owing to the significant variations of the morphology caused by the geographical location and the environment in which they form. To seek an effective method for clustering the pressure ridges, we establish a bi-level programming model in which the cluster centers and the cluster number k are the parameters and the distance between the sample and the cluster center is the performance function. Based on the measured data set of the sea ice surface elevation in northwestern Weddell Sea of Antarctic, we propose a corresponding algorithm to search for the optimal solution of this bi-level programming model. The results indicate that the optimal cluster number of the proposed algorithm is 3 for the measured data set, the boundary between any two adjacent clusters obtained by this proposed algorithm is clearer and the performance indicators, such as the performance function of the bi-level programming model, the maximum distance within a cluster and the minimum distance between any two clusters are all better than those obtained by the traditional k-means clustering algorithm. The influences of the geographical location and the environment on the morphological variations of the pressure ridges can also be perfectly reflected by the cluster results obtained by the developed algorithm.</t>
  </si>
  <si>
    <t>[Tan, Bing; Wang, Ting] Nanyang Normal Univ, Sch Math &amp; Stat, Nanyang 473061, Henan, Peoples R China; [Tan, Bing; Lu, Peng; Li, Zhijun] Dalian Univ Technol, State Key Lab Coastal &amp; Offshore Engn, Dalian 116024, Liaoning, Peoples R China; [Wang, Lei; Feng, Enmin] Dalian Univ Technol, Sch Math Sci, Dalian 116024, Liaoning, Peoples R China</t>
  </si>
  <si>
    <t>Nanyang Normal College; Dalian University of Technology; Dalian University of Technology</t>
  </si>
  <si>
    <t>Tan, B (corresponding author), Nanyang Normal Univ, Sch Math &amp; Stat, Nanyang 473061, Henan, Peoples R China.;Tan, B (corresponding author), Dalian Univ Technol, State Key Lab Coastal &amp; Offshore Engn, Dalian 116024, Liaoning, Peoples R China.</t>
  </si>
  <si>
    <t>tanbing111@126.com; tingwang526@126.com; wanglei@dlut.edu.cn; emfeng@dlut.edu.cn; lupeng@dlut.edu.cn; lizhijun@dlut.edu.cn</t>
  </si>
  <si>
    <t>Li, Zhijun/A-5299-2019; Lu, Peng/HNR-4786-2023</t>
  </si>
  <si>
    <t>Li, Zhijun/0000-0002-2897-0450;</t>
  </si>
  <si>
    <t>YOKOHAMA PUBL</t>
  </si>
  <si>
    <t>YOKOHAMA</t>
  </si>
  <si>
    <t>101, 6-27 SATSUKIGAOKA AOBA-KU, YOKOHAMA, 227-0053, JAPAN</t>
  </si>
  <si>
    <t>1348-9151</t>
  </si>
  <si>
    <t>PAC J OPTIM</t>
  </si>
  <si>
    <t>Pac. J. Optim.</t>
  </si>
  <si>
    <t>Operations Research &amp; Management Science; Mathematics, Applied</t>
  </si>
  <si>
    <t>Operations Research &amp; Management Science; Mathematics</t>
  </si>
  <si>
    <t>DU3HB</t>
  </si>
  <si>
    <t>WOS:000382100300009</t>
  </si>
  <si>
    <t>Chetverikov, YO; Aruev, NN; Bulat, SA; Ezhov, VF; Lipenkov, VY; Solovei, VA; Tyukal'tsev, RV; Fedichkin, IL</t>
  </si>
  <si>
    <t>Chetverikov, Yu. O.; Aruev, N. N.; Bulat, S. A.; Ezhov, V. F.; Lipenkov, V. Ya.; Solovei, V. A.; Tyukal'tsev, R. V.; Fedichkin, I. L.</t>
  </si>
  <si>
    <t>Technology of nondestructive light gas extraction from ice tested on samples from a bore hole above Vostok Lake</t>
  </si>
  <si>
    <t>TECHNICAL PHYSICS</t>
  </si>
  <si>
    <t>H-2</t>
  </si>
  <si>
    <t>Nondestructive technology has been developed for the extraction of light gases dissolved in ice. The technology has been tested on samples of atmospheric and congealed ice of the 5-G3 bore hole of the Vostok station (East Antarctica) extracted from depths of 3457-3698 m. Down to 3539 m, ice is of an atmospheric origin, while ice deposited deeper is formed by natural water of Vostok Lake frozen on the glacier. Light gases were extracted into samplers (glass flasks) in the course of the 3-day degassing of samples freshly elevated from a bore hole. The samples were analyzed on the FT-1 time-of-flight mass spectrometer 6 months after sampling. Measurements reveal the presence of amounts of helium as well as molecular hydrogen considerably exceeding the atmospheric values. Measured values of gas ratio H-2/He-4 = 5.4 +/- 1.9 in the samples from depths of 3596-3698 m exceed the atmospheric values by more than an order of magnitude.</t>
  </si>
  <si>
    <t>[Chetverikov, Yu. O.; Bulat, S. A.; Ezhov, V. F.; Solovei, V. A.] Petersburg Nucl Phys Inst, Gatchina 188300, Leningrad Oblas, Russia; [Aruev, N. N.; Tyukal'tsev, R. V.; Fedichkin, I. L.] Russian Acad Sci, Ioffe Phys Tech Inst, Politekhn Skaya Ul 26, St Petersburg 194021, Russia; [Lipenkov, V. Ya.] Arctic &amp; Antarctic Res Inst, Ul Beringa 38, St Petersburg 199397, Russia; [Ezhov, V. F.] St Petersburg State Univ, Univ Skaya Nab 7-9, St Petersburg 199034, Russia</t>
  </si>
  <si>
    <t>National Research Centre - Kurchatov Institute; Petersburg Nuclear Physics Institute; Russian Academy of Sciences; St. Petersburg Scientific Centre of the Russian Academy of Sciences; Ioffe Physical Technical Institute; Arctic &amp; Antarctic Research Institute; Saint Petersburg State University</t>
  </si>
  <si>
    <t>Chetverikov, YO (corresponding author), Petersburg Nucl Phys Inst, Gatchina 188300, Leningrad Oblas, Russia.</t>
  </si>
  <si>
    <t>yurka@lns.pnpi.spb.ru</t>
  </si>
  <si>
    <t>Chetverikov, Yuriy/JOZ-2546-2023; Ezhov, Victor/K-3798-2019; Lipenkov, Vladimir/Q-8262-2016</t>
  </si>
  <si>
    <t>Chetverikov, Yuriy/0000-0003-0144-7456; Lipenkov, Vladimir/0000-0003-4221-5440; Bulat, Sergey/0000-0002-2574-882X</t>
  </si>
  <si>
    <t>1063-7842</t>
  </si>
  <si>
    <t>1090-6525</t>
  </si>
  <si>
    <t>TECH PHYS+</t>
  </si>
  <si>
    <t>Tech. Phys.</t>
  </si>
  <si>
    <t>10.1134/S1063784216070082</t>
  </si>
  <si>
    <t>Physics, Applied</t>
  </si>
  <si>
    <t>DS1LH</t>
  </si>
  <si>
    <t>WOS:000380356600022</t>
  </si>
  <si>
    <t>Isla, FI; Angulo, RJ</t>
  </si>
  <si>
    <t>Ignacio Isla, Federico; Angulo, Rodolfo Jose</t>
  </si>
  <si>
    <t>Tectonic Processes along the South America Coastline Derived from Quaternary Marine Terraces</t>
  </si>
  <si>
    <t>JOURNAL OF COASTAL RESEARCH</t>
  </si>
  <si>
    <t>Quaternary highstands; Holocene highstand; Tectonics; South America</t>
  </si>
  <si>
    <t>SEA-LEVEL CHANGES; TIERRA-DEL-FUEGO; HOLOCENE UPLIFT RATES; GRANDE-DO-SUL; LA-PLATA; MOLLUSCAN ASSEMBLAGES; COASTAL EVOLUTION; LATE PLEISTOCENE; CLIMATE CHANGES; BEAGLE CHANNEL</t>
  </si>
  <si>
    <t>South America is overriding the Nazca, Antarctic, and Cocos plates, and at the same time is moving along the Caribbean and Scotia plates. Quaternary sea-level highstands are ideal benchmarks to estimate tectonic uplifts considering altitude differences along the coast. The Sangamonian highstand, corresponding to the Marine Isotopic Stage 5, is the most helpful indicator for these purposes as it is more easily preserved and spanning a record of 120,000 years. The Mid-Holocene highstand leads to errors assigned to tidal-range variations, estuarine floods, and meteorological effects; however, its maximum altitudes could confirm faster uplifting rates. The major uplifting trends were estimated in relation to the subduction of seismic or aseismic ridges along the Pacific Ocean coast. The Quaternary uplifted terraces of the Atlantic coast at Patagonia were explained by the decreasing uplift induced by the subduction of the Chile Ridge, and related to a very modern volcanic field.</t>
  </si>
  <si>
    <t>[Ignacio Isla, Federico] CONICET UNMDP, Inst Ciencias Marinas &amp; Costeras, Inst Geol Costas &amp; Cuaternario, Mar Del Plata, Argentina; [Angulo, Rodolfo Jose] Univ Fed Parana, Dept Geol, Lab Estudos Costeiros, Curitiba, Parana, Brazil</t>
  </si>
  <si>
    <t>Consejo Nacional de Investigaciones Cientificas y Tecnicas (CONICET); National University of Mar del Plata; Universidade Federal do Parana</t>
  </si>
  <si>
    <t>Isla, FI (corresponding author), CONICET UNMDP, Inst Ciencias Marinas &amp; Costeras, Inst Geol Costas &amp; Cuaternario, Mar Del Plata, Argentina.</t>
  </si>
  <si>
    <t>fisla@mdp.edu.ar</t>
  </si>
  <si>
    <t>Villanueva, Rita Guadalupe Angulo/I-8399-2017</t>
  </si>
  <si>
    <t>Villanueva, Rita Guadalupe Angulo/0000-0003-2694-3501; Isla, Federico/0000-0002-4930-0907; Angulo, Rodolfo/0000-0001-9261-3004</t>
  </si>
  <si>
    <t>COASTAL EDUCATION &amp; RESEARCH FOUNDATION</t>
  </si>
  <si>
    <t>COCONUT CREEK</t>
  </si>
  <si>
    <t>5130 NW 54TH STREET, COCONUT CREEK, FL 33073 USA</t>
  </si>
  <si>
    <t>0749-0208</t>
  </si>
  <si>
    <t>1551-5036</t>
  </si>
  <si>
    <t>J COASTAL RES</t>
  </si>
  <si>
    <t>J. Coast. Res.</t>
  </si>
  <si>
    <t>10.2112/JCOASTRES-D-14-00178.1</t>
  </si>
  <si>
    <t>DS5OU</t>
  </si>
  <si>
    <t>Green Submitted, Bronze, Green Published</t>
  </si>
  <si>
    <t>WOS:000380832400010</t>
  </si>
  <si>
    <t>Chatzaras, V; Kruckenberg, SC; Cohen, SM; Medaris, LG; Withers, AC; Bagley, B</t>
  </si>
  <si>
    <t>Chatzaras, Vasileios; Kruckenberg, Seth C.; Cohen, Shaina M.; Medaris, L. Gordon, Jr.; Withers, Anthony C.; Bagley, Brian</t>
  </si>
  <si>
    <t>Axial-type olivine crystallographic preferred orientations: The effect of strain geometry on mantle texture</t>
  </si>
  <si>
    <t>olivine crystallographic preferred orientation; mantle fabric; X-ray computed tomography; electron backscatter diffraction; mantle xenoliths; texture analysis</t>
  </si>
  <si>
    <t>MARIE-BYRD-LAND; ANTARCTIC RIFT SYSTEM; SEISMIC ANISOTROPY; GRAIN-SIZE; PLASTIC-DEFORMATION; SINGLE-CRYSTALS; SIMPLE SHEAR; QUANTITATIVE-ANALYSIS; FABRIC DEVELOPMENT; DISLOCATION CREEP</t>
  </si>
  <si>
    <t>The effect of finite strain geometry on crystallographic preferred orientation (CPO) is poorly constrained in the upper mantle. Specifically, the relationship between shape preferred orientation (SPO) and CPO in mantle rocks remains unclear. We analyzed a suite of 40 spinel peridotite xenoliths from Marie Byrd Land, West Antarctica. X-ray computed tomography allows for quantification of spinel SPO, which ranges from prolate to oblate shape. Electron backscatter diffraction analysis reveals a range of olivine CPO patterns, including A-type, axial-[010], axial-[100], and B-type patterns. Until now, these CPO types were associated with different deformation conditions, deformation mechanisms, or strain magnitudes. Microstructures and deformation mechanism maps suggest that deformation in all studied xenoliths is dominated by dislocation-accommodated grain boundary sliding. For the range of temperatures (780-1200 degrees C), extraction depths (39-72km), differential stresses (2-60MPa), and water content (up to 500H/10(6)Si) of the xenolith suite, variations in olivine CPO do not correlate with changes in deformation conditions. Here we establish for the first time in naturally deformed mantle rocks that finite strain geometry controls the development of axial-type olivine CPOs; axial-[010] and axial-[100] CPOs form in relation to oblate and prolate fabric ellipsoids, respectively. Girdling of olivine crystal axes results from intracrystalline slip with activation of multiple slip systems and grain boundary sliding. Our results demonstrate that mantle deformation may deviate from simple shear. Olivine texture in field studies and seismic anisotropy in geophysical investigations can provide critical constraints for the 3-D strain in the upper mantle.</t>
  </si>
  <si>
    <t>[Chatzaras, Vasileios; Kruckenberg, Seth C.; Cohen, Shaina M.] Boston Coll, Dept Earth &amp; Environm Sci, Chestnut Hill, MA 02167 USA; [Chatzaras, Vasileios; Medaris, L. Gordon, Jr.] Univ Wisconsin, Dept Geosci, Madison, WI USA; [Chatzaras, Vasileios] Univ Utrecht, Dept Earth Sci, Utrecht, Netherlands; [Withers, Anthony C.] Univ Western Ontario, Dept Earth Sci, London, ON, Canada; [Withers, Anthony C.] Univ Western Ontario, Ctr Planetary Sci &amp; Explorat, London, ON, Canada; [Bagley, Brian] Univ Minnesota, Dept Earth Sci, Minneapolis, MN USA</t>
  </si>
  <si>
    <t>Boston College; University of Wisconsin System; University of Wisconsin Madison; Utrecht University; Western University (University of Western Ontario); Western University (University of Western Ontario); University of Minnesota System; University of Minnesota Twin Cities</t>
  </si>
  <si>
    <t>Chatzaras, V (corresponding author), Boston Coll, Dept Earth &amp; Environm Sci, Chestnut Hill, MA 02167 USA.;Chatzaras, V (corresponding author), Univ Wisconsin, Dept Geosci, Madison, WI USA.;Chatzaras, V (corresponding author), Univ Utrecht, Dept Earth Sci, Utrecht, Netherlands.</t>
  </si>
  <si>
    <t>chatzaras@wisc.edu</t>
  </si>
  <si>
    <t>Withers, Anthony/J-4302-2012; Withers, Anthony/JBJ-2232-2023; Bagley, Brian/G-1176-2010; Chatzaras, Vasileios/C-3785-2013</t>
  </si>
  <si>
    <t>Withers, Anthony/0000-0003-4835-4281; Withers, Anthony/0000-0003-4835-4281; Kruckenberg, Seth/0000-0001-7457-8778; Bagley, Brian/0000-0001-6632-2035; Chatzaras, Vasileios/0000-0001-9759-4754</t>
  </si>
  <si>
    <t>NSF-ANT [1246320]; NSERC; Directorate For Geosciences; Office of Polar Programs (OPP) [1246320] Funding Source: National Science Foundation</t>
  </si>
  <si>
    <t>NSF-ANT(National Science Foundation (NSF)); NSERC(Natural Sciences and Engineering Research Council of Canada (NSERC)); Directorate For Geosciences; Office of Polar Programs (OPP)(National Science Foundation (NSF)NSF - Directorate for Geosciences (GEO))</t>
  </si>
  <si>
    <t>We thank the United States Polar Rock Repository, Christine Siddoway, and Kurt Panter for providing us with xenolith samples. We thank John Fournelle (UW-Madison) for his advice and assistance with the microprobe analyses, Brian Hess (UW-Madison) for the production of high-quality thin sections used in EBSD analysis, and Zach Michels for his assistance with MTEX. Marc Hirschmann and Jed Mosenfelder (University Minnesota) kindly provided access to FTIR facilities. The quality of this work benefited greatly from constructive comments from reviewers Lars Hansen and Jacques Precigout, as well as from the comments of Editors Michael Walter and Stephen Parman. Finally, we thank Basil Tikoff, Julie Newman, Martyn Drury, and members of the structure and tectonics groups at Boston College and UW-Madison for their insightful discussions. The EPMA data used are listed in Table S3. Requests for XRCT and EBSD data sets can be made by contacting the corresponding author. This research was supported by NSF-ANT 1246320 grant to S.C. Kruckenberg and NSERC discovery grant to A.C. Withers.</t>
  </si>
  <si>
    <t>10.1002/2015JB012628</t>
  </si>
  <si>
    <t>DT6XF</t>
  </si>
  <si>
    <t>WOS:000381627500006</t>
  </si>
  <si>
    <t>Delegan, YA; Vetrova, AA; Akimov, VN; Titok, MA; Filonov, AE; Boronin, AM</t>
  </si>
  <si>
    <t>Delegan, Ya. A.; Vetrova, A. A.; Akimov, V. N.; Titok, M. A.; Filonov, A. E.; Boronin, A. M.</t>
  </si>
  <si>
    <t>Thermotolerant Oil-Degrading Bacteria Isolated from Soil and Water of Geographically Distant Regions</t>
  </si>
  <si>
    <t>APPLIED BIOCHEMISTRY AND MICROBIOLOGY</t>
  </si>
  <si>
    <t>bioremediation; biodegradation; crude oil; oil-degrading bacteria; thermotolerant bacteria; Gordonia; Rhodococcus</t>
  </si>
  <si>
    <t>SP NOV.; PHYLOGENETIC ANALYSIS; GENES; IDENTIFICATION; PRIMERS; ALKANE; GYRB</t>
  </si>
  <si>
    <t>Oil-degrading bacteria were isolated from soil and water samples taken in Russia, Kazakhstan, and the Antarctic; 13 of 86 strains proved to be thermotolerant. These bacteria utilized crude oil at 45-50 degrees C; their growth optimum (35-37 degrees C) and range (20-53 degrees C) differ from those of mesophilic bacteria. Thermotolerant strains were identified as representatives of the genera Rhodococcus and Gordonia. It was shown that their ability to degrade petroleum products does not differ at 24 and 45 degrees C. The strains Rhodococcus sp. Par7 and Gordonia sp. 1D utilized 14 and 20% of the oil, respectively, in 14 days at 45 degrees C. All of the isolated thermotolerant bacteria grew in a medium containing 3% NaCl; the medium for the strains Gordonia amicalis 1B and Gordonia sp. 1D contained up to 10% NaCl. The bacteria G. amicalis and Rhodococcus erythropolis were able to utilize crude oil and individual hydrocarbons at higher (up to 50 degrees C) temperatures.</t>
  </si>
  <si>
    <t>[Delegan, Ya. A.; Filonov, A. E.] Pushchino State Inst Nat Sci, Pushchino 142290, Moscow Oblast, Russia; [Delegan, Ya. A.; Vetrova, A. A.; Akimov, V. N.; Filonov, A. E.; Boronin, A. M.] Russian Acad Sci, Skryabin Inst Biochem &amp; Physiol Microorganisms, Pushchino 142290, Moscow Oblast, Russia; [Titok, M. A.] Belarusian State Univ, Minsk 220030, BELARUS</t>
  </si>
  <si>
    <t>Russian Academy of Sciences; Pushchino Scientific Center for Biological Research (PSCBI) of the Russian Academy of Sciences; Belarusian State University</t>
  </si>
  <si>
    <t>Filonov, AE (corresponding author), Pushchino State Inst Nat Sci, Pushchino 142290, Moscow Oblast, Russia.;Filonov, AE (corresponding author), Russian Acad Sci, Skryabin Inst Biochem &amp; Physiol Microorganisms, Pushchino 142290, Moscow Oblast, Russia.</t>
  </si>
  <si>
    <t>filonov.andrey@rambler.ru</t>
  </si>
  <si>
    <t>Titok, Marina/HKM-8053-2023; Delegan, Yanina A./E-8256-2014; Akimov, Vladimir/KFS-1096-2024; Ветрова, Анна A/E-8196-2014</t>
  </si>
  <si>
    <t>Delegan, Yanina A./0000-0002-1561-0050; Ветрова, Анна A/0000-0002-9090-3478</t>
  </si>
  <si>
    <t>Russian Foundation for Basic Research [14-04-90030]</t>
  </si>
  <si>
    <t>The work was supported by the Russian Foundation for Basic Research (project Bel_a no. 14-04-90030).</t>
  </si>
  <si>
    <t>0003-6838</t>
  </si>
  <si>
    <t>1608-3024</t>
  </si>
  <si>
    <t>APPL BIOCHEM MICRO+</t>
  </si>
  <si>
    <t>Appl. Biochem. Microbiol.</t>
  </si>
  <si>
    <t>10.1134/S0003683816040025</t>
  </si>
  <si>
    <t>Biotechnology &amp; Applied Microbiology; Microbiology</t>
  </si>
  <si>
    <t>DS0BU</t>
  </si>
  <si>
    <t>WOS:000380261000007</t>
  </si>
  <si>
    <t>Cai, MG; Deng, HX; Huang, P; Ke, HW; Zheng, XH; Li, WQ</t>
  </si>
  <si>
    <t>Cai Ming-Gang; Deng Heng-Xiang; Huang Peng; Ke Hong-Wei; Zheng Xue-Hong; Li Wen-Quan</t>
  </si>
  <si>
    <t>Simultaneous Determination of Chlorofluorocarbons and Sulfur Hexafluoride in Seawater Based on a Purge and Trap Gas Chromatographic System</t>
  </si>
  <si>
    <t>CHINESE JOURNAL OF ANALYTICAL CHEMISTRY</t>
  </si>
  <si>
    <t>Sulfur hexafluoride; Chlorofluorocarbons; Purge and trap; Gas chromatography; Seawater</t>
  </si>
  <si>
    <t>OXYGEN UTILIZATION RATES; TRANSIT-TIME DISTRIBUTIONS; ANTHROPOGENIC CARBON; NORTH PACIFIC; TRACER; SF6; VENTILATION; OCEAN; WATER; ATLANTIC</t>
  </si>
  <si>
    <t>Chlorofluorocarbons (CFCs) and sulfur hexafluoride (SF6) are types of anthropogenic halogenated compounds, and are very important for ocean processes, including air-sea and water mass exchanges. Meanwhile, they can also be used to calculate some key physical and biogeochemical parameters such as the apparent oxygen utilization rate and anthropogenic CO2. Compared to CFCs, SF6 is quite difficult to measure in seawater due to its low solubility. However, it is useful to study the ocean processes based on both CFCs and SF6. In this study, a purge and trap gas chromatography system was developed to simultaneously measure CFC-12 and SF6 in seawater. The optimal conditions were as follows: trap temperature of -70 degrees C, purge time of 8 min, purge gas pressure of 310 kPa, desorption time of 30 s, desorption temperature of 90 degrees C. The method was simple and sensitive. The detection limit were 0.02 pmol kg(-1) for CFC-12 and 0.03 fmol kg(-1) for SF6. The analytical precision of CFC-12 was +/- 1.2% and that of SF6 was +/- 0.5%. The correlation coefficient (R-2) values of all calibration curves were greater than 0.9995. This method was successfully used in the analysis of sea water samples collected during the 6th Chinese Arctic Research Expedition.</t>
  </si>
  <si>
    <t>[Cai Ming-Gang; Deng Heng-Xiang; Huang Peng; Ke Hong-Wei; Zheng Xue-Hong; Li Wen-Quan] Xiamen Univ, Coll Ocean &amp; Earth Sci, Xiamen 361102, Peoples R China; [Cai Ming-Gang] Xiamen Univ, State Key Lab Marine Environm Sci, Xiamen 361102, Peoples R China</t>
  </si>
  <si>
    <t>Xiamen University; Xiamen University</t>
  </si>
  <si>
    <t>Cai, MG (corresponding author), Xiamen Univ, Coll Ocean &amp; Earth Sci, Xiamen 361102, Peoples R China.;Cai, MG (corresponding author), Xiamen Univ, State Key Lab Marine Environm Sci, Xiamen 361102, Peoples R China.</t>
  </si>
  <si>
    <t>mgcai@xmu.edu.cn</t>
  </si>
  <si>
    <t>Huang, Peng/E-8571-2017; cai, minggang/G-3979-2010</t>
  </si>
  <si>
    <t>Huang, Peng/0000-0001-7038-3869; cai, minggang/0000-0003-2828-0529</t>
  </si>
  <si>
    <t>Chinese Arctic and Antarctic Administration</t>
  </si>
  <si>
    <t>We are grateful for the assistance of the crew of the R/V Snow Dragon in sample collection, and for support from the Chinese Arctic and Antarctic Administration. We gratefully thank Dr. Toste Tanhua and Dr. Jianping Cao for providing useful information on data processing and method building. Professor John Hodgkiss is thanked for his assistance with English. The laboratory equipment was provided by the Marine Chemistry Public Experimental Platform, Xiamen University.</t>
  </si>
  <si>
    <t>0253-3820</t>
  </si>
  <si>
    <t>1872-2040</t>
  </si>
  <si>
    <t>CHINESE J ANAL CHEM</t>
  </si>
  <si>
    <t>Chin. J. Anal. Chem.</t>
  </si>
  <si>
    <t>10.1016/S1872-2040(16)60941-6</t>
  </si>
  <si>
    <t>DS4PD</t>
  </si>
  <si>
    <t>WOS:000380762100001</t>
  </si>
  <si>
    <t>Gientka, I; Bzducha-Wróbel, A; Stasiak-Rózanska, L; Bednarska, AA; Blazejak, S</t>
  </si>
  <si>
    <t>Gientka, Iwona; Bzducha-Wrobel, Anna; Stasiak-Rozanska, Lidia; Bednarska, Aleksandra Agnieszka; Blazejak, Stanislaw</t>
  </si>
  <si>
    <t>The exopolysaccharides biosynthesis by Candida yeast depends on carbon sources</t>
  </si>
  <si>
    <t>ELECTRONIC JOURNAL OF BIOTECHNOLOGY</t>
  </si>
  <si>
    <t>Candida; Exopolysaccharides biosynthesis; EPS; Maltose</t>
  </si>
  <si>
    <t>RHODOTORULA-ACHENIORUM MC; EXTRACELLULAR POLYSACCHARIDE; ANTARCTIC YEAST; GLUCOMANNAN; GLUTINIS; MANNAN; FAMATA</t>
  </si>
  <si>
    <t>Background: The exopolysaccharides (EPS) produced by yeast exhibit physico-chemical and rheological properties, which are useful in the production of food and in the cosmetic and pharmaceutical industries as well. The effect was investigated of selected carbon sources on the biosynthesis of EPS by Candida famata and Candida guilliermondii strains originally isolated from kefirs. Results: The biomass yields were dependent on carbon source (sucrose, maltose, lactose, glycerol, sorbitol) and ranged from 4.13 to 7.15 g/L. The highest biomass yield was reported for C. guilliermondii after cultivation on maltose. The maximum specific productivity of EPS during cultivation on maltose was 0.505 and 0.321 for C. guilliermondii and C. famata, respectively. The highest EPS yield was found for C. guilliermondii strain. The EPS produced under these conditions contained 65.4% and 61.5% carbohydrates, respectively. The specific growth rate (mu) of C. famata in medium containing EPS as a sole carbon source was 0.0068 h(-1) and 0.0138 h(-1) for C. guilliermondii strain. Conclusions: The most preferred carbon source in the synthesis of EPS for both Candida strains was maltose, wherein C. guilliermondii strain showed the higher yield of EPS biosynthesis. The carbon source affected the chemical composition of the resulting EPS and the contribution of carbohydrate in the precipitated preparation of polymers was higher during supplementation of maltose as compared to sucrose. It was also found that the EPS can be a source of carbon for the producing strains. (C) 2016 Pontificia Universidad Catolica de Valparaiso. Production and hosting by Elsevier B.V. All rights reserved.</t>
  </si>
  <si>
    <t>[Gientka, Iwona; Bzducha-Wrobel, Anna; Stasiak-Rozanska, Lidia; Bednarska, Aleksandra Agnieszka; Blazejak, Stanislaw] Warsaw Univ Life Sci SGGW, Dept Biotechnol Microbiol &amp; Food Evaluat, Warsaw, Poland</t>
  </si>
  <si>
    <t>Warsaw University of Life Sciences</t>
  </si>
  <si>
    <t>Gientka, I (corresponding author), Warsaw Univ Life Sci SGGW, Dept Biotechnol Microbiol &amp; Food Evaluat, Warsaw, Poland.</t>
  </si>
  <si>
    <t>iwona_gientka@sggw.pl</t>
  </si>
  <si>
    <t>Bzducha-Wróbel, Anna/Y-8786-2019</t>
  </si>
  <si>
    <t>Stasiak-Rozanska, Lidia/0000-0002-9682-3639; Gientka, Iwona/0000-0002-4589-2976; Bzducha-Wrobel, Anna/0000-0002-5583-2432; Blazejak, Stanislaw/0000-0002-4928-3721</t>
  </si>
  <si>
    <t>UNIV CATOLICA DE VALPARAISO</t>
  </si>
  <si>
    <t>VALPARAISO</t>
  </si>
  <si>
    <t>AV BRASIL 2950, PO BOX 4059, VALPARAISO, CHILE</t>
  </si>
  <si>
    <t>0717-3458</t>
  </si>
  <si>
    <t>ELECTRON J BIOTECHN</t>
  </si>
  <si>
    <t>Electron. J. Biotechnol.</t>
  </si>
  <si>
    <t>10.1016/j.ejbt.2016.02.008</t>
  </si>
  <si>
    <t>DS2DZ</t>
  </si>
  <si>
    <t>WOS:000380541700005</t>
  </si>
  <si>
    <t>Wang, QF; Wang, YF; Hou, YH; Shi, YL; Han, H; Miao, M; Wu, YY; Liu, YP; Yue, XN; Li, YJ</t>
  </si>
  <si>
    <t>Wang, Quan-Fu; Wang, Yi-Fan; Hou, Yan-Hua; Shi, Yong-Lei; Han, Han; Miao, Miao; Wu, Ying-Ying; Liu, Yuan-Ping; Yue, Xiao-Na; Li, Yu-Jin</t>
  </si>
  <si>
    <t>Cloning, expression and biochemical characterization of recombinant superoxide dismutase from Antarctic psychrophilic bacterium Pseudoalteromonas sp ANT506</t>
  </si>
  <si>
    <t>JOURNAL OF BASIC MICROBIOLOGY</t>
  </si>
  <si>
    <t>Superoxide dismutase; Sea-ice; Expression; Characterization; Cold-adapted</t>
  </si>
  <si>
    <t>MOLECULAR-CLONING; PURIFICATION; MITOCHONDRIAL; HALOPLANKTIS; STRAINS; CU/ZN; SOD</t>
  </si>
  <si>
    <t>In this study, a superoxide dismutase gene (PsSOD) from Pseudoalteromonas sp. ANT506 was cloned and over expressed in Escherichia coli. The PsSOD has an open reading frame of 582bp with a putative product of 193 amino acid residue and an estimated molecular size of 21.4kDa. His-tagged PsSOD was subsequently purified 12.6-fold by Ni-affinity chromatography and the yield of 22.9%. The characterization of the purified rPsSOD exhibited maximum activity at 30 degrees C and pH 8.0. The enzyme exhibited 13.9% activity at 0 degrees C and had high-thermo lability at higher than 50 degrees C. rPsSOD exhibited well capability to 2.5M NaCl (62.4%). These results indicated that rPsSOD exhibited special catalytic properties.</t>
  </si>
  <si>
    <t>[Wang, Quan-Fu; Wang, Yi-Fan; Hou, Yan-Hua; Shi, Yong-Lei; Han, Han; Miao, Miao; Wu, Ying-Ying] Harbin Inst Technol, Sch Marine &amp; Technol, Weihai 264209, Peoples R China; [Liu, Yuan-Ping] Shandong Prov Engn Technol Res Ctr Marine Hlth Fo, Rongcheng, Peoples R China; [Yue, Xiao-Na] Shandong Prov Res Inst Marine Food Nutr, Rongcheng, Peoples R China; [Li, Yu-Jin] Natl &amp; Local United Engn Lab Marine Funct Food De, Rongcheng, Peoples R China</t>
  </si>
  <si>
    <t>Hou, YH (corresponding author), Harbin Inst Technol, Sch Marine &amp; Technol, Weihai 264209, Peoples R China.</t>
  </si>
  <si>
    <t>marry7718@163.com</t>
  </si>
  <si>
    <t>miao, miao/KBP-8629-2024; wang, quan fu/K-9703-2018; wang, yi fan/L-1193-2018</t>
  </si>
  <si>
    <t>wang, quan fu/0000-0002-3885-5464; wang, yi fan/0000-0001-7360-2422</t>
  </si>
  <si>
    <t>National Natural Science Foundation of China [31100037]; National Science &amp; Technology Pillar Program during the 12th Five-year Plan Period [2015BAD17B03]; Natural Science Foundation of Shandong Province [ZR2011CM003]; Subject Construction Fund Guided by HIT [IDAA880020010308]; Key Research and Development Plan of Shandong Province [2015GSF115016]</t>
  </si>
  <si>
    <t>National Natural Science Foundation of China(National Natural Science Foundation of China (NSFC)); National Science &amp; Technology Pillar Program during the 12th Five-year Plan Period; Natural Science Foundation of Shandong Province(Natural Science Foundation of Shandong Province); Subject Construction Fund Guided by HIT; Key Research and Development Plan of Shandong Province</t>
  </si>
  <si>
    <t>This study was supported by National Natural Science Foundation of China (31100037), the National Science &amp; Technology Pillar Program during the 12th Five-year Plan Period (2015BAD17B03), Natural Science Foundation of Shandong Province (ZR2011CM003), Subject Construction Fund Guided by HIT (IDAA880020010308), and Key Research and Development Plan of Shandong Province (2015GSF115016).</t>
  </si>
  <si>
    <t>0233-111X</t>
  </si>
  <si>
    <t>1521-4028</t>
  </si>
  <si>
    <t>J BASIC MICROB</t>
  </si>
  <si>
    <t>J. Basic Microbiol.</t>
  </si>
  <si>
    <t>10.1002/jobm.201500444</t>
  </si>
  <si>
    <t>DS1MP</t>
  </si>
  <si>
    <t>WOS:000380360200008</t>
  </si>
  <si>
    <t>Zhou, HB; Li, LY; Wu, CM; Kurtan, T; Mandi, A; Liu, YK; Gu, QQ; Zhu, TJ; Guo, P; Li, DH</t>
  </si>
  <si>
    <t>Zhou, Haibo; Li, Liyuan; Wu, Chongming; Kurtan, Tibor; Mandi, Attila; Liu, Yankai; Gu, Qianqun; Zhu, Tianjiao; Guo, Peng; Li, Dehai</t>
  </si>
  <si>
    <t>Penipyridones A-F, Pyridone Alkaloids from Penicillium funiculosum</t>
  </si>
  <si>
    <t>JOURNAL OF NATURAL PRODUCTS</t>
  </si>
  <si>
    <t>SEA-DERIVED FUNGUS; METABOLITES; SESQUITERPENES; ASSAY</t>
  </si>
  <si>
    <t>Six new pyridone alkaloids, named penipyridones A-F (1-6), were isolated from the fermentation broth of an Antarctic moss-derived fungus, Penicillium funiculosum GWT2-24. Their structures were elucidated from extensive NMR and MS data. Although they possess the same major chromophore and some of them presented almost mirror ECD spectra, their absolute configurations were found to be uniformly S, as evidenced by X-ray single-crystal diffraction analysis, stereocontrolled total synthesis, and chemical conversions. TDDFT-ECD calculations of compounds 3 and 6 revealed that subtle conformational changes are responsible for the significantly different ECD curves. None of the compounds were cytotoxic (IC50 &gt; 50 mu M), while compounds 1, 2, 5, and 7 elicited lipid-lowering activity in HepG2 hepatocytes.</t>
  </si>
  <si>
    <t>[Zhou, Haibo; Li, Liyuan; Liu, Yankai; Gu, Qianqun; Zhu, Tianjiao; Li, Dehai] Ocean Univ China, Sch Med &amp; Pharm, Chinese Minist Educ, Key Lab Marine Drugs, Qingdao 266003, Peoples R China; [Wu, Chongming; Guo, Peng] Chinese Acad Med Sci, Peking Union Med Coll, Inst Med Plant Dev, Pharmacol &amp; Toxicol Res Ctr, Beijing 100193, Peoples R China; [Kurtan, Tibor; Mandi, Attila] Univ Debrecen, Dept Organ Chem, POB 20, H-4010 Debrecen, Hungary</t>
  </si>
  <si>
    <t>Ocean University of China; Chinese Academy of Medical Sciences - Peking Union Medical College; Institute of Medicinal Plant Development - CAMS; Peking Union Medical College; University of Debrecen</t>
  </si>
  <si>
    <t>Zhu, TJ; Li, DH (corresponding author), Ocean Univ China, Sch Med &amp; Pharm, Chinese Minist Educ, Key Lab Marine Drugs, Qingdao 266003, Peoples R China.;Guo, P (corresponding author), Chinese Acad Med Sci, Peking Union Med Coll, Inst Med Plant Dev, Pharmacol &amp; Toxicol Res Ctr, Beijing 100193, Peoples R China.</t>
  </si>
  <si>
    <t>zhutj@ouc.edu.cn; pguo@implad.ac.cn; dehaili@ouc.edu.cn</t>
  </si>
  <si>
    <t>Wu, Chongming/GOJ-9081-2022; Liu, Yan-Kai/A-9643-2016; Guo, Peng/GWC-0572-2022; Wu, Chongming/AAQ-9085-2021; guo, peng/AAG-4052-2019; Guo, Peng/IZQ-0331-2023; ZHOU, Haibo/M-7373-2017; Li, Dehai/G-7656-2012</t>
  </si>
  <si>
    <t>Liu, Yan-Kai/0000-0002-6559-2348; Li, Dehai/0000-0002-7191-2002; Wu, Chongming/0000-0003-2898-370X; Kurtan, Tibor/0000-0002-8831-8499; Mandi, Attila/0000-0002-7867-7084</t>
  </si>
  <si>
    <t>Chinese National Natural Science Fund [41376147, 21372208, 81402983, 81573436]; Chinese Polar Environment Comprehensive Investigation &amp; Assessment Programmes [CHINARE2015-01-06-06]; Shandong Provincial Natural Science Fund for Distinguished Young Scholars [JQ201422]; Fundamental Research Funds for the Central Universities [201564026, 33320140185]</t>
  </si>
  <si>
    <t>Chinese National Natural Science Fund(National Natural Science Foundation of China (NSFC)); Chinese Polar Environment Comprehensive Investigation &amp; Assessment Programmes; Shandong Provincial Natural Science Fund for Distinguished Young Scholars; Fundamental Research Funds for the Central Universities(Fundamental Research Funds for the Central Universities)</t>
  </si>
  <si>
    <t>This work was financially supported by the Chinese National Natural Science Fund (41376147, 21372208, 81402983, and 81573436), Chinese Polar Environment Comprehensive Investigation &amp; Assessment Programmes (CHINARE2015-01-06-06), Shandong Provincial Natural Science Fund for Distinguished Young Scholars (JQ201422), and Fundamental Research Funds for the Central Universities (201564026 and 33320140185). T.K and AM. thank the Hungarian National Research Foundation (OTKA K105871) and the National Information Infrastructure Development Institute (NIIFI 10038). We also thank Dr. R. A. Keyzers for help with preparation of the manuscript.</t>
  </si>
  <si>
    <t>0163-3864</t>
  </si>
  <si>
    <t>1520-6025</t>
  </si>
  <si>
    <t>J NAT PROD</t>
  </si>
  <si>
    <t>J. Nat. Prod.</t>
  </si>
  <si>
    <t>10.1021/acs.jnatprod.6b00218</t>
  </si>
  <si>
    <t>Plant Sciences; Chemistry, Medicinal; Pharmacology &amp; Pharmacy</t>
  </si>
  <si>
    <t>Science Citation Index Expanded (SCI-EXPANDED); Index Chemicus (IC)</t>
  </si>
  <si>
    <t>Plant Sciences; Pharmacology &amp; Pharmacy</t>
  </si>
  <si>
    <t>DS1YZ</t>
  </si>
  <si>
    <t>WOS:000380422400011</t>
  </si>
  <si>
    <t>Duan, YL; Liu, HW; Yu, WD; Hou, YJ</t>
  </si>
  <si>
    <t>Duan Yongliang; Liu Hongwei; Yu Weidong; Hou Yijun</t>
  </si>
  <si>
    <t>The mean properties and variations of the Southern Hemisphere subpolar gyres estimated by Simple Ocean Data Assimilation (SODA) products</t>
  </si>
  <si>
    <t>the subpolar gyres; Southern Ocean; wind stress; wind stress curl</t>
  </si>
  <si>
    <t>LARGE-SCALE CIRCULATION; EASTERN WEDDELL GYRE; OVERTURNING CIRCULATION; WATER MASSES; SEASONAL VARIABILITY; CONTINENTAL-SLOPE; CLIMATE MODELS; INVERSE MODEL; ROSS SEA; TRANSPORT</t>
  </si>
  <si>
    <t>Based on the Simple Ocean Data Assimilation (SODA) products, we study the mean properties and variations of the Southern Hemisphere subpolar gyres (SHSGs) in this paper. The results show that the gyre strengths in the SODA estimates are (55.9 +/- 9.8)x10(6) m(3)/s for the Weddell Gyre (WG), (37.0 +/- 6.4)x10(6) m(3)/s for the Ross Gyre (RG), and (27.5 +/- 8.2)x10(6) m(3)/s for the Australian-Antarctic Gyre (AG), respectively. There exists distinct connectivity between the adjacent gyres and then forms an oceanic super gyre structure in the southern subpolar oceans. And the interior exchanges are about (8.0 +/- 3.2)x10(6) m(3)/s at around 70A degrees E and (4.3 +/- 3.1)x10(6) m(3)/s at around 140A degrees E. The most pronounced variation for all three SHSGs occurs on the seasonal time scale, with generally stronger (weaker) SHSGs during austral winter (summer). And the seasonal changes of the gyre structures show that the eastern boundary of the WG and AG extends considerably further east during winter and the interior exchange in the super gyre structure increases accordingly. The WG and RG also show significant semi-annual changes. The correlation analyses confirm that the variations of the gyre strengths are strongly correlated with the changes in the local wind forcing on the semi-annual and seasonal time scales.</t>
  </si>
  <si>
    <t>[Duan Yongliang; Yu Weidong] State Ocean Adm, Inst Oceanog 1, Ctr Ocean &amp; Climate Res, Qingdao 266061, Peoples R China; [Duan Yongliang; Yu Weidong] Qingdao Natl Lab Marine Sci &amp; Technol, Lab Reg Oceanog &amp; Numer Modeling, Qingdao 266061, Peoples R China; [Liu Hongwei; Hou Yijun] Chinese Acad Sci, Inst Oceanol, Key Lab Ocean Circulat &amp; Waves, Qingdao 266071, Peoples R China</t>
  </si>
  <si>
    <t>First Institute of Oceanography, Ministry of Natural Resources; Laoshan Laboratory; Chinese Academy of Sciences; Institute of Oceanology, CAS</t>
  </si>
  <si>
    <t>Duan, YL (corresponding author), State Ocean Adm, Inst Oceanog 1, Ctr Ocean &amp; Climate Res, Qingdao 266061, Peoples R China.;Duan, YL (corresponding author), Qingdao Natl Lab Marine Sci &amp; Technol, Lab Reg Oceanog &amp; Numer Modeling, Qingdao 266061, Peoples R China.</t>
  </si>
  <si>
    <t>ylduan@fio.org.cn</t>
  </si>
  <si>
    <t>Yu, Weidong/IWL-8649-2023; Yu, Weidong/I-7130-2013</t>
  </si>
  <si>
    <t>Yu, Weidong/0000-0003-2503-2415;</t>
  </si>
  <si>
    <t>Shandong Provincial Natural Science Foundation, China [ZR2014DP011]; National Natural Science Foundation of China [41406012]; Basic Scientific Research Fund for National Public Institutes of China [2015G05]; Chinese Polar Science Strategy Research Foundation [20150305]; Key Laboratory of Ocean Circulation and Waves, Chinese Academy of Sciences [KLOCAW1405]</t>
  </si>
  <si>
    <t>Shandong Provincial Natural Science Foundation, China(Natural Science Foundation of Shandong Province); National Natural Science Foundation of China(National Natural Science Foundation of China (NSFC)); Basic Scientific Research Fund for National Public Institutes of China; Chinese Polar Science Strategy Research Foundation; Key Laboratory of Ocean Circulation and Waves, Chinese Academy of Sciences(Chinese Academy of Sciences)</t>
  </si>
  <si>
    <t>Famdation item: The Shandong Provincial Natural Science Foundation, China under contract No. ZR2014DP011; the National Natural Science Foundation of China under contract No. 41406012; the Basic Scientific Research Fund for National Public Institutes of China under contract No. 2015G05; the Chinese Polar Science Strategy Research Foundation under contract NO. 20150305; the Open Fund of the Key Laboratory of Ocean Circulation and Waves, Chinese Academy of Sciences under contract No. KLOCAW1405.</t>
  </si>
  <si>
    <t>10.1007/s13131-016-0901-2</t>
  </si>
  <si>
    <t>DR8MW</t>
  </si>
  <si>
    <t>WOS:000380153000002</t>
  </si>
  <si>
    <t>Wei, LX; Qin, T</t>
  </si>
  <si>
    <t>Wei Lixin; Qin Ting</t>
  </si>
  <si>
    <t>Characteristics of cyclone climatology and variability in the Southern Ocean</t>
  </si>
  <si>
    <t>Southern Ocean; cyclones; automated detection and tracking algorithm; Southern Annular Mode</t>
  </si>
  <si>
    <t>HEMISPHERE STORM TRACKS; ANTARCTIC SEA-ICE; SYNOPTIC CLIMATOLOGY; SEASONAL-VARIATIONS; ANNULAR MODE; IDENTIFICATION; BEHAVIOR; SAM</t>
  </si>
  <si>
    <t>A new climatology of cyclones in the Southern Ocean is generated by applying an automated cyclone detection and tracking algorithm (developed by Hodges at the Reading University) for an improved and relatively high-resolution European Centre for Medium-Range Weather Forecasts atmospheric reanalysis during 1979-2013. A validation shows that identified cyclone tracks are in good agreement with a available analyzed cyclone product. The climatological characteristics of the Southern Ocean cyclones are then analyzed, including track, number, density, intensity, deepening rate and explosive events. An analysis shows that the number of cyclones in the Southern Ocean has increased for 1979-2013, but only statistically significant in summer. Coincident with the circumpolar trough, a single high-density band of cyclones is observed in 55A degrees-67A degrees S, and cyclone density has generally increased in north of this band for 1979-2013, except summer. The intensity of up to 70% cyclones in the Southern Ocean is less than 980 hPa, and only a few cyclones with pressure less than 920 hPa are detected for 1979-2013. Further analysis shows that a high frequency of explosive cyclones is located in the band of 45A degrees-55A degrees S, and the Atlantic Ocean sector has much higher frequent occurrence of the explosive cyclones than that in the Pacific Ocean sector. Additionally, the relationship between cyclone activities in the Southern Ocean and the Southern Annular Mode is discussed.</t>
  </si>
  <si>
    <t>[Wei Lixin; Qin Ting] State Ocean Adm, Natl Marine Environm Forecasting Ctr, Key Lab Res Marine Hazards Forecasting, Beijing 100081, Peoples R China</t>
  </si>
  <si>
    <t>National Marine Environmental Forecasting Center</t>
  </si>
  <si>
    <t>Wei, LX (corresponding author), State Ocean Adm, Natl Marine Environm Forecasting Ctr, Key Lab Res Marine Hazards Forecasting, Beijing 100081, Peoples R China.</t>
  </si>
  <si>
    <t>lxwei@nmefc.gov.cn</t>
  </si>
  <si>
    <t>National Natural Science Foundation of China [41206186]; Chinese Polar Environment Comprehensive Investigation and Assessment Programmes [2015-04-03]</t>
  </si>
  <si>
    <t>National Natural Science Foundation of China(National Natural Science Foundation of China (NSFC)); Chinese Polar Environment Comprehensive Investigation and Assessment Programmes</t>
  </si>
  <si>
    <t>Foundation item: The National Natural Science Foundation of China under contract No. 41206186; the Chinese Polar Environment Comprehensive Investigation and Assessment Programmes under contract No. 2015-04-03.</t>
  </si>
  <si>
    <t>10.1007/s13131-016-0913-y</t>
  </si>
  <si>
    <t>WOS:000380153000009</t>
  </si>
  <si>
    <t>Ashcroft, MB; Casanova-Katny, A; Mengersen, K; Rosenstiel, TN; Turnbull, JD; Wasley, J; Waterman, MJ; Zúñiga, GE; Robinson, SA</t>
  </si>
  <si>
    <t>Ashcroft, Michael B.; Casanova-Katny, Angelica; Mengersen, Kerrie; Rosenstiel, Todd N.; Turnbull, Johanna D.; Wasley, Jane; Waterman, Melinda J.; Zuniga, Gustavo E.; Robinson, Sharon A.</t>
  </si>
  <si>
    <t>Bayesian methods for comparing species physiological and ecological response curves</t>
  </si>
  <si>
    <t>ECOLOGICAL INFORMATICS</t>
  </si>
  <si>
    <t>Antarctic moss; Community ecology; Niche partitioning; Photosynthesis; Physiological response; Uncertainty</t>
  </si>
  <si>
    <t>DISTRIBUTION MODELS; TEMPERATURE RESPONSE; CLIMATE-CHANGE; PREDICTION; TOLERANCE; NICHE; CONSERVATISM; INTERFACE</t>
  </si>
  <si>
    <t>Many ecological questions require information on species' optimal conditions or critical limits along environmental gradients. These attributes can be compared to answer questions on niche partitioning, species coexistence and niche conservatism. However, these comparisons are unconvincing when existing methods do not quantify the uncertainty in the attributes or rely on assumptions about the shape of species' responses to the environmental gradient. The aim of this study was to develop a model to quantify the uncertainty in the attributes of species response curves and allow them to be tested for substantive differences without making assumptions about the shape of the responses. We developed a model that used Bayesian penalised splines to produce and compare response curves for any two given species. These splines allow the data to determine the shape of the response curves rather than making a priori assumptions. The models were implemented using the R2OpenBUGS package for R, which uses Markov Chain Monte Carlo simulation to repetitively fit alternative response curves to the data. As each iteration produces a different curve that varies in optima, niche breadth and limits, the model estimates the uncertainty in each of these attributes and the probability that the two curves are different. The models were tested using two datasets of mosses from Antarctica. Both datasets had a high degree of scatter, which is typical of ecological research. This noise resulted in considerable uncertainty in the optima and limits of species response curves, but substantive differences were found. Schistidium antarctici was found to inhabit wetter habitats than Ceratodon purpureus, and Polytrichastrum alpinum had a lower optimal temperature for photosynthesis than Chorisodontium aciphyllum under high light conditions. Our study highlights the importance of considering uncertainty in physiological optima and other attributes of species response curves. We found that apparent differences in optima of 7.5 degrees C were not necessarily substantive when dealing with noisy ecological data, and it is necessary to consider the uncertainty in attributes when comparing the curves for different species. The model introduced here could increase the robustness of research on niche partitioning, species coexistence and niche conservatism. (C) 2016 Elsevier B.V. All rights reserved.</t>
  </si>
  <si>
    <t>[Ashcroft, Michael B.; Turnbull, Johanna D.; Wasley, Jane; Waterman, Melinda J.; Robinson, Sharon A.] Univ Wollongong, Sch Biol Sci, Ctr Sustainable Ecosyst Solut, Wollongong, NSW 2522, Australia; [Casanova-Katny, Angelica] Univ Catolica Temuco, Nucleo Estudios Arnbientales, Casilla 15-D, Temuco, Chile; [Mengersen, Kerrie] Queensland Univ Technol, Fac Sci &amp; Engn, Math Sci, Brisbane, Qld 4001, Australia; [Rosenstiel, Todd N.] Portland State Univ, Dept Biol, Ctr Life Extreme Environm, Portland, OR 97207 USA; [Wasley, Jane] Dept Environm, Australian Antarctic Div, Kingston, Tas 7050, Australia; [Waterman, Melinda J.; Zuniga, Gustavo E.] Univ Santiago Chile, Dept Biol, Alameda 3363, Santiago, Chile; [Waterman, Melinda J.; Zuniga, Gustavo E.] Univ Santiago Chile, CEDENNA, Alameda 3363, Santiago, Chile</t>
  </si>
  <si>
    <t>University of Wollongong; Universidad Catolica de Temuco; Queensland University of Technology (QUT); Portland State University; Australian Antarctic Division; Universidad de Santiago de Chile; Universidad de Santiago de Chile</t>
  </si>
  <si>
    <t>Ashcroft, MB (corresponding author), Univ Wollongong, Sch Biol Sci, Ctr Sustainable Ecosyst Solut, Wollongong, NSW 2522, Australia.</t>
  </si>
  <si>
    <t>ashcroft@uow.edu.au</t>
  </si>
  <si>
    <t>Mengersen, Kerrie/AHC-4096-2022; Casanova-Katny, Angelica/M-3994-2014; Wasley, Jane/KHX-4880-2024; Robinson, Sharon/B-2683-2008; Waterman, Melinda/N-5880-2019; Zuñiga, Gustavo E/P-8306-2015</t>
  </si>
  <si>
    <t>Robinson, Sharon/0000-0002-7130-9617; Waterman, Melinda/0000-0001-5907-4512; Zuniga, Gustavo/0000-0002-8286-9468; Ashcroft, Michael/0000-0003-2157-5965; Mengersen, Kerrie/0000-0001-8625-9168; Wasley, Jane/0000-0001-9379-664X; Turnbull, Johanna/0000-0002-4214-1675</t>
  </si>
  <si>
    <t>Australian Research Council [DP110101714]; Australian Antarctic Science [AAS1313, AAS4046]; FONDECYT [1120895, 1140189]; INACH [FR 0112]; VRIDEI, USACH; CEDENNA; Proyectos Basales, VRIDEI, USACH; U.S. National Science Foundation [1341742, 1258225]; ARC DP funding scheme; COE funding scheme; QUT Institute for Future Environments; Australian Postgraduate and AINSE Awards; Direct For Biological Sciences; Division Of Integrative Organismal Systems [1258225] Funding Source: National Science Foundation; Directorate For Geosciences; Office of Polar Programs (OPP) [1341742] Funding Source: National Science Foundation</t>
  </si>
  <si>
    <t>Australian Research Council(Australian Research Council); Australian Antarctic Science; FONDECYT(Comision Nacional de Investigacion Cientifica y Tecnologica (CONICYT)CONICYT FONDECYT); INACH; VRIDEI, USACH; CEDENNA; Proyectos Basales, VRIDEI, USACH; U.S. National Science Foundation(National Science Foundation (NSF)); ARC DP funding scheme(Australian Research Council); COE funding scheme; QUT Institute for Future Environments; Australian Postgraduate and AINSE Awards; Direct For Biological Sciences; Division Of Integrative Organismal Systems(National Science Foundation (NSF)NSF - Directorate for Biological Sciences (BIO)NSF - Division of Integrative Organismal Systems (IOS)); Directorate For Geosciences; Office of Polar Programs (OPP)(National Science Foundation (NSF)NSF - Directorate for Geosciences (GEO))</t>
  </si>
  <si>
    <t>This research was primarily funded through Australian Research Council DP110101714 and Australian Antarctic Science grants AAS1313 and AAS4046 with logistical support from the Australian Antarctic Division for visits to Casey Station and Instituto Antartico Chileno (INACH) for Julio Escudero Station. ACK was supported by the grant FONDECYT 1120895, and INACH FR 0112 and the VRIDEI, USACH; GEZ was supported by the grant FONDECYT 1140189, CEDENNA and Proyectos Basales, VRIDEI, USACH. TNR was supported by the U.S. National Science Foundation (grants 1341742 and 1258225). KM acknowledges support from ARC DP and COE funding schemes and from the QUT Institute for Future Environments. MW held Australian Postgraduate and AINSE Awards during the time of the study. JW held an APA at the time of field data collection.</t>
  </si>
  <si>
    <t>1574-9541</t>
  </si>
  <si>
    <t>1878-0512</t>
  </si>
  <si>
    <t>ECOL INFORM</t>
  </si>
  <si>
    <t>Ecol. Inform.</t>
  </si>
  <si>
    <t>10.1016/j.ecoinf.2016.03.001</t>
  </si>
  <si>
    <t>DR7LX</t>
  </si>
  <si>
    <t>WOS:000380082300004</t>
  </si>
  <si>
    <t>Nuez-Ortín, WG; Carter, CG; Nichols, PD; Wilson, R</t>
  </si>
  <si>
    <t>Nuez-Ortin, Waldo G.; Carter, Chris G.; Nichols, Peter D.; Wilson, Richard</t>
  </si>
  <si>
    <t>Sequential protein extraction as an efficient method for improved proteome coverage in larvae of Atlantic salmon (Salmo salar)</t>
  </si>
  <si>
    <t>PROTEOMICS</t>
  </si>
  <si>
    <t>Animal proteomic; Fish larvae; Protein fractionation; Proteome coverage</t>
  </si>
  <si>
    <t>Understanding diet- and environmentally induced physiological changes in fish larvae is a major goal for the aquaculture industry. Proteomic analysis of whole fish larvae comprising multiple tissues offers considerable potential but is challenging due to the very large dynamic range of protein abundance. To extend the coverage of the larval phase of the Atlantic salmon (Salmo salar) proteome, we applied a two-step sequential extraction (SE) method, based on differential protein solubility, using a nondenaturing buffer containing 150 mM NaCl followed by a denaturing buffer containing 7 M urea and 2 M thiourea. Extracts prepared using SE and one-step direct extraction were characterized via label-free shotgun proteomics using nanoLC-MS/MS (LTQ-Orbitrap). SE partitioned the proteins into two fractions of approximately equal amounts, but with very distinct protein composition, leading to identification of approximate to 40% more proteins than direct extraction. This fractionation strategy enabled the most detailed characterization of the salmon larval proteome to date and provides a platform for greater understanding of physiological changes in whole fish larvae. The MS data are available via the ProteomeXchange Consortium PRIDE partner repository, dataset PXD003366.</t>
  </si>
  <si>
    <t>[Nuez-Ortin, Waldo G.; Carter, Chris G.] Univ Tasmania, Inst Marine &amp; Antarctic Studies, Hobart, Tas, Australia; [Nuez-Ortin, Waldo G.; Nichols, Peter D.] CSIRO Food &amp; Nutr Oceans &amp; Atmosphere, Hobart, Tas, Australia; [Wilson, Richard] Univ Tasmania, Cent Sci Lab, Bag 74, Hobart, Tas 7001, Australia</t>
  </si>
  <si>
    <t>Wilson, R (corresponding author), Univ Tasmania, Cent Sci Lab, Bag 74, Hobart, Tas 7001, Australia.</t>
  </si>
  <si>
    <t>richard.wilson@utas.edu.au</t>
  </si>
  <si>
    <t>Nichols, Peter D/C-5128-2011; Carter, Chris Guy/A-3438-2008; NUEZ-ORTIN, WALDO G./M-5383-2016; Wilson, Richard/H-8429-2012</t>
  </si>
  <si>
    <t>Carter, Chris Guy/0000-0001-5210-1282; NUEZ-ORTIN, WALDO G./0000-0002-2991-1073; Wilson, Richard/0000-0003-0152-4394</t>
  </si>
  <si>
    <t>Australian Research Council [LE0775570]; CSIRO Food Futures Flagship program; International Postgraduate Research Scholarship - Australian government; Nuseed Global; Australian Research Council [LE0775570] Funding Source: Australian Research Council</t>
  </si>
  <si>
    <t>Australian Research Council(Australian Research Council); CSIRO Food Futures Flagship program; International Postgraduate Research Scholarship - Australian government(Australian Government); Nuseed Global; Australian Research Council(Australian Research Council)</t>
  </si>
  <si>
    <t>The authors acknowledge the use of infrastructure provided by the Central Science Laboratory, University of Tasmania, funded by Australian Research Council grant LE0775570. Waldo G. Nuez-Ortin was supported by the CSIRO Food Futures Flagship program, an International Postgraduate Research Scholarship funded by the Australian government, and additional support from Nuseed Global.</t>
  </si>
  <si>
    <t>1615-9853</t>
  </si>
  <si>
    <t>1615-9861</t>
  </si>
  <si>
    <t>Proteomics</t>
  </si>
  <si>
    <t>10.1002/pmic.201600051</t>
  </si>
  <si>
    <t>Biochemical Research Methods; Biochemistry &amp; Molecular Biology</t>
  </si>
  <si>
    <t>DR7DN</t>
  </si>
  <si>
    <t>WOS:000380060300013</t>
  </si>
  <si>
    <t>Parker, GC; Black, A; Rexer-Huber, K; Sommer, E; Cuthbert, RJ</t>
  </si>
  <si>
    <t>Parker, Graham C.; Black, Andy; Rexer-Huber, Kalinka; Sommer, Erica; Cuthbert, Richard J.</t>
  </si>
  <si>
    <t>Low population density and biology of an island population of house mice Mus musculus on South Georgia</t>
  </si>
  <si>
    <t>Rodent; Density; Abundance; Distribution; Body size; Reproduction</t>
  </si>
  <si>
    <t>GOUGH ISLAND; BURROWING PETRELS; ATLANTIC PETREL; PREDATION; MAMMALS; IMPACT; TRAPS</t>
  </si>
  <si>
    <t>South Georgia has been the southernmost location where populations of invasive house mice Mus musculus are found. The distribution of mice was investigated at Cape Rosa and the Nuez Peninsula, the two areas of South Georgia where the species is known to occur. Live-trapping and kill-trapping took place during March 2012, at the end of the austral summer, with traps in four grids (3.2-4.0 ha in area) and on 34 trap lines distributed across a range of habitats from the shoreline to 250 m above sea level. Mice were scarce, with just 68 captures in about 1750 trap nights. Mouse densities in tussock habitat were estimated at 2.1-2.8 mice/ha, with higher densities of 5.3-6.4 mice/ha along the coastline. Mice were found in all habitats apart from higher-altitude fellfield, but were relatively less abundant in tussock habitat with large numbers of seals. Mice were breeding at both sites with 58 % of mature females pregnant or lactating. Litter size (7.1 +/- A 2.3 embryos) and adult body mass (21.4 +/- A 4.6 g) were typical of most other island mice populations. Population densities of mice on South Georgia are two orders of magnitude lower than mouse densities measured at other sub-Antarctic islands. The very low population density and its restricted distribution, with most captures close to the shore, and the presence of large numbers of burrowing petrels and South Georgia pipits Anthus antarcticus at both sites, suggest that mice have a relatively limited impact on South Georgia's vertebrate biodiversity.</t>
  </si>
  <si>
    <t>[Parker, Graham C.; Black, Andy; Rexer-Huber, Kalinka] Govt South Georgia, Govt House, Stanley FIQQ 1ZZ, Falkland Island; [Parker, Graham C.] Parker Conservat, 126 Maryhill Terrace,Maryhill, Dunedin 9011, New Zealand; [Sommer, Erica; Cuthbert, Richard J.] Royal Soc Protect Birds, Sandy SG19 2DL, Beds, England</t>
  </si>
  <si>
    <t>Royal Society for Protection of Birds</t>
  </si>
  <si>
    <t>Parker, GC (corresponding author), Govt South Georgia, Govt House, Stanley FIQQ 1ZZ, Falkland Island.;Parker, GC (corresponding author), Parker Conservat, 126 Maryhill Terrace,Maryhill, Dunedin 9011, New Zealand.</t>
  </si>
  <si>
    <t>g.parker@parkerconservation.co.nz</t>
  </si>
  <si>
    <t>UK Government's Darwin Initiative Programme [18-017]; Overseas Territories Environment Programme (OTEP); Government of South Georgia and the South Sandwich Islands (GSGSSI); British Antarctic Survey; Royal Society for the Protection of Birds (RSPB)</t>
  </si>
  <si>
    <t>UK Government's Darwin Initiative Programme; Overseas Territories Environment Programme (OTEP); Government of South Georgia and the South Sandwich Islands (GSGSSI); British Antarctic Survey; Royal Society for the Protection of Birds (RSPB)</t>
  </si>
  <si>
    <t>The project was funded by the UK Government's Darwin Initiative Programme (Grant 18-017) and Overseas Territories Environment Programme (OTEP). The Government of South Georgia and the South Sandwich Islands (GSGSSI), British Antarctic Survey, and Royal Society for the Protection of Birds (RSPB) provided support and equipment. We thank St. John Payne, GSGSSI Fisheries Officer, and the Master and crew of the FPV Pharos SG, for transport and logistical support. Derek Brown, Nick Ton, and Sally Poncet commented on fieldwork plans, and James Russell and two anonymous reviewers provided feedback that improved this manuscript.</t>
  </si>
  <si>
    <t>10.1007/s00300-015-1831-8</t>
  </si>
  <si>
    <t>DR2MS</t>
  </si>
  <si>
    <t>WOS:000379739200001</t>
  </si>
  <si>
    <t>Laguna-Defior, C; Pintado, A; Green, TGA; Blanquer, JM; Sancho, LG</t>
  </si>
  <si>
    <t>Laguna-Defior, Clara; Pintado, Ana; Allan Green, T. G.; Manuel Blanquer, J.; Sancho, Leopoldo G.</t>
  </si>
  <si>
    <t>Distributional and ecophysiological study on the Antarctic lichens species pair Usnea antarctica/Usnea aurantiaco-atra</t>
  </si>
  <si>
    <t>Maritime Antarctica; Lichens; Usnea; Ecophysiology; Microclimate</t>
  </si>
  <si>
    <t>LIVINGSTON ISLAND; GAS-EXCHANGE; DIVERSITY; PATTERNS; GRADIENT</t>
  </si>
  <si>
    <t>The factors that control lichen distribution in Antarctica are still not well understood, and in this investigation we focused on the distribution, local and continental, and gas exchange of a species pair, closely related lichens with differing reproductive strategies, Usnea aurantiaco-atra (fertile) and Usnea antarctica (sterile, sorediate). The local distributions of these species were recorded along an altitudinal gradient of nearly 300 m at South Bay, Livingston Island, and microclimate was also recorded over 1 year. The photosynthetic responses to temperature, light and thallus water content were determined under controlled conditions in the laboratory. The species were almost identical in their photosynthetic profiles. Locally, on Livingston Island, U. antarctica was confined to low altitude sites which were warmer and drier, whilst U. aurantiaco-atra was present at all altitudes. This contrasts with its distribution across Antarctica where U. antarctica grows 9A degrees latitude further south than U. aurantiaco-atra. Temperature appears not to be the main controller of distribution in these species, but dryness of habitat, which will influence length of activity periods, may be important.</t>
  </si>
  <si>
    <t>[Laguna-Defior, Clara; Pintado, Ana; Allan Green, T. G.; Manuel Blanquer, J.; Sancho, Leopoldo G.] Univ Complutense, Dept Biol Vegetal 2, Fac Farm, E-28040 Madrid, Spain</t>
  </si>
  <si>
    <t>Complutense University of Madrid</t>
  </si>
  <si>
    <t>Laguna-Defior, C (corresponding author), Univ Complutense, Dept Biol Vegetal 2, Fac Farm, E-28040 Madrid, Spain.</t>
  </si>
  <si>
    <t>cldefior@farm.ucm.es</t>
  </si>
  <si>
    <t>Pintado, Ana/G-9881-2015; SANCHO, LEOPOLDO/G-9120-2015</t>
  </si>
  <si>
    <t>SANCHO, LEOPOLDO/0000-0002-4751-7475; PINTADO, ANA/0000-0003-3007-1486</t>
  </si>
  <si>
    <t>Spanish Ministry of Science [CTM2009-12838-C04-01, CTM2012-38222-C02-01]</t>
  </si>
  <si>
    <t>Spanish Ministry of Science(Spanish Government)</t>
  </si>
  <si>
    <t>We are grateful to the Spanish Polar Committee and to the Marine Technology Unit UTM of CSIC which provided the necessary logistics for field work in February 2012, as well as to the staff of Antarctic Spanish Base on Juan Carlos I (Livingston Island) which provided dedicated support during 2012 field campaign. Special acknowledgement is due to David Hita who successfully executed data downloading in February 2013. We also would like to thank Dr. Mercedes Vivas and Dr. Jose Raggio for their helpful advice regarding laboratory work and physiology data analysis and to Alberto Benavent for his contribution on the map elaboration. This research was supported by the Spanish Ministry of Science (CTM2009-12838-C04-01 and CTM2012-38222-C02-01).</t>
  </si>
  <si>
    <t>10.1007/s00300-015-1832-7</t>
  </si>
  <si>
    <t>WOS:000379739200002</t>
  </si>
  <si>
    <t>Casaux, R; Juares, M; Carlini, A; Corbalan, A</t>
  </si>
  <si>
    <t>Casaux, Ricardo; Juares, Mariana; Carlini, Alejandro; Corbalan, Aldo</t>
  </si>
  <si>
    <t>The diet of the Antarctic fur seal Arctocephalus gazella at the South Orkney Islands in ten consecutive years</t>
  </si>
  <si>
    <t>Antarctic fur seal; Diet composition; South Orkney Islands; Antarctica</t>
  </si>
  <si>
    <t>SUMMER-AUTUMN PERIOD; KING GEORGE ISLAND; SHETLAND ISLANDS; LAURIE ISLAND; FISH PREY; GEOGRAPHICAL VARIATION; WEDDELL SEALS; HARMONY-POINT; MARION ISLAND; FOOD</t>
  </si>
  <si>
    <t>To improve the knowledge on the Antarctic fur seal foraging behavior, evaluate whether changes in its diet are associated with changes in prey availability, and evaluate whether fisheries had negative impacts on Antarctic fur seal populations, a total of 1359 scats of non-breeding males were collected in ten consecutive sampling periods between 1994 and 2003 at Laurie Island, South Orkney Islands. Antarctic krill was the most numerous prey throughout the sampling period followed in importance by fish prey. Antarctic krill also predominated by reconstructed mass, except during 1994 and 1998 when penguins were the most important prey, and during 1995 when fish dominated. Among fish, demersal-benthic species (mainly Gobionotothen gibberifrons, Chaenocephalus aceratus and Chionodraco rastrospinosus) dominated the diet except in 1997, 1998, 1999 and 2002 when myctophids (mainly Gymnoscopelus nicholsi and Electrona antarctica) were the most important fish prey. In seasons when fish dominated the diet, the diet was primarily comprised of demersal species. Although our results are in overall agreement with previous studies, the contribution to the diet of the main preys changed throughout the sampling period, probably in parallel with changes in prey abundance. According to historical results on fish consumption, the fisheries carried out in the past have had negative impacts on seal populations from the South Orkney Islands.</t>
  </si>
  <si>
    <t>[Casaux, Ricardo; Juares, Mariana; Carlini, Alejandro; Corbalan, Aldo] Inst Antartico Argentino, Balcarce 290, RA-1064 Buenos Aires, DF, Argentina; [Casaux, Ricardo] CIEMEP CONICET UNPSJB, Roca 780, RA-9200 Esquel, Chubut, Argentina</t>
  </si>
  <si>
    <t>Instituto Antartico Argentino</t>
  </si>
  <si>
    <t>Casaux, R (corresponding author), Inst Antartico Argentino, Balcarce 290, RA-1064 Buenos Aires, DF, Argentina.;Casaux, R (corresponding author), CIEMEP CONICET UNPSJB, Roca 780, RA-9200 Esquel, Chubut, Argentina.</t>
  </si>
  <si>
    <t>pipocasaux@infovia.com.ar</t>
  </si>
  <si>
    <t>Juares, Mariana A./0000-0002-6763-0416</t>
  </si>
  <si>
    <t>10.1007/s00300-015-1836-3</t>
  </si>
  <si>
    <t>WOS:000379739200003</t>
  </si>
  <si>
    <t>Bertellotti, M; D'Amico, VL; Palacios, MG; Barbosa, A; Coria, N</t>
  </si>
  <si>
    <t>Bertellotti, Marcelo; D'Amico, Veronica L.; Gabriela Palacios, Maria; Barbosa, Andres; Coria, Nestor</t>
  </si>
  <si>
    <t>Effects of antihelminthic treatment on cell-mediated immunity in Gentoo penguin chicks</t>
  </si>
  <si>
    <t>Gentoo penguins; Immunity; Leukocyte counts; Parasites; Phytohemagglutinin</t>
  </si>
  <si>
    <t>GASTROINTESTINAL HELMINTHS; PYGOSCELIS-ANTARCTICA; IMMUNOCOMPETENCE; BIRDS; PARASITES</t>
  </si>
  <si>
    <t>Intestinal parasites suppose a cost to hosts as they compete directly for nutritional resources. Therefore, hosts must defend themselves against intestinal parasites by mounting an immune response. Many penguin species acquire parasites through their diet and transfer these parasites to their chicks when feeding them. High parasite loads in penguin chicks could have effects on their growth and body condition, and ultimately on their survival. Here, we evaluated the effect of parasites on the cell-mediated immune system in Gentoo penguin (Pygoscelis papua) chicks at Stranger Point (25 de Mayo/King George Island, South Shetland Islands). To this end, 12 chicks were experimentally deparasitized with a mixture of anthelminthic drugs (albendazole and praziquantel), whereas 10 others were kept as control. We measured cutaneous cell-mediated immunity in response to immunization with phytohemagglutinin (PHA). We also analyzed the leukocyte profile in both treated and control groups before and after the treatment. After the treatment, deparasitized birds showed larger foot-web swelling in response to PHA injection than control birds. Deparasitized penguins also showed lower eosinophil and monocyte counts than controls, whereas heterophils, lymphocytes, and total white blood cell counts did not differ between groups. Our results suggest that Gentoo penguin chicks parasitized with intestinal parasites suffer a cost in terms of reduced cell-mediated immune responses that could ultimately affect their survival.</t>
  </si>
  <si>
    <t>[Bertellotti, Marcelo; D'Amico, Veronica L.; Gabriela Palacios, Maria] Consejo Nacl Invest Cient &amp; Tecn, Ctr Nacl Patagon, Ecophysiol Appl Management &amp; Conservat Wildlife, Brown 2915, RA-9120 Puerto Madryn, Chubut, Argentina; [Barbosa, Andres] CSIC, Museo Nacl Ciencias Nat, Dept Evolutionary Ecol, Madrid, Spain; [Coria, Nestor] Inst Antartico Argentino, Dept Biol Top Predators, Buenos Aires, DF, Argentina</t>
  </si>
  <si>
    <t>Consejo Nacional de Investigaciones Cientificas y Tecnicas (CONICET); Centro Nacional Patagonico (CENPAT); Consejo Superior de Investigaciones Cientificas (CSIC); CSIC - Museo Nacional de Ciencias Naturales (MNCN); Instituto Antartico Argentino</t>
  </si>
  <si>
    <t>Bertellotti, M (corresponding author), Consejo Nacl Invest Cient &amp; Tecn, Ctr Nacl Patagon, Ecophysiol Appl Management &amp; Conservat Wildlife, Brown 2915, RA-9120 Puerto Madryn, Chubut, Argentina.</t>
  </si>
  <si>
    <t>bertello@cenpat-conicet.gob.ar</t>
  </si>
  <si>
    <t>Barbosa, Andrés/C-3208-2008; Palacios, Maria G/I-6140-2012; Bertellotti, Marcelo/GQZ-7950-2022</t>
  </si>
  <si>
    <t>Barbosa, Andrés/0000-0001-8434-3649; Bertellotti, Marcelo/0000-0002-1834-7788</t>
  </si>
  <si>
    <t>Spanish Ministry of Economy and Competitiveness [CTM2011-24427]</t>
  </si>
  <si>
    <t>Spanish Ministry of Economy and Competitiveness(Spanish Government)</t>
  </si>
  <si>
    <t>We very much appreciate the hospitality and logistic support of the Argentinean Antarctic Base Carlini (ex Jubany). We thank the logistic support provided by the Instituto Antartico Argentino (IAA-DNA). We thank the three anonymous reviewers for their suggestions that helped improve our manuscript. AB was supported by the Project CTM2011-24427 funded by the Spanish Ministry of Economy and Competitiveness. Permits for working in the study area and for penguin handling were issued by the Direccion Nacional del Antartico, Argentina.</t>
  </si>
  <si>
    <t>10.1007/s00300-015-1839-0</t>
  </si>
  <si>
    <t>WOS:000379739200004</t>
  </si>
  <si>
    <t>Acevedo, J; Torres, D; Aguayo-Lobo, A</t>
  </si>
  <si>
    <t>Acevedo, Jorge; Torres, Daniel; Aguayo-Lobo, Anelio</t>
  </si>
  <si>
    <t>Offspring kidnapping with subsequent shared nursing in Antarctic fur seals</t>
  </si>
  <si>
    <t>Arctocephalus gazella; Adoption; Alloparental care; Cape Shirreff; Antarctica</t>
  </si>
  <si>
    <t>ARCTOCEPHALUS-GAZELLA; FOSTERING BEHAVIOR; PHOCA-VITULINA; SOUTH SHETLAND; CAPE SHIRREFF; RECOGNITION; LIONS; PUPS; CARE; TIME</t>
  </si>
  <si>
    <t>Non-offspring maternal care should be common in phocids, but their occurrence would be uncommon among otariids due to the high costs of raising offspring, particularly lactation, and an efficient recognition system that allow for accurate recognition during the frequent mother-pup re-associations. However, non-offspring maternal care has been documented in some otariid species. While the phenomenon in general is not novel among the colonially breeding seals, the exclusive care to a single pup by two lactating females for an extended time is a behavior scarcely documented in natural population. In an extension of this allonursing care, we document the first case of the kidnapping of a pup with subsequent shared nursing in Antarctic fur seal including data on the effect of this interaction on the pup's growth. While all other lactating females nursed exclusively their own pups, the shared nursing was advantageous for the pup because he grew noticeably larger (in weight and axillary girth) than other of his cohort, particularly after 50 days. This advantage would have been influenced by the asynchrony of the foraging cycle of the biological and foster mother, which resulted in a higher attendance on shore than any other male pups. Although several explanations have been hypothesized for allolactation in mammals, our observations suggest a misguided parental care, associated with recognition errors by the foster mother whose pup was stillborn.</t>
  </si>
  <si>
    <t>[Acevedo, Jorge] Fdn CEQUA, Ctr Estudios Cuaternario Fuego Patagonia &amp; Antart, 21 Mayo 1690, Punta Arenas, Chile; [Torres, Daniel] Project INACH 018, Av Luis Durand 3860, Santiago, Chile; [Aguayo-Lobo, Anelio] Inst Antartico Chileno, Plaza Munoz Gamero 1055, Punta Arenas, Chile</t>
  </si>
  <si>
    <t>Acevedo, J (corresponding author), Fdn CEQUA, Ctr Estudios Cuaternario Fuego Patagonia &amp; Antart, 21 Mayo 1690, Punta Arenas, Chile.</t>
  </si>
  <si>
    <t>jorge.acevedo@cequa.cl</t>
  </si>
  <si>
    <t>Acevedo, Jorge/AAV-3574-2020</t>
  </si>
  <si>
    <t>Acevedo, Jorge/0000-0002-6106-0838</t>
  </si>
  <si>
    <t>Instituto Antartico Chileno (INACH) [018]; Conicyt [R13A1002]</t>
  </si>
  <si>
    <t>Instituto Antartico Chileno (INACH); Conicyt(Comision Nacional de Investigacion Cientifica y Tecnologica (CONICYT))</t>
  </si>
  <si>
    <t>We thank the Directors of Fundacion CEQUA for providing time and constant support for marine mammal research, and Instituto Antartico Chileno (INACH) for supporting Project 018 between 1991 and 2006. The authors also appreciate all the people who have assisted in the different field seasons in Cape Shirreff, and Dr. M. Weber and Dr. B. Keener for their constructive comments on drafts of this manuscript. The preparation of this manuscript by the first author was supported by Conicyt Regional Grant number R13A1002.</t>
  </si>
  <si>
    <t>10.1007/s00300-015-1841-6</t>
  </si>
  <si>
    <t>WOS:000379739200006</t>
  </si>
  <si>
    <t>Montiel, A; Quiroga, E; Gerdes, D; Ebbe, B</t>
  </si>
  <si>
    <t>Montiel, Americo; Quiroga, Eduardo; Gerdes, Dieter; Ebbe, Brigitte</t>
  </si>
  <si>
    <t>Polychaete diversity in the Scotia Arc benthic realm: Are polychaetes tracers for faunal exchange?</t>
  </si>
  <si>
    <t>Macrobenthos; Antarctic; Magellan; Beta diversity; Eurybathy</t>
  </si>
  <si>
    <t>SOUTH SHETLAND ISLANDS; ANTARCTIC PENINSULA; QUANTITATIVE-ANALYSIS; WEDDELL SEA; MAGELLAN; OCEAN; ASSEMBLAGES; PATTERNS; BIOMASS; CHILE</t>
  </si>
  <si>
    <t>The Scotia Arc is the only shallow-water and island bridge linking nowadays Patagonia and the Antarctic. The Antarctic Circumpolar Current as an oceanographic peculiarity makes this region an interesting biogeographic transition zone, because this frontal system traditionally is said to isolate the Antarctic fauna from that of the adjacent northern ecosystems. Based on benthos samples from three expeditions onboard R/V Polarstern, we studied distribution patterns of 200 polychaete species and 34 major benthic taxa in order to evaluate the role of polychaetes in the benthic realm of this part of the Southern Ocean. ANOSIM test distinguished three station groups: the central eastern Scotia Sea, the continental shelf off South America and stations at the tip of the Antarctic Peninsula. These station groups differed in organism densities and diversities with stations at the tip of the Antarctic Peninsula hosting the most diverse and dense community. The polychaete diversity patterns in the three assemblages evidenced closer connectivity between the tip of the Antarctic Peninsula and the central eastern Scotia Sea than between the continental shelf off South America with either the stations off the tip of the Peninsula or the central eastern Scotia Sea. This is probably supported by the Polar Front, which divides the island chain into two branches. Species distribution and community patterns of polychaetes appear to be associated with oceanographic and sediment conditions in this region. Most of the shared species showed the capability to tolerate differences in hydrostatic pressure. We suggest that the islands of the Scotia Sea may constitute a bridge for exchange of benthic species, particularly for polychaetes with eurybathic distribution and high dispersal capabilities.</t>
  </si>
  <si>
    <t>[Montiel, Americo] Univ Magallanes, Inst Patagonia, Casilla 113-D, Punta Arenas, Chile; [Gerdes, Dieter; Ebbe, Brigitte] Helmholtz Ctr Polar &amp; Marine Res, Alfred Wegener Inst, Alten Hafen 26, D-27568 Bremerhaven, Germany; [Quiroga, Eduardo] Pontificia Univ Catolica Valparaiso, Casilla 1020, Valparaiso, Chile</t>
  </si>
  <si>
    <t>Universidad de Magallanes; Helmholtz Association; Alfred Wegener Institute, Helmholtz Centre for Polar &amp; Marine Research; Pontificia Universidad Catolica de Valparaiso</t>
  </si>
  <si>
    <t>Montiel, A (corresponding author), Univ Magallanes, Inst Patagonia, Casilla 113-D, Punta Arenas, Chile.</t>
  </si>
  <si>
    <t>americo.montiel@umag.cl</t>
  </si>
  <si>
    <t>Montiel, Americo/0000-0002-2644-4879</t>
  </si>
  <si>
    <t>INACH [T_25 10]</t>
  </si>
  <si>
    <t>INACH</t>
  </si>
  <si>
    <t>Our thanks are due to the crew of the R/V Polarstern for help and assistance at sea during the expeditions. We are grateful to Prof. Dr. Dr. h. c. W. Arntz for continued enthusiasm in maintaining cooperation between Latino America and Germany, which yielded the Latin America Polarstern Study (LAMPOS). This project was partially financed by INACH T_25 10.</t>
  </si>
  <si>
    <t>10.1007/s00300-015-1845-2</t>
  </si>
  <si>
    <t>WOS:000379739200007</t>
  </si>
  <si>
    <t>Petry, MV; Valls, FCL; Petersen, ED; Krüger, L; Piuco, RD; dos Santos, CR</t>
  </si>
  <si>
    <t>Petry, Maria Virginia; Leal Valls, Fernanda Caminha; Petersen, Elisa de Souza; Kruger, Lucas; Piuco, Roberta da Cruz; dos Santos, Cesar Rodrigo</t>
  </si>
  <si>
    <t>Breeding sites and population of seabirds on Admiralty Bay, King George Island, Antarctica</t>
  </si>
  <si>
    <t>Breeding colonies; El-Nino Southern Oscillation; Mapping; Seabird populations; South Shetland Islands</t>
  </si>
  <si>
    <t>SOUTH-SHETLAND ISLANDS; PYGOSCELIS-ANTARCTICA; CLIMATE-CHANGE; KELP GULL; PENGUIN; OCEAN; LAND</t>
  </si>
  <si>
    <t>The monitoring of the status and distribution of seabird populations is necessary to understand their spatial and temporal responses to rapid climate changes occurring in the Western Antarctic Peninsula area. We surveyed and mapped Admiralty Bay bird communities and related them to climate variables-temperature, temperature anomaly, Antarctic Oscillation Index and El-Nio Southern Oscillation Index. We recorded 13 breeding seabird species over three seasons (2009/2010, 2010/2011 and 2011/2012) and mapped 10 of them over an area of 149.5 ha. The ice-free areas with the greatest number of species were Point Thomas, Keller Peninsula and Hennequin Point. The most abundant species was the Adelie Penguin (Pygoscelis adeliae) followed by the Chinstrap Penguin (P. antarcticus). We observed that the number of breeding pairs of Gentoo Penguins (P. papua), Chinstrap Penguins and skuas (Catharacta maccormicki and C. antarctica) are related to temperature, temperature anomaly and El-Nio Southern Oscillation Index. The size of breeding populations and their distributions have been fluctuating over the last 30 years in ice-free areas of Admiralty Bay. Most species showed a decreasing trend from 1978 to 2012, with the exception of Chinstrap Penguins, Southern Giant Petrels (Macronectes giganteus) and skuas, which seem to be stable in numbers in the last two decades. Decreases in seabird populations from the Antarctic Peninsula are widely recognized as a response to environmental change and anthropogenic influences such as tourism and building activities, thus highlighting the importance of monitoring to support mitigation measures.</t>
  </si>
  <si>
    <t>[Petry, Maria Virginia; Leal Valls, Fernanda Caminha; Petersen, Elisa de Souza; Kruger, Lucas; Piuco, Roberta da Cruz; dos Santos, Cesar Rodrigo] Univ Vale Rio dos Sinos, Lab Ornitol &amp; Anim Marinhos, Ave Unisinos 950, BR-93022000 Sao Leopoldo, RS, Brazil; [Petry, Maria Virginia; Leal Valls, Fernanda Caminha; Petersen, Elisa de Souza; Kruger, Lucas; Piuco, Roberta da Cruz; dos Santos, Cesar Rodrigo] INCT APA Natl Inst Sci &amp; Technol Antarctic Enviro, Rio De Janeiro, Brazil</t>
  </si>
  <si>
    <t>Universidade do Vale do Rio dos Sinos (Unisinos)</t>
  </si>
  <si>
    <t>Petry, MV (corresponding author), Univ Vale Rio dos Sinos, Lab Ornitol &amp; Anim Marinhos, Ave Unisinos 950, BR-93022000 Sao Leopoldo, RS, Brazil.;Petry, MV (corresponding author), INCT APA Natl Inst Sci &amp; Technol Antarctic Enviro, Rio De Janeiro, Brazil.</t>
  </si>
  <si>
    <t>vpetry@unisinos.br</t>
  </si>
  <si>
    <t>Krüger, Lucas/O-8912-2015; Petry, Maria Virginia/AAG-5333-2021; Piuco, Roberta/IAP-0651-2023; petry, maria/K-8410-2013</t>
  </si>
  <si>
    <t>Krüger, Lucas/0000-0003-4637-5302; petry, maria/0000-0002-7870-7394</t>
  </si>
  <si>
    <t>National Institute of Science and Technology Antarctic Environmental Research (INCT-APA) - National Council for Research and Development (CNPq) [574018/2008-5]; Carlos Chagas Research Support Foundation of the State of Rio de Janeiro (FAPERJ) [E-16/170.023/2008]; Brazilian Ministry of Science, Technology and Innovation (MCTI); Brazilian Ministry of Environment (MMA); Inter-Ministry Commission for Sea Resources (CIRM)</t>
  </si>
  <si>
    <t>National Institute of Science and Technology Antarctic Environmental Research (INCT-APA) - National Council for Research and Development (CNPq); Carlos Chagas Research Support Foundation of the State of Rio de Janeiro (FAPERJ)(Fundacao Carlos Chagas Filho de Amparo a Pesquisa do Estado do Rio De Janeiro (FAPERJ)); Brazilian Ministry of Science, Technology and Innovation (MCTI); Brazilian Ministry of Environment (MMA); Inter-Ministry Commission for Sea Resources (CIRM)</t>
  </si>
  <si>
    <t>The project received funding from the National Institute of Science and Technology Antarctic Environmental Research (INCT-APA), which receives scientific and financial support from the National Council for Research and Development (CNPq process: no 574018/2008-5) and the Carlos Chagas Research Support Foundation of the State of Rio de Janeiro (FAPERJ no E-16/170.023/2008). The authors also acknowledge the support of the Brazilian Ministries of Science, Technology and Innovation (MCTI), of Environment (MMA) and the Inter-Ministry Commission for Sea Resources (CIRM). We thank James Reynolds who helped us in the revision of English and to the anonymous reviewers for constructive inputs.</t>
  </si>
  <si>
    <t>10.1007/s00300-015-1846-1</t>
  </si>
  <si>
    <t>WOS:000379739200017</t>
  </si>
  <si>
    <t>Anthony, SE; Buddle, CM; Sinclair, BJ</t>
  </si>
  <si>
    <t>Anthony, Susan E.; Buddle, Christopher M.; Sinclair, Brent J.</t>
  </si>
  <si>
    <t>Thermal biology and immersion tolerance of the Beringian pseudoscorpion Wyochernes asiaticus</t>
  </si>
  <si>
    <t>Pseudoscorpion; Microarthropod; Cold tolerance; Critical thermal limits; Immersion</t>
  </si>
  <si>
    <t>ONYCHIURUS-ARCTICUS TULLBERG; COLD TOLERANCE; TERRESTRIAL INVERTEBRATES; SOIL MICROARTHROPODS; ANTARCTIC COLLEMBOLA; SUMMER TEMPERATURES; MORTALITY FACTOR; CAPE HALLETT; BIODIVERSITY; DEHYDRATION</t>
  </si>
  <si>
    <t>Wyochernes asiaticus (Arachnida: Pseudoscorpiones: Chernetidae) is a pseudoscorpion distributed across Beringia, the areas of Yukon, Alaska and Siberia that remained unglaciated at the last glacial maximum. Along with low temperatures, its streamside habitat suggests that submergence during flood events is an important physiological challenge for this species. We collected W. asiaticus in midsummer from 66.8A degrees N Yukon Territory, Canada, and measured thermal and immersion tolerance. Wyochernes asiaticus is freeze-avoidant, with a mean supercooling point of -6.9 A degrees C. It remains active at low temperatures (mean critical thermal minimum, CTmin, is -3.6 A degrees C) and has a critical thermal maximum (CTmax) of 37.8 A degrees C, which is lower than other arachnids and consistent with its restriction to high latitudes. Fifty per cent of W. asiaticus individuals survived immersion in oxygen-depleted water for 17 days, suggesting that this species has high tolerance to immersion during flooding events. To our knowledge, these are the first data on the environmental physiology of any pseudoscorpion and a new addition to our understanding of the biology of polar microarthropods.</t>
  </si>
  <si>
    <t>[Anthony, Susan E.; Sinclair, Brent J.] Univ Western Ontario, Dept Biol, London, ON, Canada; [Buddle, Christopher M.] McGill Univ, Dept Nat Resource Sci, Macdonald Campus 21,111 Lakeshore Rd, Ste Anne De Bellevue, PQ H9X 3V9, Canada</t>
  </si>
  <si>
    <t>Western University (University of Western Ontario); McGill University</t>
  </si>
  <si>
    <t>Sinclair, BJ (corresponding author), Univ Western Ontario, Dept Biol, London, ON, Canada.</t>
  </si>
  <si>
    <t>bsincla7@uwo.ca</t>
  </si>
  <si>
    <t>Anthony, Susan Elizabeth/AAE-3052-2021; Sinclair, Brent J/C-6133-2012</t>
  </si>
  <si>
    <t>Buddle, Christopher/0000-0002-7494-9732</t>
  </si>
  <si>
    <t>Natural Sciences and Engineering Research Council of Canada; Northern Scientific Training Programme grant</t>
  </si>
  <si>
    <t>Natural Sciences and Engineering Research Council of Canada(Natural Sciences and Engineering Research Council of Canada (NSERC)CGIAR); Northern Scientific Training Programme grant</t>
  </si>
  <si>
    <t>Thanks to Mhairi McFarlane, Shaun Turney and Anne-Sophie Caron for assistance in the field. Chris, Beatrix and April Howard provided logistical support. Two anonymous referees provided comments that improved the manuscript. This research was supported by the Natural Sciences and Engineering Research Council of Canada via Discovery Grants to BJS and CMB and a Northern Supplement to CMB, and by a Northern Scientific Training Programme grant to SEA. Collections were made under Yukon Science and Exploration Permit 15-10S&amp;E.</t>
  </si>
  <si>
    <t>10.1007/s00300-015-1849-y</t>
  </si>
  <si>
    <t>WOS:000379739200018</t>
  </si>
  <si>
    <t>Li, F; Ma, C; Zhang, SK; Lei, JT; Hao, WF; Zhang, QC; Li, WH</t>
  </si>
  <si>
    <t>Li Fei; Ma Chao; Zhang Sheng-Kai; Lei Jin-Tao; Hao Wei-Feng; Zhang Qing-Chuan; Li Wen-Hao</t>
  </si>
  <si>
    <t>Noise analysis of the coordinate time series of the continuous GPS station and the deformation patterns in the Antarctic Peninsula</t>
  </si>
  <si>
    <t>Antarctic Peninsula; GPS; Time series; Noise analysis; Deformation patterns</t>
  </si>
  <si>
    <t>COMPONENT; RATES; MODEL</t>
  </si>
  <si>
    <t>The colored noise is widely existed in various continuous GPS station coordinate time series, which has an important influence on GPS time series analysis. The measured data of 8 GPS stations in the Antarctic Peninsula area was solved by GAMIT/GLOBK software and principal component analysis (PCA) method was used in spatial filtering of the GPS time series. CATS software was used to estimate and analyze the magnitude of noise, the parameters of GPS time series and the uncertainty of them. Finally, the horizontal and vertical deformation patterns of the Antarctic Peninsula are analyzed and discussed. The results show that not only white noise, but also large magnitude of flicker noise and possible random walk noise exist in Antarctic Peninsula GPS time series. Spatial filtering can effectively reduce the magnitude of white noise, flicker noise and random walk noise, so the uncertainty of the linear term and periodic term can be effectively reduced. The horizontal movement in Antarctic Peninsula area is mainly expressed as plate movement and local tectonic movement may also exist. The uplift of glacial isostatic adjustment (GIA) is too small to be dominant movement and the vertical movement is mainly expressed as the elastic uplift movement caused by the loss of the current ice and snow mass.</t>
  </si>
  <si>
    <t>[Li Fei; Ma Chao; Zhang Sheng-Kai; Lei Jin-Tao; Hao Wei-Feng; Zhang Qing-Chuan; Li Wen-Hao] Wuhan Univ, Chinese Antarctic Ctr Surveying &amp; Mapping, Wuhan 430079, Peoples R China</t>
  </si>
  <si>
    <t>Wuhan University</t>
  </si>
  <si>
    <t>fli@whu.edu.cn; zskai@whu.edu.cn</t>
  </si>
  <si>
    <t>10.6038/cjg20160707</t>
  </si>
  <si>
    <t>DQ7HI</t>
  </si>
  <si>
    <t>WOS:000379377100007</t>
  </si>
  <si>
    <t>Jancusova, M; Kovacik, L; Pereira, AB; Dusinsky, R; Wilmotte, A</t>
  </si>
  <si>
    <t>Jancusova, Miroslava; Kovacik, Lubomir; Pereira, Antonio Batista; Dusinsky, Roman; Wilmotte, Annick</t>
  </si>
  <si>
    <t>Polyphasic characterization of 10 selected ecologically relevant filamentous cyanobacterial strains from the South Shetland Islands, Maritime Antarctica</t>
  </si>
  <si>
    <t>cyanobacteria; Leptolyngbya; Wilmottia; Microcoleus; rRNA operon; Antarctica</t>
  </si>
  <si>
    <t>MORPHOLOGICAL CHARACTERIZATION; SPECIES DEFINITION; MICROBIAL MATS; DRY VALLEYS; ROSS-ISLAND; DIVERSITY; OSCILLATORIALES; PHORMIDIUM; POLAR; CLASSIFICATION</t>
  </si>
  <si>
    <t>The evolutionary relationships of 10 Antarctic cyanobacterial strains of the order Oscillatoriales isolated from King George and Deception Islands, South Shetland Islands were studied by a polyphasic approach (morphology, 16S rRNA and internal transcribed spacer sequences). The studied taxa are characteristic of coastal Antarctic biotopes, where they form distinct populations and ecologically delimited communities. They were isolated from terrestrial habitats: microbial mats in seepages; crusts on soil, rocks, bones and mosses; mud, sometimes close to bird colonies; and from guano. Based on major phenotypic features, the strains were divided into four distinct morphotypes: Leptolyngbya borchgrevinkii (A), Leptolyngbya frigida (B), Microcoleus sp. (C) and Wilmottia murrayi (D). This morphological identification was in agreement with the phylogenetic relationships. For the first time, the 16S rRNA gene sequence of a strain corresponding to the L. borchgrevinkii morphotype was determined. Morphotype B is most related to sequences assigned to L. frigida isolated from microbial mats of coastal lakes in East Antarctica. Morphotype C belongs to a cluster including strains with morphotypes corresponding to Microcoleus attenuatus, Microcoleus favosus and Microcoleus sp., which are from Antarctica and other continents. Morphotype D is grouped with sequences assigned to W. murrayi mostly isolated from Antarctica.</t>
  </si>
  <si>
    <t>[Jancusova, Miroslava; Kovacik, Lubomir] Comenius Univ, Fac Nat Sci, Dept Bot, Revova 39, SK-81102 Bratislava, Slovakia; [Pereira, Antonio Batista] Univ Fed Pampa UNIPAMPA, INCT APA, Campus Sao Gabriel,Ave Antonio Trilha 1847, BR-97300000 Sao Gabriel, RS, Brazil; [Dusinsky, Roman] Comenius Univ, Fac Nat Sci, Dept Genet, SK-84215 Bratislava, Slovakia; [Wilmotte, Annick] Univ Liege, Inst Chim B6, Ctr Ingn Prot, B-4000 Liege, Belgium</t>
  </si>
  <si>
    <t>Comenius University Bratislava; Universidade Federal do Pampa; Comenius University Bratislava; University of Liege</t>
  </si>
  <si>
    <t>Wilmotte, A (corresponding author), Univ Liege, Inst Chim B6, Ctr Ingn Prot, B-4000 Liege, Belgium.</t>
  </si>
  <si>
    <t>awilmotte@ulg.ac.be</t>
  </si>
  <si>
    <t>Wilmotte, Annick/H-1686-2011; Pereira, Antonio B/I-8201-2014</t>
  </si>
  <si>
    <t>Pereira, Antonio B/0000-0003-0368-4594; Wilmotte, Annick/0000-0003-3546-3489</t>
  </si>
  <si>
    <t>Brazilian Antarctic Programme through Conselho Nacional de Pesquisas (CNPq) [574018/2008]; Fundacao de Amparo a Pesquisa do Estado do Rio de Janeiro (FAPERJ) [E-26/170.023/2008]; Ministry of Environment - MMA; Ministry of Science and Technology - MCT; Comissao Interministerial para os Recursos do Mar (CIRM); Slovak Grant Agency for Science VEGA [1/0868/11]; LLP/ERASMUS Student Mobility Programme EU; Belgian Science Policy Office (BELSPO) [SD/BA/03 CCAMBIO]; FRS-FNRS [FRFC 2.4570.09 Bipoles]</t>
  </si>
  <si>
    <t>Brazilian Antarctic Programme through Conselho Nacional de Pesquisas (CNPq)(Conselho Nacional de Desenvolvimento Cientifico e Tecnologico (CNPQ)Fundacao de Apoio a Pesquisa do Distrito Federal (FAPDF)); Fundacao de Amparo a Pesquisa do Estado do Rio de Janeiro (FAPERJ)(Fundacao Carlos Chagas Filho de Amparo a Pesquisa do Estado do Rio De Janeiro (FAPERJ)); Ministry of Environment - MMA; Ministry of Science and Technology - MCT; Comissao Interministerial para os Recursos do Mar (CIRM)(California Institute for Regenerative Medicine); Slovak Grant Agency for Science VEGA(Vedecka grantova agentura MSVVaS SR a SAV (VEGA)); LLP/ERASMUS Student Mobility Programme EU; Belgian Science Policy Office (BELSPO)(Belgian Federal Science Policy Office); FRS-FNRS(Fonds de la Recherche Scientifique - FNRS)</t>
  </si>
  <si>
    <t>This work was supported by the Brazilian Antarctic Programme through Conselho Nacional de Pesquisas (CNPq) (process no. 574018/2008), Fundacao de Amparo a Pesquisa do Estado do Rio de Janeiro (FAPERJ) (process no. E-26/170.023/2008), Ministry of Environment - MMA, Ministry of Science and Technology - MCT and Comissao Interministerial para os Recursos do Mar (CIRM). MJ, LK and RD were supported by the Slovak Grant Agency for Science VEGA (Project no. 1/0868/11) and the LLP/ERASMUS Student Mobility Programme EU. AW is Research Associate of the Belgian Funds for Scientific Research (FRS-FNRS) and was supported by Belgian Science Policy Office (BELSPO) [SD/BA/03 CCAMBIO] and the FRS-FNRS [FRFC 2.4570.09 Bipoles]. This is a contribution to the ANT-ECO programme of the Scientific Committee on Antarctic Research (SCAR).</t>
  </si>
  <si>
    <t>fiw100</t>
  </si>
  <si>
    <t>10.1093/femsec/fiw100</t>
  </si>
  <si>
    <t>DR1VT</t>
  </si>
  <si>
    <t>WOS:000379693700011</t>
  </si>
  <si>
    <t>Tunnah, L; MacKellar, SRC; Barnett, DA; MacCormack, TJ; Stehfest, KM; Morash, AJ; Semmens, JM; Currie, S</t>
  </si>
  <si>
    <t>Tunnah, Louise; MacKellar, Sara R. C.; Barnett, David A.; MacCormack, Tyson J.; Stehfest, Kilian M.; Morash, Andrea J.; Semmens, Jayson M.; Currie, Suzanne</t>
  </si>
  <si>
    <t>Physiological responses to hypersalinity correspond to nursery ground usage in two inshore shark species (Mustelus antarcticus and Galeorhinus galeus)</t>
  </si>
  <si>
    <t>JOURNAL OF EXPERIMENTAL BIOLOGY</t>
  </si>
  <si>
    <t>Hyperosmolarity; Elasmobranch; Heat shock proteins; Trimethylamine oxide; Urea; Ionic dysregulation</t>
  </si>
  <si>
    <t>PROTEIN-QUALITY CONTROL; JUVENILE BULL SHARKS; TRIMETHYLAMINE OXIDE; CARCHARHINUS-LEUCAS; ELASMOBRANCH FISH; FRESH-WATER; SCYLIORHINUS-CANICULA; OXYGEN-CONSUMPTION; SQUALUS-ACANTHIAS; STRESS-RESPONSE</t>
  </si>
  <si>
    <t>Shark nurseries are susceptible to environmental fluctuations in salinity because of their shallow, coastal nature; however, the physiological impacts on resident elasmobranchs are largely unknown. Gummy sharks (Mustelus antarcticus) and school sharks (Galeorhinus galeus) use the same Tasmanian estuary as a nursery ground; however, each species has distinct distribution patterns that are coincident with changes in local environmental conditions, such as increases in salinity. We hypothesized that these differences were directly related to differential physiological tolerances to high salinity. To test this hypothesis, we exposed wild, juvenile school and gummy sharks to an environmentally relevant hypersaline (120% SW) event for 48 h. Metabolic rate decreased 20-35% in both species, and gill Na+/K+-ATPase activity was maintained in gummy sharks but decreased 37% in school sharks. We measured plasma ions (Na+, K+, Cl-) and osmolytes [urea and trimethylamine oxide (TMAO)], and observed a 33% increase in plasma Na+ in gummy sharks with hyperosmotic exposure, while school sharks displayed a typical ureosmotic increase in plasma urea (similar to 20%). With elevated salinity, gill TMAO concentration increased by 42% in school sharks and by 30% in gummy sharks. Indicators of cellular stress (heat shock proteins HSP70, 90 and 110, and ubiquitin) significantly increased in gill and white muscle in both a species- and a tissue-specific manner. Overall, gummy sharks exhibited greater osmotic perturbation and ionic dysregulation and a larger cellular stress response compared with school sharks. Our findings provide physiological correlates to the observed distribution and movement of these shark species in their critical nursery grounds.</t>
  </si>
  <si>
    <t>[Tunnah, Louise; MacKellar, Sara R. C.; Morash, Andrea J.; Currie, Suzanne] Mt Allison Univ, Dept Biol, Sackville, NB E4L 1G7, Canada; [Barnett, David A.] Atlantic Canc Res Inst, Moncton, NB E1C 8X3, Canada; [MacCormack, Tyson J.] Mt Allison Univ, Dept Chem &amp; Biochem, Sackville, NB E4L 1G8, Canada; [Stehfest, Kilian M.; Semmens, Jayson M.] Univ Tasmania, Inst Marine &amp; Antarctic Studies, Fisheries &amp; Aquaculture Ctr, Taroona, Tas 7053, Australia</t>
  </si>
  <si>
    <t>Mount Allison University; Mount Allison University; University of Tasmania</t>
  </si>
  <si>
    <t>Currie, S (corresponding author), Mt Allison Univ, Dept Biol, Sackville, NB E4L 1G7, Canada.</t>
  </si>
  <si>
    <t>scurrie@mta.ca</t>
  </si>
  <si>
    <t>MacCormack, Tyson/AAJ-8920-2021</t>
  </si>
  <si>
    <t>Semmens, Jayson/0000-0003-1742-6692; Stehfest, Kilian/0000-0002-6371-9296</t>
  </si>
  <si>
    <t>Natural Sciences and Engineering Research Council of Canada (NSERC); Winifred Violet Scott Charitable Trust; Mount Allison University</t>
  </si>
  <si>
    <t>Natural Sciences and Engineering Research Council of Canada (NSERC)(Natural Sciences and Engineering Research Council of Canada (NSERC)); Winifred Violet Scott Charitable Trust; Mount Allison University</t>
  </si>
  <si>
    <t>Financial support was provided by Natural Sciences and Engineering Research Council of Canada (NSERC) Discovery Grants (S.C., T.J.M.) and Undergraduate Student Research Awards (USRA; S.R.C.M.) Programs, Mount Allison University sabbatical funding (S.C.), and Winifred Violet Scott Charitable Trust (J.M.S.).</t>
  </si>
  <si>
    <t>COMPANY OF BIOLOGISTS LTD</t>
  </si>
  <si>
    <t>BIDDER BUILDING CAMBRIDGE COMMERCIAL PARK COWLEY RD, CAMBRIDGE CB4 4DL, CAMBS, ENGLAND</t>
  </si>
  <si>
    <t>0022-0949</t>
  </si>
  <si>
    <t>1477-9145</t>
  </si>
  <si>
    <t>J EXP BIOL</t>
  </si>
  <si>
    <t>J. Exp. Biol.</t>
  </si>
  <si>
    <t>10.1242/jeb.139964</t>
  </si>
  <si>
    <t>DQ7DF</t>
  </si>
  <si>
    <t>WOS:000379366400021</t>
  </si>
  <si>
    <t>Raymond, MR; Wharton, DA</t>
  </si>
  <si>
    <t>Raymond, Meliane R.; Wharton, David A.</t>
  </si>
  <si>
    <t>The ability to survive intracellular freezing in nematodes is related to the pattern and distribution of ice formed</t>
  </si>
  <si>
    <t>Intracellular ice; Panagrolaimus; Antarctic; Freeze substitution; Transmission electron microscopy</t>
  </si>
  <si>
    <t>TOLERANT ANTARCTIC NEMATODE; HEMIDEINA-MAORI ORTHOPTERA; PANAGROLAIMUS-DAVIDI; COLD TOLERANCE; ALPINE WETA; CELLS</t>
  </si>
  <si>
    <t>A few species of nematodes can survive extensive intracellular freezing throughout all their tissues, an event that is usually thought to be fatal to cells. How are they able to survive in this remarkable way? The pattern and distribution of ice formed, after freezing at -10 degrees C, can be observed using freeze substitution and transmission electron microscopy, which preserves the former position of ice as white spaces. We compared the pattern and distribution of ice formed in a nematode that survives intracellular freezing well (Panagrolaimus sp. DAW1), one that survives poorly (Panagrellus redivivus) and one with intermediate levels of survival (Plectus murrayi). We also examined Panagrolaimus sp. in which the survival of freezing had been compromised by starvation. Levels of survival were as expected and the use of vital dyes indicated cellular damage in those that survived poorly (starved Panagrolaimus sp. and P. murrayi). In fed Panagrolaimus sp. the intracellular ice spaces were small and uniform, whereas in P. redivivus and starved Panagrolaimus sp. there were some large spaces that may be causing cellular damage. The pattern and distribution of ice formed was different in P. murrayi, with a greater number of individuals having no ice or only small intracellular ice spaces. Control of the size of the ice formed is thus important for the survival of intracellular freezing in nematodes.</t>
  </si>
  <si>
    <t>[Raymond, Meliane R.; Wharton, David A.] Univ Otago, Dept Zool, POB 56, Dunedin 9054, New Zealand; [Raymond, Meliane R.] GBIF Secretariat, Univ Pk 15, DK-2100 Copenhagen, Denmark</t>
  </si>
  <si>
    <t>University of Otago</t>
  </si>
  <si>
    <t>Wharton, DA (corresponding author), Univ Otago, Dept Zool, POB 56, Dunedin 9054, New Zealand.</t>
  </si>
  <si>
    <t>david.wharton@otago.ac.nz</t>
  </si>
  <si>
    <t>Raymond, Melianie/0000-0002-6158-8202</t>
  </si>
  <si>
    <t>Kelly Tarlton's Antarctica New Zealand Scholarship; Fanny Evans Postgraduate Scholarship for Women; University of Otago (PBRF funds)</t>
  </si>
  <si>
    <t>M.R.R. was supported by a Kelly Tarlton's Antarctica New Zealand Scholarship and the Fanny Evans Postgraduate Scholarship for Women. Funding for this study was also provided by the University of Otago (PBRF funds).</t>
  </si>
  <si>
    <t>COMPANY BIOLOGISTS LTD</t>
  </si>
  <si>
    <t>BIDDER BUILDING, STATION RD, HISTON, CAMBRIDGE CB24 9LF, ENGLAND</t>
  </si>
  <si>
    <t>10.1242/jeb.137190</t>
  </si>
  <si>
    <t>WOS:000379366400024</t>
  </si>
  <si>
    <t>Watts, DR; Tracey, KL; Donohue, KA; Chereskin, TK</t>
  </si>
  <si>
    <t>Watts, D. Randolph; Tracey, Karen L.; Donohue, Kathleen A.; Chereskin, Teresa K.</t>
  </si>
  <si>
    <t>Estimates of Eddy Heat Flux Crossing the Antarctic Circumpolar Current from Observations in Drake Passage</t>
  </si>
  <si>
    <t>Geographic location; entity; Southern Ocean; Circulation; Dynamics; Bottom currents; Fluxes; Mesoscale processes; Stationary waves</t>
  </si>
  <si>
    <t>MEAN FLOW; KUROSHIO EXTENSION; MOMENTUM FLUXES; POLAR FRONT; TIME-SERIES; GULF-STREAM; TRANSPORT; VARIABILITY; ARRAY</t>
  </si>
  <si>
    <t>The 4-yr measurements by current- and pressure-recording inverted echo sounders in Drake Passage produced statistically stable eddy heat flux estimates. Horizontal currents in the Antarctic Circumpolar Current (ACC) turn with depth when a depth-independent geostrophic current crosses the upper baroclinic zone. The dynamically important divergent component of eddy heat flux is calculated. Whereas full eddy heat fluxes differ greatly in magnitude and direction at neighboring locations within the local dynamics array (LDA), the divergent eddy heat fluxes are poleward almost everywhere. Case studies illustrate baroclinic instability events that cause meanders to grow rapidly. In the southern passage, where eddy variability is weak, heat fluxes are weak and not statistically significant. Vertical profiles of heat flux are surface intensified with similar to 50% above 1000 m and uniformly distributed with depth below. Summing poleward transient eddy heat transport across the LDA of -0.010 +/- 0.005 PW with the stationary meander contribution of -0.004 +/- 0.001 PW yields -0.013 +/- 0.005 PW. A comparison metric, -0.4 PW, represents the total oceanic heat loss to the atmosphere south of 60 degrees S. Summed along the circumpolar ACC path, if the LDA heat flux occurred at six hot spots spanning similar or longer path segments, this could account for 20%-70% of the metric, that is, up to -0.28 PW. The balance of ocean poleward heat transport along the remaining ACC path should come from weak eddy heat fluxes plus mean cross-front temperature transports. Alternatively, the metric -0.4 PW, having large uncertainty, may be high.</t>
  </si>
  <si>
    <t>[Watts, D. Randolph; Tracey, Karen L.; Donohue, Kathleen A.] Univ Rhode Isl, Grad Sch Oceanog, South Ferry Rd, Narragansett, RI 02882 USA; [Chereskin, Teresa K.] Univ Calif San Diego, Scripps Inst Oceanog, La Jolla, CA 92093 USA</t>
  </si>
  <si>
    <t>University of Rhode Island; University of California System; University of California San Diego; Scripps Institution of Oceanography</t>
  </si>
  <si>
    <t>Watts, DR (corresponding author), Univ Rhode Isl, Grad Sch Oceanog, South Ferry Rd, Narragansett, RI 02882 USA.</t>
  </si>
  <si>
    <t>randywatts@uri.edu</t>
  </si>
  <si>
    <t>Chereskin, Teresa/0000-0003-1214-0978; Donohue, Kathleen/0000-0001-7693-3868; Watts, D Randolph/0000-0002-6738-5916</t>
  </si>
  <si>
    <t>National Science foundation as part of the cDrake at URI [ANT06-35437, ANT11-41802]; National Science foundation as part of the cDrake at UCSD [ANT06-36493, ANT11-41922]; Office of Polar Programs (OPP); Directorate For Geosciences [1141802, 1141922] Funding Source: National Science Foundation</t>
  </si>
  <si>
    <t>National Science foundation as part of the cDrake at URI; National Science foundation as part of the cDrake at UCSD; Office of Polar Programs (OPP); Directorate For Geosciences(National Science Foundation (NSF)NSF - Directorate for Geosciences (GEO))</t>
  </si>
  <si>
    <t>We thank Gerard Chaplin and Erran Sousa at URI for their resourceful and thorough field operations with the CPIES. We thank the U.S. Antarctic Program technical team aboard the RVIB NB Palmer for their competent and willing efforts during five annual cruises. This work was supported by the National Science foundation as part of the cDrake experiment in grants at URI (ANT06-35437 and ANT11-41802) and at UCSD (ANT06-36493 and ANT11-41922).</t>
  </si>
  <si>
    <t>10.1175/JPO-D-16-0029.1</t>
  </si>
  <si>
    <t>DR1HT</t>
  </si>
  <si>
    <t>WOS:000379657300002</t>
  </si>
  <si>
    <t>Ding, Z; Li, LY; Che, Q; Li, DH; Gu, QQ; Zhu, TJ</t>
  </si>
  <si>
    <t>Ding, Zhuang; Li, Liyuan; Che, Qian; Li, Dehai; Gu, Qianqun; Zhu, Tianjiao</t>
  </si>
  <si>
    <t>Richness and bioactivity of culturable soil fungi from the Fildes Peninsula, Antarctica</t>
  </si>
  <si>
    <t>Fungal diversity; Metabolite characteristic; Cytotoxic; Antimicrobial; Antarctica</t>
  </si>
  <si>
    <t>KING GEORGE ISLAND; ENDOPHYTIC FUNGI; BIOLOGICAL-ACTIVITIES; ACID-DERIVATIVES; DIVERSITY; PENICILLIUM; ECOLOGY; COMMUNITIES; MACROALGAE; REGION</t>
  </si>
  <si>
    <t>Since the discovery of penicillin, fungi have been an important source of bioactive natural products. However, as a specific resource, the bioactive potentiality and specificity of fungal metabolites from the Antarctic region have had little attention. In this paper, we investigated the diversity patterns and biological activities of cultivable fungi isolated from soil samples in Fildes Peninsula, King George Island, Antarctica. Fungal communities showed low abundance and diversity; a total of 150 cultivable fungi were isolated from eight soil samples. After being dereplicated by morphological characteristics and chemical fingerprints, 47 fungal isolates were identified by ITS-rDNA sequencing. We confirmed that these isolates belonged to at least 11 different genera and clustered into nine groups corresponding to taxonomic orders in the phylogenetic analysis. Using two different fermentation conditions, 94 crude extracts acquired from the abovementioned different metabolite characteristic isolates were screened by bioactivity assay and 18 isolates produced biologically active compounds. Compared with HPLC-DAD-UV fingerprint analysis of culture extracts and standard compounds, two bioactive components secalonic acid and chetracins were identified. Our research suggests that the abundance and diversity of Antarctic cultivable fungal communities exhibit unique ecological characteristics and potential producers of novel natural bioactive products.</t>
  </si>
  <si>
    <t>[Ding, Zhuang; Li, Liyuan; Che, Qian; Li, Dehai; Gu, Qianqun; Zhu, Tianjiao] Ocean Univ China, Sch Med &amp; Pharm, Key Lab Marine Drugs, Chinese Minist Educ, Qingdao, Peoples R China</t>
  </si>
  <si>
    <t>Zhu, TJ (corresponding author), Ocean Univ China, Sch Med &amp; Pharm, Key Lab Marine Drugs, Chinese Minist Educ, Qingdao, Peoples R China.</t>
  </si>
  <si>
    <t>zhutj@ouc.edu.cn</t>
  </si>
  <si>
    <t>Li, Dehai/G-7656-2012</t>
  </si>
  <si>
    <t>Li, Dehai/0000-0002-7191-2002</t>
  </si>
  <si>
    <t>National Natural Science Foundation of China [41376147]; NSFC [U1406402]; Chinese Polar Environment Comprehensive Investigation and Assessment Programs [CHINARE2015-01-06-06]</t>
  </si>
  <si>
    <t>National Natural Science Foundation of China(National Natural Science Foundation of China (NSFC)); NSFC(National Natural Science Foundation of China (NSFC)); Chinese Polar Environment Comprehensive Investigation and Assessment Programs</t>
  </si>
  <si>
    <t>This work was supported by the National Natural Science Foundation of China (No. 41376147), the NSFC-Shandong Joint Fund (U1406402), and the Chinese Polar Environment Comprehensive Investigation and Assessment Programs (CHINARE2015-01-06-06).</t>
  </si>
  <si>
    <t>10.1007/s00792-016-0833-y</t>
  </si>
  <si>
    <t>DQ2JC</t>
  </si>
  <si>
    <t>WOS:000379027600006</t>
  </si>
  <si>
    <t>Zhang, T; Wei, XL; Wei, YZ; Liu, HY; Yu, LY</t>
  </si>
  <si>
    <t>Zhang, Tao; Wei, Xin-Li; Wei, Yu-Zhen; Liu, Hong-Yu; Yu, Li-Yan</t>
  </si>
  <si>
    <t>Diversity and distribution of cultured endolichenic fungi in the Ny-lesund Region, Svalbard (High Arctic)</t>
  </si>
  <si>
    <t>Fungal diversity; Endolichenic fungi; Culture-based method; Lichens; Fungal community composition</t>
  </si>
  <si>
    <t>LICHEN-ASSOCIATED BACTERIA; LICHENICOLOUS FUNGI; ENDOPHYTIC FUNGI; IN-VITRO; REVEALS; ENVIRONMENTS; EVOLUTION; SOILS; YEAST</t>
  </si>
  <si>
    <t>Endolichenic fungi within 17 lichen species in the area near Ny-lesund (Svalbard, High Arctic) were studied by a culture-based method. The 247 fungal isolates were obtained from 2712 lichen thallus segments. The colonization rate of endolichenic fungi ranged from 1.6 to 26.5 %, respectively. These isolates were identified to 40 fungal taxa, including 35 Ascomycota (10 orders), 4 Basidiomycota (3 orders), and 1 unidentified fungus. Thelebolales was the most abundant order, while Sordariales were the most diverse order. The common fungal taxa shared by more than 3 lichen species were Thelebolus microsporus (93 isolates), Coniochaeta hoffmannii (7 isolates), Sarocladium kiliense (33 isolates), Coniochaeta sp. 1 (5 isolates), Coniochaeta sp. 4 (28 isolates), and Coniochaeta sp. 2 (5 isolates). Low Sorenson's similarity coefficients were observed among different lichen species, indicating that host-related factor may shape the endolichenic fungal communities in this region. In addition, no endolichenic fungal taxa were previously found in the Antarctica and Austrian Alps, suggesting endolichenic fungal communities in this region might be also shaped by the Arctic climate. The results demonstrate the existence of specific cultured endolichenic fungal species, which may be suitable objects for further study of their possible functional roles in the lichen thalli.</t>
  </si>
  <si>
    <t>[Zhang, Tao; Wei, Yu-Zhen; Liu, Hong-Yu; Yu, Li-Yan] Chinese Acad Med Sci, Inst Med Biotechnol, China Pharmaceut Culture Collect, Beijing 100050, Peoples R China; [Zhang, Tao; Wei, Yu-Zhen; Liu, Hong-Yu; Yu, Li-Yan] Peking Union Med Coll, Beijing 100050, Peoples R China; [Wei, Xin-Li] Chinese Acad Sci, Inst Microbiol, State Key Lab Mycol, Beijing 100101, Peoples R China</t>
  </si>
  <si>
    <t>Chinese Academy of Medical Sciences - Peking Union Medical College; Institute of Medicinal Biotechnology - CAMS; Chinese Academy of Medical Sciences - Peking Union Medical College; Peking Union Medical College; Chinese Academy of Sciences; Institute of Microbiology, CAS</t>
  </si>
  <si>
    <t>Yu, LY (corresponding author), Chinese Acad Med Sci, Inst Med Biotechnol, China Pharmaceut Culture Collect, Beijing 100050, Peoples R China.;Yu, LY (corresponding author), Peking Union Med Coll, Beijing 100050, Peoples R China.</t>
  </si>
  <si>
    <t>yly@cpcc.ac.cn</t>
  </si>
  <si>
    <t>huang, libo/JMB-4345-2023; Zhang, Yu-Qin/AEH-7339-2022</t>
  </si>
  <si>
    <t>Zhang, Yu-Qin/0000-0002-1739-6705</t>
  </si>
  <si>
    <t>National Infrastructure of Microbial Resources [NIMR-2015-3]; National Natural Science Foundation of China (NSFC) [31170041, 31300115]; Polar Strategic Research Foundation of China [20120302]; Chinese Arctic and Antarctic Administration, SOA [2013YR06006, 2013YR05005, IC201514]</t>
  </si>
  <si>
    <t>National Infrastructure of Microbial Resources; National Natural Science Foundation of China (NSFC)(National Natural Science Foundation of China (NSFC)); Polar Strategic Research Foundation of China; Chinese Arctic and Antarctic Administration, SOA</t>
  </si>
  <si>
    <t>This research was supported by the National Infrastructure of Microbial Resources (No. NIMR-2015-3), the National Natural Science Foundation of China (NSFC) (Nos. 31170041 and 31300115), the Polar Strategic Research Foundation of China (No. 20120302), Projects of the Chinese Arctic and Antarctic Administration, SOA (Nos. 2013YR06006, 2013YR05005, and IC201514). Liyan Yu is supported by Xiehe Scholar.</t>
  </si>
  <si>
    <t>10.1007/s00792-016-0836-8</t>
  </si>
  <si>
    <t>WOS:000379027600009</t>
  </si>
  <si>
    <t>Bart, PJ; Mullally, D; Golledge, NR</t>
  </si>
  <si>
    <t>Bart, Philip J.; Mullally, Dan; Golledge, Nicholas R.</t>
  </si>
  <si>
    <t>The influence of continental shelf bathymetry on Antarctic Ice Sheet response to climate forcing</t>
  </si>
  <si>
    <t>Parallel Ice Sheet Model; Antarctic Ice Sheet; Shelf bathymetry; Overdeepened</t>
  </si>
  <si>
    <t>FUTURE SEA-LEVEL; ROSS SEA; GROUNDING LINES; MIDDLE MIOCENE; EARLY PLIOCENE; MASS-BALANCE; DYNAMICS; RETREAT; MODEL; OSCILLATIONS</t>
  </si>
  <si>
    <t>We investigated whether shelf-depth changes would have influenced Antarctic Ice Sheet (AIS) response to climate forcing using the Parallel Ice Sheet Model (PISM). The simulations confirm that this would have indeed been the case. For the last-glacial-cycle (LGC) type forcing we prescribed, a modern-like polar AIS surrounded by shallow and intermediate bathymetries experiences rapid grounding-line advance early during the transition from interglacial to glacial forcing. This is in contrast to our baseline simulation of AIS response on the currently overdeepened bathymetry, which showed the expected gradual advance of grounding lines to the same climatic forcing. In the simulation, the more-positive mass balance for the shallower bathymetry is primarily a result of significantly lower calving fluxes from smaller-area ice shelves. On the basis of these results, we suggest that shelf bathymetry is an important boundary condition that should be considered when reconstructing AIS behavior since at least the middle Miocene. We note that caution should be used when applying these concepts because the particular way in which MS mass balance is altered by shelf depth depends on how the changes in accumulation and ablation at the marine terminations combine with accumulation and ablation on land. (C) 2016 Elsevier B.V. All rights reserved.</t>
  </si>
  <si>
    <t>[Bart, Philip J.; Mullally, Dan] Louisiana State Univ, Dept Geol &amp; Geophys, Howe Russell Kniffen Geosci Complex,E235, Baton Rouge, LA 70803 USA; [Golledge, Nicholas R.] Univ Wellington, Antarctic Res Ctr, GNS Sci, Lower Hutt, New Zealand; [Golledge, Nicholas R.] Victoria Univ Wellington, POB 600, Wellington, New Zealand; [Golledge, Nicholas R.] Avalon, GNS Sci, Lower Hutt, New Zealand</t>
  </si>
  <si>
    <t>Louisiana State University System; Louisiana State University; GNS Science - New Zealand; Victoria University Wellington; GNS Science - New Zealand</t>
  </si>
  <si>
    <t>Bart, PJ (corresponding author), Louisiana State Univ, Dept Geol &amp; Geophys, Howe Russell Kniffen Geosci Complex,E235, Baton Rouge, LA 70803 USA.</t>
  </si>
  <si>
    <t>Golledge, Nicholas/0000-0001-7676-8970</t>
  </si>
  <si>
    <t>NSF Office of Polar Programs [1246357]; Directorate For Geosciences; Office of Polar Programs (OPP) [1246357] Funding Source: National Science Foundation</t>
  </si>
  <si>
    <t>NSF Office of Polar Programs(National Science Foundation (NSF)); Directorate For Geosciences; Office of Polar Programs (OPP)(National Science Foundation (NSF)NSF - Directorate for Geosciences (GEO))</t>
  </si>
  <si>
    <t>Support for this project was provided by a NSF Office of Polar Programs (1246357) grant to PJ Bart. We thank the staff at the Louisiana State University High Performance Computing Center for access to the supercomputers facility to run our PISM simulations. We thank the PISM support team at the University of Alaska at Fairbanks. We also thank two anonymous reviewers for their comments and suggestions that caused us to refine some of the conclusions made in the original version of the manuscript.</t>
  </si>
  <si>
    <t>10.1016/j.gloplacha.2016.04.009</t>
  </si>
  <si>
    <t>DQ3IU</t>
  </si>
  <si>
    <t>WOS:000379096800007</t>
  </si>
  <si>
    <t>Ivy, DJ; Solomon, S; Rieder, HE</t>
  </si>
  <si>
    <t>Ivy, Diane J.; Solomon, Susan; Rieder, Harald E.</t>
  </si>
  <si>
    <t>Radiative and Dynamical Influences on Polar Stratospheric Temperature Trends</t>
  </si>
  <si>
    <t>SEA-SURFACE TEMPERATURE; OZONE DATABASE; CLIMATE-CHANGE; IMPACT; TROPOSPHERE; CIRCULATION; ATMOSPHERE</t>
  </si>
  <si>
    <t>Radiative and dynamical heating rates control stratospheric temperatures. In this study, radiative temperature trends due to ozone depletion and increasing well-mixed greenhouse gases from 1980 to 2000 in the polar stratosphere are directly evaluated, and the dynamical contributions to temperature trends are estimated as the residual between the observed and radiative trends. The radiative trends are obtained from a seasonally evolving fixed dynamical heating calculation with the Parallel Offline Radiative Transfer model using four different ozone datasets, which provide estimates of observed ozone changes. In the spring and summer seasons, ozone depletion leads to radiative cooling in the lower stratosphere in the Arctic and Antarctic. In Arctic summer there is weak wave driving, and the radiative cooling due to ozone depletion is the dominant driver of observed trends. In late winter and early spring, dynamics dominate the changes in Arctic temperatures. In austral spring and summer in the Antarctic, strong dynamical warming throughout the mid-to lower stratosphere acts to weaken the strong radiative cooling associated with the Antarctic ozone hole and is indicative of a strengthening of the Brewer-Dobson circulation. This dynamical warming is a significant term in the thermal budget overmuch of the Antarctic summer stratosphere, including in regions where strong radiative cooling due to ozone depletion can still lead to net cooling despite dynamical terms. Quantifying the contributions of changes in radiation and dynamics to stratospheric temperature trends is important for understanding how anthropogenic forcings have affected the historical trends and necessary for projecting the future.</t>
  </si>
  <si>
    <t>[Ivy, Diane J.; Solomon, Susan] MIT, Dept Earth Atmospher &amp; Planetary Sci, Cambridge, MA 02139 USA; [Rieder, Harald E.] Graz Univ, Wegener Ctr Climate &amp; Global Change, Graz, Austria; [Rieder, Harald E.] Graz Univ, Dept Phys, Inst Geophys Astrophys &amp; Meteorol, Graz, Austria; [Rieder, Harald E.] Austrian Polar Res Inst, Vienna, Austria</t>
  </si>
  <si>
    <t>Massachusetts Institute of Technology (MIT); University of Graz; University of Graz</t>
  </si>
  <si>
    <t>Ivy, DJ (corresponding author), MIT, 77 Massachusetts Ave 54-1710, Cambridge, MA 02139 USA.</t>
  </si>
  <si>
    <t>divy@mit.edu</t>
  </si>
  <si>
    <t>Rieder, Harald/Y-8951-2019</t>
  </si>
  <si>
    <t>Rieder, Harald/0000-0003-2705-0801</t>
  </si>
  <si>
    <t>NSF [1419667]; Directorate For Geosciences; Div Atmospheric &amp; Geospace Sciences [1419667] Funding Source: National Science Foundation</t>
  </si>
  <si>
    <t>NSF(National Science Foundation (NSF)); Directorate For Geosciences; Div Atmospheric &amp; Geospace Sciences(National Science Foundation (NSF)NSF - Directorate for Geosciences (GEO))</t>
  </si>
  <si>
    <t>The authors thank Andrew Conley for his help with PORT. We also thank three anonymous reviewers for their helpful comments and suggestions, which improved this manuscript. This research was supported by NSF Grant 1419667 to MIT.</t>
  </si>
  <si>
    <t>10.1175/JCLI-D-15-0503.1</t>
  </si>
  <si>
    <t>DQ4YO</t>
  </si>
  <si>
    <t>WOS:000379210900002</t>
  </si>
  <si>
    <t>Sátori, G; Williams, E; Price, C; Boldi, R; Koloskov, A; Yampolski, Y; Guha, A; Barta, V</t>
  </si>
  <si>
    <t>Satori, Gabriella; Williams, Earle; Price, Colin; Boldi, Robert; Koloskov, Alexander; Yampolski, Yuri; Guha, Anirban; Barta, Veronika</t>
  </si>
  <si>
    <t>Effects of Energetic Solar Emissions on the Earth-Ionosphere Cavity of Schumann Resonances</t>
  </si>
  <si>
    <t>SURVEYS IN GEOPHYSICS</t>
  </si>
  <si>
    <t>Schumann resonances; Solar X-ray; Solar proton; Earth-ionosphere cavity; Characteristic ionospheric heights</t>
  </si>
  <si>
    <t>PROPAGATION PARAMETERS; PROTON EVENTS; D-REGION; FREQUENCY; FLARE; HEIGHT</t>
  </si>
  <si>
    <t>Schumann resonances (SR) are the electromagnetic oscillations of the spherical cavity bounded by the electrically conductive Earth and the conductive but dissipative lower ionosphere (Schumann in Z Naturforsch A 7:6627-6628, 1952). Energetic emissions from the Sun can exert a varied influence on the various parameters of the Earth's SR: modal frequencies, amplitudes and dissipation parameters. The SR response at multiple receiving stations is considered for two extraordinary solar events from Solar Cycle 23: the Bastille Day event (July 14, 2000) and the Halloween event (October/November 2003). Distinct differences are noted in the ionospheric depths of penetration for X-radiation and solar protons with correspondingly distinct signs of the frequency response. The preferential impact of the protons in the magnetically unshielded polar regions leads to a marked anisotropic frequency response in the two magnetic field components. The general immunity of SR amplitudes to these extreme external perturbations serves to remind us that the amplitude parameter is largely controlled by lightning activity within the Earth-ionosphere cavity.</t>
  </si>
  <si>
    <t>[Satori, Gabriella; Barta, Veronika] Hungarian Acad Sci, Res Ctr Astron &amp; Earth Sci, Geodet &amp; Geophys Inst, Csatkai U 6-8, Sopron, Hungary; [Williams, Earle] MIT, Parsons Lab, 77 Massachusetts Ave, Cambridge, MA 02139 USA; [Price, Colin] Tel Aviv Univ, Tel Aviv, Israel; [Boldi, Robert] Zayed Univ, Abu Dhabi, U Arab Emirates; [Koloskov, Alexander; Yampolski, Yuri] Natl Acad Sci Ukraine, Inst Radio Astron, 4 Chernovopraporna St, UA-61002 Kharkov, Ukraine; [Guha, Anirban] Tripura Univ, Suryamaninagar, India</t>
  </si>
  <si>
    <t>Hungarian Research Network; Hungarian Academy of Sciences; HUN-REN Research Centre for Astronomy &amp; Earth Sciences; HUN-REN Institute of Earth Physics &amp; Space Science; Massachusetts Institute of Technology (MIT); Tel Aviv University; Zayed University; National Academy of Sciences Ukraine; Institute of Radio Astronomy of the National Academy of Sciences of Ukraine; Tripura University</t>
  </si>
  <si>
    <t>Sátori, G (corresponding author), Hungarian Acad Sci, Res Ctr Astron &amp; Earth Sci, Geodet &amp; Geophys Inst, Csatkai U 6-8, Sopron, Hungary.</t>
  </si>
  <si>
    <t>gsatori@ggki.hu</t>
  </si>
  <si>
    <t>Barta, Veronika/AGG-7164-2022; Yampolski, Yuri/AAU-3037-2021; Guha, Anirban/AAH-8004-2021; Price, Colin/K-5117-2017; yampolskiy, yuriy m/ABA-8387-2020; Koloskov, Oleksandr/ABB-4631-2020</t>
  </si>
  <si>
    <t>Barta, Veronika/0000-0001-9135-5533; Guha, Anirban/0000-0002-1952-7916; Koloskov, Oleksandr/0000-0001-8921-3851; Yampolski, Yuri/0000-0002-6142-5753</t>
  </si>
  <si>
    <t>Hungarian Academy of Sciences; National Research, Development and Innovation Office, Hungary-NKFIH [K115836]</t>
  </si>
  <si>
    <t>Hungarian Academy of Sciences(Hungarian Academy of Sciences); National Research, Development and Innovation Office, Hungary-NKFIH</t>
  </si>
  <si>
    <t>Discussions with Dan Baker, Anatoly Belov, Bern Blake, Steve Cummer, Barbara Emery, Martin Fullekrug, Istvan Lemperger, Adriena Ondraskova, Steve Park, Craig Rodger, Valentin Roldugin, Harlan Spence and Rob Steenburgh are greatly appreciated. Alexander Melnikov provided major assistance with the organization of the Parkfield and Mitzpe Ramon data in early stages. The authors are thankful to the National Antarctic Scientific Center of Ukraine, Ministry of Education and Science of Ukraine for providing the ELF data recorded at the Ukrainian Antarctic Station Academic Vernadsky''. The contribution of Earle Williams to this study was funded by the Hungarian Academy of Sciences as part of a Visiting Fellowship to the Research Centre for Astronomy and Earth Sciences, Geodetic and Geophysical Institute in Sopron. The contribution of Gabriella Satori was supported by the National Research, Development and Innovation Office, Hungary-NKFIH, K115836.</t>
  </si>
  <si>
    <t>0169-3298</t>
  </si>
  <si>
    <t>1573-0956</t>
  </si>
  <si>
    <t>SURV GEOPHYS</t>
  </si>
  <si>
    <t>Surv. Geophys.</t>
  </si>
  <si>
    <t>10.1007/s10712-016-9369-z</t>
  </si>
  <si>
    <t>DQ2EZ</t>
  </si>
  <si>
    <t>WOS:000379016200002</t>
  </si>
  <si>
    <t>Yusof, NA; Hashim, NHF; Beddoe, T; Mahadi, NM; Illias, RM; Abu Bakar, FD; Murad, AMA</t>
  </si>
  <si>
    <t>Yusof, Nur Athirah; Hashim, Noor Haza Fazlin; Beddoe, Travis; Mahadi, Nor Muhammad; Illias, Rosli Md; Abu Bakar, Farah Diba; Murad, Abdul Munir Abdul</t>
  </si>
  <si>
    <t>Thermotolerance and molecular chaperone function of an SGT1-like protein from the psychrophilic yeast, Glaciozyma antarctica</t>
  </si>
  <si>
    <t>CELL STRESS &amp; CHAPERONES</t>
  </si>
  <si>
    <t>Molecular chaperone; SGT1; HSP90; Cloning; Expression; Luciferase</t>
  </si>
  <si>
    <t>SMALL HEAT-SHOCK; ESSENTIAL COMPONENT; SWISS-MODEL; SGT1; DOMAIN; EVOLUTION; FAMILIES; PATHWAY; PI12</t>
  </si>
  <si>
    <t>The ability of eukaryotes to adapt to an extreme range of temperatures is critically important for survival. Although adaptation to extreme high temperatures is well understood, reflecting the action of molecular chaperones, it is unclear whether these molecules play a role in survival at extremely low temperatures. The recent genome sequencing of the yeast Glaciozyma antarctica, isolated from Antarctic sea ice near Casey Station, provides an opportunity to investigate the role of molecular chaperones in adaptation to cold temperatures. We isolated a G. antarctica homologue of small heat shock protein 20 (HSP20), GaSGT1, and observed that the GaSGT1 mRNA expression in G. antarctica was markedly increased following culture exposure at low temperatures. Additionally, we demonstrated that GaSGT1 overexpression in Escherichia coli protected these bacteria from exposure to both high and low temperatures, which are lethal for growth. The recombinant GaSGT1 retained up to 60 % of its native luciferase activity after exposure to luciferase-denaturing temperatures. These results suggest that GaSGT1 promotes cell thermotolerance and employs molecular chaperone-like activity toward temperature assaults.</t>
  </si>
  <si>
    <t>[Yusof, Nur Athirah; Hashim, Noor Haza Fazlin; Abu Bakar, Farah Diba; Murad, Abdul Munir Abdul] Univ Kebangsaan Malaysia, Fac Sci &amp; Technol, Sch Biosci &amp; Biotechnol, Bangi 43600, Selangor, Malaysia; [Beddoe, Travis] La Trobe Univ, Dept Anim Plant &amp; Soil Sci, Melbourne, Vic 3086, Australia; [Beddoe, Travis] La Trobe Univ, Ctr AgriBiosci AgriBio, Melbourne, Vic 3086, Australia; [Mahadi, Nor Muhammad] Malaysia Genome Inst, Jalan Bangi, Bangi 43600, Selangor, Malaysia; [Illias, Rosli Md] Univ Teknol Malaysia, Fac Chem &amp; Nat Resources Engn, Dept Biosci Engn, Skudai 81310, Johor, Malaysia</t>
  </si>
  <si>
    <t>Universiti Kebangsaan Malaysia; La Trobe University; Melbourne Genomics Health Alliance; Melbourne Genomics Health Alliance; La Trobe University; Universiti Kebangsaan Malaysia; Universiti Teknologi Malaysia</t>
  </si>
  <si>
    <t>Murad, AMA (corresponding author), Univ Kebangsaan Malaysia, Fac Sci &amp; Technol, Sch Biosci &amp; Biotechnol, Bangi 43600, Selangor, Malaysia.</t>
  </si>
  <si>
    <t>munir@ukm.edu.my</t>
  </si>
  <si>
    <t>Yusof, Nur Athirah/ABD-6881-2021; Beddoe, Travis/F-3415-2014; Murad, Abdul/CAG-9324-2022; Abdul Murad, Abdul Munir/L-8575-2017</t>
  </si>
  <si>
    <t>Yusof, Nur Athirah/0000-0002-9298-7425; Beddoe, Travis/0000-0003-4550-2277; Abdul Murad, Abdul Munir/0000-0001-6402-7198; Hashim, Noor Haza Fazlin/0000-0002-6385-6469</t>
  </si>
  <si>
    <t>Ministry of Science, Technology and Innovation, Malaysia (MOSTI) [10-05-16-MB002, 07-05-MGI-GMB014]</t>
  </si>
  <si>
    <t>Ministry of Science, Technology and Innovation, Malaysia (MOSTI)(Ministry of Energy, Science, Technology, Environment and Climate Change (MESTECC), Malaysia)</t>
  </si>
  <si>
    <t>The authors would like to thank the Ministry of Science, Technology and Innovation, Malaysia (MOSTI), for funding this project under grant numbers 10-05-16-MB002 and 07-05-MGI-GMB014. The authors would also like to thank Prof. Jamie Rossjohn for the use of his lab at Monash University, Australia. Special thanks to Prof. Ewa Laskowska from the Department of Biochemistry, University of Gdansk, Poland, for generously supplying MC4100 wild-type strain and mutated Delta IbpA/B MC4100 for the thermotolerance analyses.</t>
  </si>
  <si>
    <t>1355-8145</t>
  </si>
  <si>
    <t>1466-1268</t>
  </si>
  <si>
    <t>CELL STRESS CHAPERON</t>
  </si>
  <si>
    <t>Cell Stress Chaperones</t>
  </si>
  <si>
    <t>10.1007/s12192-016-0696-2</t>
  </si>
  <si>
    <t>Cell Biology</t>
  </si>
  <si>
    <t>DP6AR</t>
  </si>
  <si>
    <t>WOS:000378579800016</t>
  </si>
  <si>
    <t>Tan, B; Wang, XL; Wang, L; Peng, L; Li, ZJ</t>
  </si>
  <si>
    <t>Tan, Bing; Wang, Xiaoli; Wang, Lei; Peng, Lu; Li, Zhijun</t>
  </si>
  <si>
    <t>Statistical optimization with nonlinear constraints and parameter identification for the cutoff height of pressure ridges</t>
  </si>
  <si>
    <t>COMPUTATIONAL &amp; APPLIED MATHEMATICS</t>
  </si>
  <si>
    <t>Statistical optimization; Parameter identification; Cutoff height; Pressure ridge</t>
  </si>
  <si>
    <t>To determinate the cutoff height of pressure ridges on the sea ice surface, a statistical optimal model with nonlinear constraints is established. The performance criterion consists of two parts: the deviation between the numerical results and the measured data of the ridge height; the deviation between the numerical results and the measured data of the ridge spacing. The cutoff height is taken as the identified parameter. Then, properties of the statistical optimal model and the existence of the optimal parameter are discussed, and the optimal cutoff height is identified via an optimal algorithm. Finally, the obtained optimal cutoff height is applied to separate pressure ridges from other sea ice surface undulations in northwestern Weddell Sea of Antarctic, and the correlation between the ridge height and frequency is demonstrated. Numerical results show that our model and method are both effective than the previous works.</t>
  </si>
  <si>
    <t>[Tan, Bing; Wang, Xiaoli] Nanyang Normal Univ, Sch Math &amp; Stat, Nanyang, Peoples R China; [Wang, Lei] Dalian Univ Technol, Sch Math Sci, Dalian, Peoples R China; [Wang, Lei] Curtin Univ, Dept Math &amp; Stat, Perth, WA, Australia; [Peng, Lu; Li, Zhijun] Dalian Univ Technol, State Key Lab Coastal &amp; Offshore Engn, Dalian, Peoples R China</t>
  </si>
  <si>
    <t>Nanyang Normal College; Dalian University of Technology; Curtin University; Dalian University of Technology</t>
  </si>
  <si>
    <t>Wang, L (corresponding author), Dalian Univ Technol, Sch Math Sci, Dalian, Peoples R China.</t>
  </si>
  <si>
    <t>Lei.Wang@curtin.edu.au</t>
  </si>
  <si>
    <t>Li, Zhijun/A-5299-2019; Wang, lei/E-9879-2011</t>
  </si>
  <si>
    <t>Li, Zhijun/0000-0002-2897-0450; Wang, lei/0000-0001-8573-1213</t>
  </si>
  <si>
    <t>National Nature Science Foundation of China [41276191, 41306207, 41376186, 61401242]; open foundation of State Key Laboratory of Coastal and Offshore Engineering, Dalian University of Technology, China [LP1404]; special foundation of Nanyang Normal university, China [ZX2013015, ZX2014080]; National Natural Science Foundation of China [11426140]</t>
  </si>
  <si>
    <t>National Nature Science Foundation of China(National Natural Science Foundation of China (NSFC)); open foundation of State Key Laboratory of Coastal and Offshore Engineering, Dalian University of Technology, China; special foundation of Nanyang Normal university, China; National Natural Science Foundation of China(National Natural Science Foundation of China (NSFC))</t>
  </si>
  <si>
    <t>Christian Haas at York University and Marcel Nicolaus at the Alfred Wegener Institute for Polar and Marine Research (AWI) are both thanked for preparing data. The Chinese Arctic and Antarctic Administration is also thanked for supporting the participation of Zhijun Li in the expedition organized by AWI. This work was supported by the National Nature Science Foundation of China (Grant Nos. 41276191, 41306207, 41376186 and 61401242), open foundation of State Key Laboratory of Coastal and Offshore Engineering, Dalian University of Technology, China (Grant No. LP1404), and the special foundation of Nanyang Normal university, China (Grant Nos. ZX2013015 and ZX2014080). The TianYuan Special Funds of the National Natural Science Foundation of China (Grant No. 11426140).</t>
  </si>
  <si>
    <t>2238-3603</t>
  </si>
  <si>
    <t>1807-0302</t>
  </si>
  <si>
    <t>COMPUT APPL MATH</t>
  </si>
  <si>
    <t>Comput. Appl. Math.</t>
  </si>
  <si>
    <t>10.1007/s40314-014-0208-x</t>
  </si>
  <si>
    <t>Mathematics, Applied</t>
  </si>
  <si>
    <t>Mathematics</t>
  </si>
  <si>
    <t>DQ0YZ</t>
  </si>
  <si>
    <t>WOS:000378929000016</t>
  </si>
  <si>
    <t>Hand, E</t>
  </si>
  <si>
    <t>Hand, Eric</t>
  </si>
  <si>
    <t>ATMOSPHERIC SCIENCE CFC bans pay off as Antarctic ozone layer starts to mend</t>
  </si>
  <si>
    <t>10.1126/science.353.6294.16</t>
  </si>
  <si>
    <t>DP9KX</t>
  </si>
  <si>
    <t>WOS:000378816200016</t>
  </si>
  <si>
    <t>Qian, WH; Wu, KJ; Liang, HY</t>
  </si>
  <si>
    <t>Qian, Weihong; Wu, Kaijun; Liang, Haoyuan</t>
  </si>
  <si>
    <t>Arctic and Antarctic cells in the troposphere</t>
  </si>
  <si>
    <t>HADLEY CIRCULATION; GENERAL-CIRCULATION; POLEWARD EXPANSION; REANALYSIS; MONSOON</t>
  </si>
  <si>
    <t>The three-cell model, including the Hadley, Ferrel, and Polar cells in each of two hemispheres, has been accepted for a long time and the strongest Hadley cell has been used to study the climate change in recent years. However, two questions, why the upper level flow of Ferrel cell does not match observations and how many cells exist in the two polar regions, still exist. Using three different reanalysis datasets for the last 30 years, this paper showed that there might be an additional cell in each of two polar regions. The analyses of meridional-vertical section streamline (MSS), meridional-mass stream function (MSF), and climatic vertical velocity provide some evidences to support the existence of the new Arctic and Antarctic cells located in the troposphere. Thus, an eight-cell model in the global troposphere is proposed in this study. The maximum intensity of the Hadley cell in the boreal winter indicated by MSF in the Northern Hemisphere (NH) is stronger than that of the Ferrel cell for about 4.8 times, so the upper level northeasterly wind of Ferrel cell is too weak to be detected when compared with the stronger southwesterly wind of the Hadley cell.</t>
  </si>
  <si>
    <t>[Qian, Weihong; Wu, Kaijun; Liang, Haoyuan] Peking Univ, Sch Phys, Dept Atmospher &amp; Ocean Sci, Beijing 100871, Peoples R China; [Liang, Haoyuan] Guangxi Teachers Educ Univ, Sch Geog &amp; Planning, Nanning 530001, Peoples R China</t>
  </si>
  <si>
    <t>Peking University; Nanning Normal University</t>
  </si>
  <si>
    <t>Qian, WH (corresponding author), Peking Univ, Sch Phys, Dept Atmospher &amp; Ocean Sci, Beijing 100871, Peoples R China.</t>
  </si>
  <si>
    <t>qianwh@pku.edu.cn</t>
  </si>
  <si>
    <t>liang, haoyuan/GRY-3586-2022; Wu, Kaijun/AAE-9208-2020</t>
  </si>
  <si>
    <t>Wu, Kaijun/0000-0002-2227-3582</t>
  </si>
  <si>
    <t>National Natural Science Foundation of China [41375073]; Strategic Priority Research Program of the Chinese Academy of Sciences [XDA05090407]; Key Technologies RD Program [201306032]</t>
  </si>
  <si>
    <t>National Natural Science Foundation of China(National Natural Science Foundation of China (NSFC)); Strategic Priority Research Program of the Chinese Academy of Sciences(Chinese Academy of Sciences); Key Technologies RD Program(National Key Technology R&amp;D Program)</t>
  </si>
  <si>
    <t>The authors wish to thank the editor and anonymous reviewers for their valuable comments and suggestions, which significantly improved the paper. This work is supported by the National Natural Science Foundation of China (41375073) and the Strategic Priority Research Program of the Chinese Academy of Sciences (XDA05090407) and the Key Technologies R&amp;D Program (201306032). Dr. J. Du of EMC/NCEP is appreciated for his help to improve the readability of the manuscript. Three Reanalysis datasets are derived respectively from the websites of http://www.esrl.noaa.gov/psd/data/gridded/data.ncep.reanalysis.html and http://www.ecmwf.int/research/era/do/get/index.</t>
  </si>
  <si>
    <t>10.1007/s00704-015-1485-z</t>
  </si>
  <si>
    <t>DQ0JG</t>
  </si>
  <si>
    <t>WOS:000378884600001</t>
  </si>
  <si>
    <t>Schiffer, PH; Herbig, HG</t>
  </si>
  <si>
    <t>Schiffer, Philipp H.; Herbig, Hans-Georg</t>
  </si>
  <si>
    <t>Endorsing Darwin: global biogeography of the epipelagic goose barnacles Lepasspp. (Cirripedia, Lepadomorpha) proves cryptic speciation</t>
  </si>
  <si>
    <t>ZOOLOGICAL JOURNAL OF THE LINNEAN SOCIETY</t>
  </si>
  <si>
    <t>Darwin; global species; molecular phylogeny; oceanic compartmentation; rafting; speciation; vicariance effects</t>
  </si>
  <si>
    <t>SEA-SURFACE TEMPERATURE; GENETIC DIVERSITY; WEST PACIFIC; PHYLOGEOGRAPHY; OCEAN; COSMOPOLITAN; DISPERSAL; EVOLUTION; DNA; POPULATIONS</t>
  </si>
  <si>
    <t>It was Darwin that noted the large intraspecific diversity of the goose barnacle Lepas Linnaeus, 1758 and thought about distinct regional varieties. Today, biogeographic compartmentation is known from marine species, but data from globally occurring species remain scarce. We analysed inter- and intraspecific divergence within the epipelagic rafter Lepas from tropical and temperate oceans by means of two mitochondrial and one nuclear DNA marker. Besides phylogenetic relations, we resolved biogeography and controlling factors. Inhabiting the Southern Hemisphere, Lepas australis Darwin, 1851 shows separate populations from coastal Chile and from circum-Antarctic waters, most probably related to temperature differences in the current systems. The cosmopolitan Lepas anatifera Linnaeus, 1758 displays four regional subgroups (coastal Chile, Northeast Pacific/Oregon, the Southern Hemisphere Indopacific, and the Atlantic), and a global group, which might be an ancestral stem group. The differentiation reflects vicariance effects rooted in geological history: the closure of the Neogene Tethys in the Middle East and at the Panama Isthmus, the installation of the cool Benguela Current, differing Pleistocene currents and temperatures, and modern current systems. The extreme ecological generalists Lepas anserifera Linnaeus, 1767 and Lepas pectinata Spengler, 1793 are not differentiated, and might represent true global species. In conclusion, compartmentation of the oceans acts at the species level according to ecospace limits. For Lepas, the multitude of barriers favours allopatric speciation.</t>
  </si>
  <si>
    <t>[Schiffer, Philipp H.] Univ Cologne, Inst Genet, Zulpicher Str 47, D-50674 Cologne, Germany; [Schiffer, Philipp H.] EMBL, Meyerhofstr 1, D-69117 Heidelberg, Germany; [Herbig, Hans-Georg] Univ Cologne, Inst Geol &amp; Mineral, Zulpicher Str 49a, D-50674 Cologne, Germany</t>
  </si>
  <si>
    <t>University of Cologne; European Molecular Biology Laboratory (EMBL); University of Cologne</t>
  </si>
  <si>
    <t>Schiffer, PH (corresponding author), Univ Cologne, Inst Genet, Zulpicher Str 47, D-50674 Cologne, Germany.;Schiffer, PH (corresponding author), EMBL, Meyerhofstr 1, D-69117 Heidelberg, Germany.</t>
  </si>
  <si>
    <t>philipp.schiffer@gmail.com</t>
  </si>
  <si>
    <t>Schiffer, Philipp H/ABA-4722-2022</t>
  </si>
  <si>
    <t>Schiffer, Philipp H/0000-0001-6776-0934; Herbig, Hans-Georg/0000-0002-8878-8378</t>
  </si>
  <si>
    <t>Volkswagen Stiftung; Universitat zu Koln</t>
  </si>
  <si>
    <t>Volkswagen Stiftung(Volkswagen); Universitat zu Koln</t>
  </si>
  <si>
    <t>The initial results on the phylogeography of Lepas were obtained during work on the unpublished diploma thesis of P.S. (2009), but the results presented herein were achieved in the course of other projects by low-cost research, unfunded by research foundations. The authors acknowledge continued financial and laboratory support, however, from the Volkswagen Stiftung (P.S.) and Universitat zu Koln (P.S., H.G.H.). We are especially thankful to Martin Thiel (Coquimbo, Chile) for providing specimens and valuable comments on earlier versions of the article. We particularly want to thank Wim Damen and Einhard Schierenberg, who provided lab space and consumables, and Michael Kroiher for technical advice. We thank A. Kraemer-Eis for help with PCRs and sequencing, and also for help with drawings. We are grateful to all colleagues who provided samples: P. Wirtz, Madeira; A. Biccard and C. Griffith, Cape Town; A. Hosie, Wellington and Perth (at the Western Australian Museum and acquired with help of M. Turkay, Frankfurt); E. Schwindt, Puerto Madryn; J.M. Guerra Garcia, Sevilla; and others. Last but not least, we would like to thank the two reviewers for their valuable comments, which helped to improve our article.</t>
  </si>
  <si>
    <t>0024-4082</t>
  </si>
  <si>
    <t>1096-3642</t>
  </si>
  <si>
    <t>ZOOL J LINN SOC-LOND</t>
  </si>
  <si>
    <t>Zool. J. Linn. Soc.</t>
  </si>
  <si>
    <t>10.1111/zoj.12373</t>
  </si>
  <si>
    <t>DP8CH</t>
  </si>
  <si>
    <t>WOS:000378725000002</t>
  </si>
  <si>
    <t>Husmann, G; Philipp, EER; Abele, D</t>
  </si>
  <si>
    <t>Husmann, G.; Philipp, E. E. R.; Abele, D.</t>
  </si>
  <si>
    <t>Seasonal proliferation rates and the capacity to express genes involved in cell cycling and maintenance in response to seasonal and experimental food shortage in Laternula elliptica from King George Island</t>
  </si>
  <si>
    <t>King George Island; Starvation; Cell cycling; Iron; Age; Season</t>
  </si>
  <si>
    <t>ANTARCTIC BIVALVE; IMMUNE-RESPONSE; POTTER COVE; CLAM; BRODERIP; GROWTH; DISTURBANCE; METABOLISM; ENERGETICS; POINT</t>
  </si>
  <si>
    <t>Melting of coastal glaciers at the West Antarctic Peninsula (WAP) causes shorter winter sea ice duration, intensified ice scouring, sediment erosion and surface freshening in summer, which alters coastal productivity and feeding conditions for the benthos. The soft shell clam Laternula elliptica is a fast growing and abundant filter feeder in coastal Antarctica and a key element for bentho-pelagic carbon recycling. Our aim was to assess the cellular growth and maintenance capacity of small and large clams during natural winter food shortage (seasonal sampling) and in response to experimental starvation exposure. We measured tissue specific proliferation rates, the expression of cell cycling genes, and the iron binding protein Le-ferritin in freshly collected specimens in spring (Nov 2008) and at the end of summer (March 2009). For the experimental approach, we focused on 14 cell cycling and metabolic genes using the same animal size groups. Mantle tissue of young bivalves was the only tissue showing accelerated proliferation in summer (1.7% of cells dividing per day in March) compared to 0.4% dividing cells in animals collected in November. In mantle, siphon and adductor muscle proliferation rates were higher in younger compared to older individuals. At transcript level, Le-cyclin D was upregulated in digestive gland of older animals collected in spring (Nov) compared to March indicating initiation of cell proliferation. Likewise, during experimental starvation Le-cyclin D expression increased in large clam digestive gland, whereas Le-cyclin D and the autophagic factor beclin1 decreased in digestive gland of smaller starved clams. The paper corroborates earlier findings of size and age dependent differences in the metabolic response and gene expression patterns in L. elliptica under energetic deprivation. Age structure of shallow water populations can potentially change due to differences in cellular response between young and old animals as environmental stress levels increase. (C) 2016 Elsevier Ltd. All rights reserved.</t>
  </si>
  <si>
    <t>[Husmann, G.; Philipp, E. E. R.] Univ Kiel, Inst Clin Mol Biol, Kiel, Germany; [Abele, D.] Alfred Wegener Inst, Helmholtz Ctr Polar &amp; Marine Res, Bremerhaven, Germany</t>
  </si>
  <si>
    <t>University of Kiel; Helmholtz Association; Alfred Wegener Institute, Helmholtz Centre for Polar &amp; Marine Research</t>
  </si>
  <si>
    <t>Abele, D (corresponding author), AWI, Handelshafen 12, D-27570 Bremerhaven, Germany.</t>
  </si>
  <si>
    <t>Doris.abele@awi.de</t>
  </si>
  <si>
    <t>Abele, Doris/0000-0002-5766-5017</t>
  </si>
  <si>
    <t>DFG [PH141-5-1]; Cluster of Excellence The Future Ocean; EU project IMCONet (FP7 IRSES) [319718]</t>
  </si>
  <si>
    <t>DFG(German Research Foundation (DFG)); Cluster of Excellence The Future Ocean; EU project IMCONet (FP7 IRSES)</t>
  </si>
  <si>
    <t>Thanks to M. Schwanitz, C. Daniels, and the Argentinean Diving and logistic groups of Carlini Station for sampling and logistic support during field work. Robert Haesler and Dorina Oelsner helped with the real time analysis at the ICMB. We are also grateful to Sven Neulinger from the ICMB and Mark Lenz from the GEOMAR Helmholtz Centre for Ocean Research Kiel, for valuable advice and assistance with the statistical analysis. Gunnar Husmann is especially grateful to Professor Philip Rosenstiel at ICMB Kiel for supporting the second period of his PhD thesis research. The study was funded by the DFG PH141-5-1 (E.P. and G.H.) and the Cluster of Excellence The Future Ocean. The present manuscript is a contribution to EU project IMCONet (FP7 IRSES, action no. 319718).</t>
  </si>
  <si>
    <t>10.1016/j.marenvres.2016.05.003</t>
  </si>
  <si>
    <t>DO4FQ</t>
  </si>
  <si>
    <t>WOS:000377737600006</t>
  </si>
  <si>
    <t>Kemp, P</t>
  </si>
  <si>
    <t>Kemp, Philip</t>
  </si>
  <si>
    <t>SCOTT OF THE ANTARCTIC</t>
  </si>
  <si>
    <t>SIGHT AND SOUND</t>
  </si>
  <si>
    <t>TV Review, Radio Review</t>
  </si>
  <si>
    <t>BRITISH FILM INST</t>
  </si>
  <si>
    <t>21 STEPHEN STREET, LONDON W1P 1PL, ENGLAND</t>
  </si>
  <si>
    <t>0037-4806</t>
  </si>
  <si>
    <t>SIGHT SOUND</t>
  </si>
  <si>
    <t>Sight Sound</t>
  </si>
  <si>
    <t>Film, Radio, Television</t>
  </si>
  <si>
    <t>Film, Radio &amp; Television</t>
  </si>
  <si>
    <t>DO5TI</t>
  </si>
  <si>
    <t>WOS:000377845300080</t>
  </si>
  <si>
    <t>Shapovalov, SN</t>
  </si>
  <si>
    <t>Shapovalov, S. N.</t>
  </si>
  <si>
    <t>Reasons for Space Gerontology: The Impact of the Motion of the Earth and Moon on the Human Environmental Indicators</t>
  </si>
  <si>
    <t>ADVANCES IN GERONTOLOGY</t>
  </si>
  <si>
    <t>fluctuations; cosmophysical factors; equation of equinoxes; equation of time; computer time; nutation; main perturbations from the Sun; lambda(D)-function; hemoglobin; red blood cells</t>
  </si>
  <si>
    <t>Research results obtained at the junction of geophysics, astronomy, and biology that pointing to the existing association between indicators of living objects and cosmophysical factors may be of specific interest for future gerontological research. This paper presents data on basic astronomical factors potentially capable on a regular basis of causing changes in gravitational effects on the biosphere as a human habitat. Among these factors are the motion of the Earth and Moon as described by equations known in astronomy (equation of equinoxes, equation of time), as well as major perturbations from the Sun (evection, variation, and annual inequality) inferred from the theory of lunar motion. Based on the amount of major perturbations from the Sun, the so-called lambda(D)-functions, it was possible to study associations of fluctuations of the so-called computer time, solar radiation energy in the range of 605-607 nm, as well as concentrations of hemoglobin and red blood cells with major perturbations from the Sun. A conclusion is drawn about the universal nature of the impact of the movements of the Earth and the Moon on the biosphere. The tables for the period from January 1, 2015, to December 31, 2016 with the calculated values of the lambda(D)-functions, which are potentially important for analyzing their association with temporal changes in various indicators of the body, are provided. The patterns revealed by comparison of the changes in various biomarkers with the course of values of the lambda(D)-function from the tables can be predictive in the study of the functioning of the human body and the biosphere in astronomical periods. The research was carried out in Antarctica, at stations Vostok (1998-1999) and Novolazarevskaya (2003-2004), to exclude the influence of artificial electromagnetic fields.</t>
  </si>
  <si>
    <t>[Shapovalov, S. N.] Arctic &amp; Antarctic Res Inst, Ul Beringa 38, St Petersburg 199397, Russia</t>
  </si>
  <si>
    <t>Shapovalov, SN (corresponding author), Arctic &amp; Antarctic Res Inst, Ul Beringa 38, St Petersburg 199397, Russia.</t>
  </si>
  <si>
    <t>shapovalov@aari.ru</t>
  </si>
  <si>
    <t>2079-0570</t>
  </si>
  <si>
    <t>2079-0589</t>
  </si>
  <si>
    <t>ADV GERONTOL</t>
  </si>
  <si>
    <t>Adv. Gerontol.</t>
  </si>
  <si>
    <t>10.1134/S2079057016030103</t>
  </si>
  <si>
    <t>Geriatrics &amp; Gerontology</t>
  </si>
  <si>
    <t>VI8NK</t>
  </si>
  <si>
    <t>WOS:000517100500001</t>
  </si>
  <si>
    <t>The Gravitational Field of the Earth: Geophysical Factor of Gerontology (Vorobeichikov Effect)</t>
  </si>
  <si>
    <t>Escherichia coli; lag phase; equator; Antarctica; gravitational field; extremum; syzygy events</t>
  </si>
  <si>
    <t>The paper presents the results of a study of the in vitro growth of Escherichia coli M17 involving the processing of observational data obtained by V.M. Vorobeichikov onboard the RV Akademik Fedorov while it sailed from St. Petersburg to Antarctica and back for the period from November 13, 2002, to May 26, 2003 (48th Russian Antarctic Expedition). Conclusions are drawn on the dependence of the in vitro growth rate of Escherichia coli on the geographical location change on a planetary scale. It does not exclude the dependence of other types of microorganisms on the spatial position in the gravitational field of the Earth. It is found that the Escherichia coli lag phase duration in the equatorial zone is close to its duration in the high-latitude Antarctic zone. Simultaneously, lag phase durations at the equator and in Antarctica correspond to the lag phase duration at the central phase of a lunar eclipse. It is concluded that in vitro Escherichia coli is highly sensitive to the gravitational field strength of the Earth and to the syzygy events.</t>
  </si>
  <si>
    <t>10.1134/S2079057016030115</t>
  </si>
  <si>
    <t>WOS:000517100500002</t>
  </si>
  <si>
    <t>Lee, WY; Han, YD; Lee, SI; Jablonski, PG; Jung, JW; Kim, JH</t>
  </si>
  <si>
    <t>Lee, Won Young; Han, Yeong-Deok; Lee, Sang-im; Jablonski, Piotr G.; Jung, Jin-Woo; Kim, Jeong-Hoon</t>
  </si>
  <si>
    <t>Antarctic skuas recognize individual humans</t>
  </si>
  <si>
    <t>ANIMAL COGNITION</t>
  </si>
  <si>
    <t>Cognition; Human recognition; Pre-exposure; Brown skua; Antarctic bird</t>
  </si>
  <si>
    <t>BIRDS</t>
  </si>
  <si>
    <t>Recent findings report that wild animals can recognize individual humans. To explain how the animals distinguish humans, two hypotheses are proposed. The high cognitive abilities hypothesis implies that pre-existing high intelligence enabled animals to acquire such abilities. The pre-exposure to stimuli hypothesis suggests that frequent encounters with humans promote the acquisition of discriminatory abilities in these species. Here, we examine individual human recognition abilities in a wild Antarctic species, the brown skua (Stercorarius antarcticus), which lives away from typical human settlements and was only recently exposed to humans due to activities at Antarctic stations. We found that, as nest visits were repeated, the skua parents responded at further distances and were more likely to attack the nest intruder. Also, we demonstrated that seven out of seven breeding pairs of skuas selectively responded to a human nest intruder with aggression and ignored a neutral human who had not previously approached the nest. The results indicate that Antarctic skuas, a species that typically inhabited in human-free areas, are able to recognize individual humans who disturbed their nests. Our findings generally support the high cognitive abilities hypothesis, but this ability can be acquired during a relatively short period in the life of an individual as a result of interactions between individual birds and humans.</t>
  </si>
  <si>
    <t>[Lee, Won Young; Jung, Jin-Woo; Kim, Jeong-Hoon] Korea Polar Res Inst, Div Polar Life Sci, Inchon 406840, South Korea; [Han, Yeong-Deok] Inha Univ, Dept Biol Sci, Coll Nat Sci, Inchon 402751, South Korea; [Lee, Sang-im; Jablonski, Piotr G.] Seoul Natl Univ, Sch Biol Sci, Coll Nat Sci, Lab Behav Ecol &amp; Evolut, Seoul 151742, South Korea; [Lee, Sang-im] Seoul Natl Univ, Inst Adv Machinery &amp; Design, Seoul 151742, South Korea; [Jablonski, Piotr G.] Polish Acad Sci, Museum &amp; Inst Zool, Wilcza 64, PL-00679 Warsaw, Poland; [Jung, Jin-Woo] Kongju Natl Univ, Dept Biol Sci, Kong Ju 314701, South Korea</t>
  </si>
  <si>
    <t>Korea Institute of Ocean Science &amp; Technology (KIOST); Korea Polar Research Institute (KOPRI); Inha University; Seoul National University (SNU); Seoul National University (SNU); Polish Academy of Sciences; Museum &amp; Institute of Zoology of the Polish Academy of Sciences; Kongju National University</t>
  </si>
  <si>
    <t>Lee, WY (corresponding author), Korea Polar Res Inst, Div Polar Life Sci, Inchon 406840, South Korea.</t>
  </si>
  <si>
    <t>wonyounglee@kopri.re.kr</t>
  </si>
  <si>
    <t>Han, Yeong-Deok/GWR-0467-2022; Jabłoński, Piotr/K-4231-2012; Jablonski, Piotr G/A-2753-2015</t>
  </si>
  <si>
    <t>/0000-0002-8333-0106</t>
  </si>
  <si>
    <t>Long-Term Ecological Researches on King George Island to Predict Ecosystem Responses to Climate Change - Korea Polar Research Institute [PE14020]</t>
  </si>
  <si>
    <t>Long-Term Ecological Researches on King George Island to Predict Ecosystem Responses to Climate Change - Korea Polar Research Institute</t>
  </si>
  <si>
    <t>We specially thank to Dr. Joseph Covi for English help and Jan Esefeld for comments to improve the manuscript. We thank to Sung-Hoon Kim for helping fieldwork and being the nest intruder''. This research was supported by the Long-Term Ecological Researches on King George Island to Predict Ecosystem Responses to Climate Change (PE14020) funded by Korea Polar Research Institute.</t>
  </si>
  <si>
    <t>1435-9448</t>
  </si>
  <si>
    <t>1435-9456</t>
  </si>
  <si>
    <t>ANIM COGN</t>
  </si>
  <si>
    <t>Anim. Cogn.</t>
  </si>
  <si>
    <t>10.1007/s10071-016-0970-9</t>
  </si>
  <si>
    <t>Behavioral Sciences; Zoology</t>
  </si>
  <si>
    <t>DO0FE</t>
  </si>
  <si>
    <t>WOS:000377454000016</t>
  </si>
  <si>
    <t>Willis, IC; Pope, EL; Leysinger Vieli, GJMC; Arnold, NS; Long, S</t>
  </si>
  <si>
    <t>Willis, Ian C.; Pope, Ed L.; Leysinger Vieli, Gwendolyn J. -M. C.; Arnold, Neil S.; Long, Sylvan</t>
  </si>
  <si>
    <t>Drainage networks, lakes and water fluxes beneath the Antarctic ice sheet</t>
  </si>
  <si>
    <t>Antarctic glaciology; glacier hydrology; ice-sheet modelling; subglacial lakes</t>
  </si>
  <si>
    <t>SUBGLACIAL LAKES; WEST ANTARCTICA; TIDEWATER GLACIERS; GROUNDING LINE; OUTLET GLACIER; MASS-BALANCE; GREENLAND; MELTWATER; STREAM; MODEL</t>
  </si>
  <si>
    <t>Antarctica Bedmap2 datasets are used to calculate subglacial hydraulic potential and the area, depth and volume of hydraulic potential sinks. There are over 32 000 contiguous sinks, which can be thought of as predicted lakes. Patterns of subglacial melt are modelled with a balanced ice flux flow model, and water fluxes are cumulated along predicted flow pathways to quantify steady-state fluxes from the main basin outlets and from known subglacial lakes. The total flux from the continent is similar to 21 km(3) a(-1). Byrd Glacier has the greatest basin flux of similar to 2.7 km(3) a(-1). Fluxes from subglacial lakes range from similar to 1 x 10(-4) to similar to 1.5 km(3) a(-1). Lake turnover times are calculated from their volumes and fluxes, and have median values of similar to 100 a for known 'active' lakes and similar to 500 a for other lakes. Recurrence intervals of a 0.25 km(3) flood range from similar to 2 months to similar to 2000 a (median approximate to 130 a) for known 'active' lakes and from similar to 2 to similar to 2400 a (median approximate to 360 a) for other lakes. Thus, several lakes that have recently been observed to fill and drain may not do so again for many centuries; and several lakes that have not, so far, been observed to fill and drain have the potential to do so, even at annual to decadal timescales.</t>
  </si>
  <si>
    <t>[Willis, Ian C.; Pope, Ed L.; Arnold, Neil S.; Long, Sylvan] Univ Cambridge, Dept Geog, Scott Polar Res Inst, Lensfield Rd, Cambridge CB2 1ER, England; [Pope, Ed L.] Univ Southampton, Natl Oceanog Ctr, Waterfront Campus,European Way, Southampton SO14 3ZH, Hants, England; [Leysinger Vieli, Gwendolyn J. -M. C.] Univ Durham, Sci Labs, Dept Geog, South Rd, Durham DH1 3LE, England; [Leysinger Vieli, Gwendolyn J. -M. C.] Univ Zurich, Dept Geog, Winterthurerstr 190, CH-8057 Zurich, Switzerland; [Long, Sylvan] Leggette Brashears &amp; Graham Inc, Groundwater &amp; Environm Engn Serv, 4 Res Dr, Shelton, CT 06484 USA</t>
  </si>
  <si>
    <t>University of Cambridge; University of Southampton; NERC National Oceanography Centre; Durham University; University of Zurich</t>
  </si>
  <si>
    <t>Willis, IC (corresponding author), Univ Cambridge, Dept Geog, Scott Polar Res Inst, Lensfield Rd, Cambridge CB2 1ER, England.</t>
  </si>
  <si>
    <t>iw102@cam.ac.uk</t>
  </si>
  <si>
    <t>Arnold, Neil/AAI-2272-2021; Pope, Ed/H-9409-2017</t>
  </si>
  <si>
    <t>Pope, Ed/0000-0002-2090-2971</t>
  </si>
  <si>
    <t>Natural Environment Research Council [noc010011] Funding Source: researchfish; NERC [noc010011] Funding Source: UKRI</t>
  </si>
  <si>
    <t>10.1017/aog.2016.15</t>
  </si>
  <si>
    <t>gold, Green Accepted, Green Published</t>
  </si>
  <si>
    <t>WOS:000385592800011</t>
  </si>
  <si>
    <t>Boyd, C; Grünbaum, D; Hunt, GL; Punt, AE; Weimerskirch, H; Bertrand, S</t>
  </si>
  <si>
    <t>Boyd, Charlotte; Grunbaum, Daniel; Hunt, George L., Jr.; Punt, Andre E.; Weimerskirch, Henri; Bertrand, Sophie</t>
  </si>
  <si>
    <t>Effectiveness of social information used by seabirds searching for unpredictable and ephemeral prey</t>
  </si>
  <si>
    <t>BEHAVIORAL ECOLOGY</t>
  </si>
  <si>
    <t>agent-based model; central place foragers; foraging model; local enhancement; search strategies</t>
  </si>
  <si>
    <t>LOCAL ENHANCEMENT; PUBLIC INFORMATION; HABITAT SELECTION; ANTARCTIC KRILL; COLONIES; GANNETS; MODELS; ALBATROSSES; EVOLUTION; INSIGHTS</t>
  </si>
  <si>
    <t>Understanding how seabirds and other central place foragers locate food resources represents a key step in predicting responses to changes in resource abundance and distribution. Where prey distributions are unpredictable and ephemeral, seabirds may gain up-to-date information by monitoring the direction of birds returning to the colony or by monitoring the foraging behavior of other birds through local enhancement. However, search strategies based on social information may require high population densities, raising concerns about the potential loss of information in declining populations. Our objectives were to explore the mechanisms that underpin effective search strategies based on social information under a range of population densities and different foraging conditions. Testing relevant hypotheses through field observation is challenging because of limitations in the ability to manipulate population densities and foraging conditions. We therefore developed a spatially explicit individual-based foraging model, informed by data on the movement and foraging patterns of seabirds foraging on pelagic prey, and used model simulations to investigate the mechanisms underpinning search strategies. Orientation of outbound headings in line with returning birds enables departing birds to avoid areas without prey even at relatively low population densities. The mechanisms underpinning local enhancement are more effective as population densities increase and may be facilitated by other mechanisms that concentrate individuals in profitable areas. For seabirds and other central place foragers foraging on unpredictable and ephemeral food resources, information is especially valuable when resources are spatially concentrated and may play an important role in mitigating poor foraging conditions.</t>
  </si>
  <si>
    <t>[Boyd, Charlotte; Hunt, George L., Jr.; Punt, Andre E.] Univ Washington, Sch Aquat &amp; Fishery Sci, 1122 NE Boat St, Seattle, WA 98105 USA; [Grunbaum, Daniel] Univ Washington, Sch Oceanog, 1503 NE Boat St, Seattle, WA 98105 USA; [Weimerskirch, Henri] Ctr Etud Biol Chize, UMR 7372, 405 Route Prisse Charriere, F-79360 Villiers En Bois, France; [Bertrand, Sophie] UM2, IFREMER, IRD, UMR212,EME, BP 171, F-34203 Sete, France</t>
  </si>
  <si>
    <t>University of Washington; University of Washington Seattle; University of Washington; University of Washington Seattle; Centre National de la Recherche Scientifique (CNRS); CNRS - Institute of Ecology &amp; Environment (INEE); Ifremer; Institut de Recherche pour le Developpement (IRD); Universite de Montpellier</t>
  </si>
  <si>
    <t>Boyd, C (corresponding author), Univ Washington, Sch Aquat &amp; Fishery Sci, 1122 NE Boat St, Seattle, WA 98105 USA.</t>
  </si>
  <si>
    <t>boydchar@u.washington.edu</t>
  </si>
  <si>
    <t>Weimerskirch, Henri/K-7306-2019; Grunbaum, Sergio/HNI-4530-2023; Weimerskirch, Henri/F-5562-2013; Hunt, George/V-9423-2019; Lanco, Sophie/F-4161-2012</t>
  </si>
  <si>
    <t>Weimerskirch, Henri/0000-0002-0457-586X; Grunbaum, Sergio/0000-0003-2291-9192; Lanco, Sophie/0000-0003-1976-3799</t>
  </si>
  <si>
    <t>US Office of Naval Research [N00014-11-1-0149]</t>
  </si>
  <si>
    <t>US Office of Naval Research(Office of Naval Research)</t>
  </si>
  <si>
    <t>D.G. was supported by the US Office of Naval Research (grant no. N00014-11-1-0149).</t>
  </si>
  <si>
    <t>1045-2249</t>
  </si>
  <si>
    <t>1465-7279</t>
  </si>
  <si>
    <t>BEHAV ECOL</t>
  </si>
  <si>
    <t>Behav. Ecol.</t>
  </si>
  <si>
    <t>JUL-AUG</t>
  </si>
  <si>
    <t>10.1093/beheco/arw039</t>
  </si>
  <si>
    <t>Behavioral Sciences; Biology; Ecology; Zoology</t>
  </si>
  <si>
    <t>Behavioral Sciences; Life Sciences &amp; Biomedicine - Other Topics; Environmental Sciences &amp; Ecology; Zoology</t>
  </si>
  <si>
    <t>DT1EU</t>
  </si>
  <si>
    <t>WOS:000381225300036</t>
  </si>
  <si>
    <t>Barnett, A; Payne, NL; Semmens, JM; Fitzpatrick, R</t>
  </si>
  <si>
    <t>Barnett, Adam; Payne, Nicholas L.; Semmens, Jayson M.; Fitzpatrick, Richard</t>
  </si>
  <si>
    <t>Ecotourism increases the field metabolic rate of whitetip reef sharks</t>
  </si>
  <si>
    <t>Accelerometry; Biologging; Circadian rhythms; Energetics; Provisioning; Triaenodon obesus</t>
  </si>
  <si>
    <t>BEHAVIORAL-RESPONSES; HUMAN DISTURBANCE; ACTIVITY RHYTHMS; TOURISM; DIEL; ACCELERATION; WILDLIFE; ANIMALS; FISH</t>
  </si>
  <si>
    <t>Wildlife tourism has been shown to cause behavioural changes to numerous species. Yet, there is still little understanding if behavioural changes have consequences for health and fitness. The current study combined accelerometry and respirometry to show that provisioning whitetip reef sharks (Triaenodon obesus) for tourism increases their daily energy expenditure by elevating activity levels during periods when they normally rest. Field metabolic rate increased by 637% on provisioning days compared to non-provisioning days. Since metabolism is a key parameter influencing most biological and ecological processes, this represents some of the clearest evidence to date that ecotourism can impact critical biological functions in wild animals. (C) 2016 Elsevier Ltd. All rights reserved.</t>
  </si>
  <si>
    <t>[Barnett, Adam; Fitzpatrick, Richard] James Cook Univ, Coll Marine &amp; Environm Sci, Townsville, Qld 4811, Australia; [Barnett, Adam] Deakin Univ, Sch Life &amp; Environm Sci, 221 Burwood Highway, Burwood, Vic 3125, Australia; [Payne, Nicholas L.] Natl Inst Polar Res, Tachikawa, Tokyo 1908518, Japan; [Payne, Nicholas L.] Univ New South Wales, Sch Biol Earth &amp; Environm Sci, Sydney, NSW 2052, Australia; [Semmens, Jayson M.] Univ Tasmania, Inst Marine &amp; Antarctic Studies, Hobart, Tas 7001, Australia</t>
  </si>
  <si>
    <t>James Cook University; Deakin University; Research Organization of Information &amp; Systems (ROIS); National Institute of Polar Research (NIPR) - Japan; University of New South Wales Sydney; University of Tasmania</t>
  </si>
  <si>
    <t>Barnett, A (corresponding author), James Cook Univ, Coll Marine &amp; Environm Sci, Townsville, Qld 4811, Australia.</t>
  </si>
  <si>
    <t>adam.barnett@jcu.edu.au</t>
  </si>
  <si>
    <t>Payne, Nicholas L/E-7811-2013</t>
  </si>
  <si>
    <t>Semmens, Jayson/0000-0003-1742-6692; , Adam/0000-0001-7430-8428; Payne, Nicholas/0000-0002-5274-471X</t>
  </si>
  <si>
    <t>Save Our Seas Foundation; Winifred Violet Scott Foundation; Australian Fisheries Management Authority [901193, A0012578]</t>
  </si>
  <si>
    <t>Save Our Seas Foundation; Winifred Violet Scott Foundation; Australian Fisheries Management Authority</t>
  </si>
  <si>
    <t>We thank, Eye to Eye Marine Encounters, Mike Ball Dive Expeditions, Spirit of Freedom and Taka Dive adventures for data acquisition. Dale Webber (VEMCO) for advice on tag design. Save Our Seas Foundation and Winifred Violet Scott Foundation supplied funding. Research was conducted under Australian Fisheries Management Authority Scientific Permit #901193 and ethics #A0012578. Data Accessibility: Accelerometer data is stored with Australian Animal Tracking and Monitoring System https://aatams.emii.org.au/aatams/.</t>
  </si>
  <si>
    <t>10.1016/j.biocon.2016.05.009</t>
  </si>
  <si>
    <t>DQ9WI</t>
  </si>
  <si>
    <t>WOS:000379559600018</t>
  </si>
  <si>
    <t>Crego, RD; Jiménez, JE; Rozzi, R</t>
  </si>
  <si>
    <t>Crego, Ramiro D.; Jimenez, Jaime E.; Rozzi, Ricardo</t>
  </si>
  <si>
    <t>A synergistic trio of invasive mammals? Facilitative interactions among beavers, muskrats, and mink at the southern end of the Americas</t>
  </si>
  <si>
    <t>BIOLOGICAL INVASIONS</t>
  </si>
  <si>
    <t>Cape Horn; Ecosystem changes; Invasive meltdown; Invasive species interactions; Sub-Antarctic Magellanic forests</t>
  </si>
  <si>
    <t>HORN BIOSPHERE RESERVE; TIERRA-DEL-FUEGO; CAPE-HORN; CASTOR-CANADENSIS; NEOVISON-VISON; MUSTELA-VISON; POTENTIAL IMPACT; NAVARINO ISLAND; COMMUNITIES; DIVERSITY</t>
  </si>
  <si>
    <t>With ecosystems increasingly having co-occurring invasive species, it is becoming more important to understand invasive species interactions. At the southern end of the Americas, American beavers (Castor canadensis), muskrats (Ondatra zibethicus), and American mink (Neovison vison), were independently introduced. We used generalized linear models to investigate how muskrat presence related to beaver-modified habitats on Navarino Island, Chile. We also investigated the trophic interactions of the mink with muskrats and beavers by studying mink diet. Additionally, we proposed a conceptual species interaction framework involving these invasive species on the new terrestrial community. Our results indicated a positive association between muskrat presence and beaver-modified habitats. Model average coefficients indicated that muskrats preferred beaver-modified freshwater ecosystems, compared to not dammed naturally flowing streams. In addition, mammals and fish represented the main prey items for mink. Although fish were mink's dominant prey in marine coastal habitats, muskrats represented &gt;50 % of the biomass of mink diet in inland environments. We propose that beavers affect river flow and native vegetation, changing forests into wetlands with abundant grasses and rush vegetation. Thus, beavers facilitate the existence of muskrats, which in turn sustain inland mink populations. The latter have major impacts on the native biota, especially on native birds and small rodents. The facilitative interactions among beavers, muskrats, and mink that we explored in this study, together with other non-native species, suggest that an invasive meltdown process may exist; however further research is needed to confirm this hypothesis. Finally, we propose a community-level management to conserve the biological integrity of native ecosystems.</t>
  </si>
  <si>
    <t>[Crego, Ramiro D.; Jimenez, Jaime E.; Rozzi, Ricardo] Univ N Texas, Dept Biol Sci, 1511W Sycamore, Denton, TX 76203 USA; [Jimenez, Jaime E.; Rozzi, Ricardo] Univ N Texas, Dept Philosophy &amp; Relig, 1155 Union Circle, Denton, TX 76203 USA; [Crego, Ramiro D.; Jimenez, Jaime E.; Rozzi, Ricardo] Fac Ciencias, Dept Ciencias Ecol, Inst Ecol &amp; Biodiversidad, Casilla 653, Santiago, Chile; [Jimenez, Jaime E.; Rozzi, Ricardo] Univ Magallanes, Manuel Bulnes 1855, Punta Arenas, Chile; [Crego, Ramiro D.; Jimenez, Jaime E.; Rozzi, Ricardo] Univ N Texas, Sub Antarctic Biocultural Conservat Program, 1155 Union Circle, Denton, TX 76203 USA</t>
  </si>
  <si>
    <t>University of North Texas System; University of North Texas Denton; University of North Texas System; University of North Texas Denton; Universidad de Magallanes; University of North Texas System; University of North Texas Denton</t>
  </si>
  <si>
    <t>Crego, RD (corresponding author), Univ N Texas, Dept Biol Sci, 1511W Sycamore, Denton, TX 76203 USA.</t>
  </si>
  <si>
    <t>ramirocrego84@gmail.com</t>
  </si>
  <si>
    <t>Jimenez, Jaime E./AAO-7531-2020; Crego, Ramiro Daniel/I-3964-2019; Rozzi, Ricardo/G-1047-2012</t>
  </si>
  <si>
    <t>Crego, Ramiro Daniel/0000-0001-8583-5936; Rozzi, Ricardo/0000-0001-5265-8726</t>
  </si>
  <si>
    <t>Omora Foundation; Toulouse Graduate School Program at the University of North Texas (UNT); Rufford Foundation; Conservation Research and Education Opportunities International (CREOi); Institute of Ecology and Biodiversity of Chile (IEB) [ICM P05-002, Basal-CONICYT PFB-23]</t>
  </si>
  <si>
    <t>Omora Foundation; Toulouse Graduate School Program at the University of North Texas (UNT); Rufford Foundation; Conservation Research and Education Opportunities International (CREOi); Institute of Ecology and Biodiversity of Chile (IEB)</t>
  </si>
  <si>
    <t>We thank Matias Barcelo, Nicolas Carro, Gabriel Gomez, Simon Castillo, Ana Pineiro, Fernando Saldivia, Rocio Jara, Omar Barroso, and Javier Rendoll for all their hard field work help. We appreciate the valuable support of Nicolas Soto and Cristian Soto to this project. We also thank Amy Wynia and two anonymous reviewers for their valuable comments that significantly improved this manuscript. Tamara Contador and the Omora Foundation provided support to this project, with access to the Wankara Laboratory facilities and insect identification. This study was financed by the Toulouse Graduate School Program at the University of North Texas (UNT), the Rufford Foundation, the Conservation Research and Education Opportunities International (CREOi), and the Institute of Ecology and Biodiversity of Chile (IEB; grants ICM P05-002 and Basal-CONICYT PFB-23). This study is a contribution of the Sub-Antarctic Biocultural Conservation Program, jointly coordinated by UNT in the US, and by IEB and the Universidad de Magallanes in Chile.</t>
  </si>
  <si>
    <t>1387-3547</t>
  </si>
  <si>
    <t>1573-1464</t>
  </si>
  <si>
    <t>BIOL INVASIONS</t>
  </si>
  <si>
    <t>Biol. Invasions</t>
  </si>
  <si>
    <t>10.1007/s10530-016-1135-0</t>
  </si>
  <si>
    <t>DP9LA</t>
  </si>
  <si>
    <t>WOS:000378816500010</t>
  </si>
  <si>
    <t>Williams, LK; Kristiansen, P; Sindel, BM; Wilson, SC; Shaw, JD</t>
  </si>
  <si>
    <t>Williams, Laura K.; Kristiansen, Paul; Sindel, Brian M.; Wilson, Susan C.; Shaw, Justine D.</t>
  </si>
  <si>
    <t>Quantifying the seed bank of an invasive grass in the sub-Antarctic: seed density, depth, persistence and viability</t>
  </si>
  <si>
    <t>Alien; Poa annua; Macquarie Island; Seed burial; Management</t>
  </si>
  <si>
    <t>POA-ANNUA L.; MACQUARIE ISLAND; WEED SEEDS; ANNUAL BLUEGRASS; PHENOTYPIC PLASTICITY; BIOLOGICAL INVASIONS; CHALK GRASSLAND; COASTAL SLOPES; CLIMATE-CHANGE; BURIAL DEPTH</t>
  </si>
  <si>
    <t>A native to Europe, Poa annua now has a cosmopolitan distribution and is invasive in the sub-Antarctic. As a major weed in temperate turf, there has been considerable investment in research of the species, but little is known about its ecology in the sub-Antarctic, particularly its reproductive ecology and population dynamics. We characterised the seed bank of this invasive species in the sub-Antarctic, by quantifying seed density, depth, persistence and viability. Poa annua seed bank density was correlated with elevation, animal disturbance, soil wetness and soil depth, but most strongly with P. annua cover. Seed bank density was greatest (132,000 seeds m(-2)) at low altitude coastal sites where P. annua is abundant but declined with increasing altitude to &lt;2600 seeds m(2). Seed was most abundant within the top 3 cm of the soil and decreased with soil depth. Seed viability declined over time, from an initial viability of 81 to &lt;3 % after 2 years in the soil. This study demonstrates that whilst P. annua seed banks can be dense, the seed bank is shallow (&lt;10 cm) with low persistence and viability. This first detailed study on the in situ seed bank profile of P. annua in the sub-Antarctic helps us understand the distribution and persistence of this invasive weed and is essential information for the development and implementation of future management. These findings, such as low seed bank persistence, challenge current thinking about eradication or control feasibility in the region.</t>
  </si>
  <si>
    <t>[Williams, Laura K.; Kristiansen, Paul; Sindel, Brian M.; Wilson, Susan C.] Univ New England, Sch Environm &amp; Rural Sci, Armidale, NSW, Australia; [Williams, Laura K.; Shaw, Justine D.] Australian Antarctic Div, Kingston, Tas, Australia; [Shaw, Justine D.] Univ Queensland, Sch Biol Sci, Ctr Biodivers &amp; Conservat Sci, St Lucia, Qld, Australia</t>
  </si>
  <si>
    <t>University of New England; Australian Antarctic Division; University of Queensland</t>
  </si>
  <si>
    <t>Williams, LK (corresponding author), Univ New England, Sch Environm &amp; Rural Sci, Armidale, NSW, Australia.;Williams, LK (corresponding author), Australian Antarctic Div, Kingston, Tas, Australia.</t>
  </si>
  <si>
    <t>lwilli63@myune.edu.au</t>
  </si>
  <si>
    <t>Kristiansen, Paul/X-6638-2019; Kristiansen, Paul/JDV-9957-2023</t>
  </si>
  <si>
    <t>Kristiansen, Paul/0000-0003-2116-0663; Sindel, Brian/0000-0002-4100-218X; wilson, susan/0000-0002-3409-0847; Shaw, Justine/0000-0002-9603-2271</t>
  </si>
  <si>
    <t>Australian Antarctic Science Program [AAS 4158]; Australian Postgraduate Award through the University of New England</t>
  </si>
  <si>
    <t>Australian Antarctic Science Program; Australian Postgraduate Award through the University of New England</t>
  </si>
  <si>
    <t>This project was funded by the Australian Antarctic Science Program, project AAS 4158 and an Australian Postgraduate Award through the University of New England. We thank the Tasmanian Parks and Wildlife Service for granting us access to Macquarie Island, the Australian Antarctic Division for logistical support and Luis Rodriguez Pertierra for field support. We thank Dr. Dana Bergstrom and two anonymous reviewers for feedback on the manuscript.</t>
  </si>
  <si>
    <t>10.1007/s10530-016-1154-x</t>
  </si>
  <si>
    <t>WOS:000378816500021</t>
  </si>
  <si>
    <t>Ge, LK; Li, J; Na, GS; Chen, CE; Huo, C; Zhang, P; Yao, ZW</t>
  </si>
  <si>
    <t>Ge, Linke; Li, Jun; Na, Guangshui; Chen, Chang-Er; Huo, Cheng; Zhang, Peng; Yao, Ziwei</t>
  </si>
  <si>
    <t>Photochemical degradation of hydroxy PAHs in ice: Implications for the polar areas</t>
  </si>
  <si>
    <t>Ice photochemistry; Hydroxy PAHs; Photodegradation kinetics; Pathways; Environmental fate; Arctic and Antarctic</t>
  </si>
  <si>
    <t>POLYCYCLIC AROMATIC-HYDROCARBONS; DISSOLVED ORGANIC-MATTER; AQUEOUS PHOTODEGRADATION; ALIPHATIC-HYDROCARBONS; ARCTIC-OCEAN; OH-PAHS; WATER; PHOTOLYSIS; METABOLITES; SEDIMENTS</t>
  </si>
  <si>
    <t>Hydroxyl polycyclic aromatic hydrocarbons (OH-PAHs) are derived from hydroxylated PAHs as contaminants of emerging concern. They are ubiquitous in the aqueous and atmospheric environments and may exist in the polar snow and ice, which urges new insights into their environmental transformation, especially in ice. In present study the simulated-solar (lambda &gt; 290 nm) photodegradation kinetics, products and pathways of four OH-PAHs (9-Hydroxyfluorene, 2-Hydroxyfluorene, 1-Hydroxypyrene and 9-Hydroxyphenanthrene) in ice were investigated, and the corresponding implications for the polar areas were explored. It was found that the kinetics followed the pseudo-first-order kinetics with the photolysis quantum yields (Phi(s)) ranging from 7.48 x 10(-3) (1-Hydroxypyrene) to 4.16 x 10(-2) (2-Hydroxyfluorene). These 4 OH-PAHs were proposed to undergo photoinduced hydroxylation, resulting in multiple hydroxylated intermediates, particularly for 9-Hydroxyfluorene. Extrapolation of the lab data to the real environment is expected to provide a reasonable estimate of OH-PAH photolytic half-lives (t(1/2,E)) in mid-summer of the polar areas. The estimated t(1/2,E) values ranged from 0.08 h for 1-OHPyr in the Arctic to 54.27 h for 9-OHFI in the Antarctic. In consideration of the lower temperature and less microorganisms in polar areas, the photodegradation can be a key factor in determining the fate of OH-PAHs in sunlit surface snow/ice. To the best of our knowledge, this is the first report on the photo degradation of OH-PAHs in polar areas. (C) 2016 Elsevier Ltd. All rights reserved.</t>
  </si>
  <si>
    <t>[Ge, Linke; Na, Guangshui; Huo, Cheng; Zhang, Peng; Yao, Ziwei] Natl Marine Environm Monitoring Ctr, Key Lab Ecol Environm Coastal Areas SOA, Dalian 116023, Peoples R China; [Li, Jun] Shanghai Ocean Univ, Coll Marine Sci, Shanghai 201306, Peoples R China; [Chen, Chang-Er] Univ Lancaster, Lancaster Environm Ctr, Lancaster LA1 4YQ, England; [Chen, Chang-Er] Stockholm Univ, Dept Environm Sci &amp; Analyt Chem, S-10691 Stockholm, Sweden</t>
  </si>
  <si>
    <t>National Marine Environmental Monitoring Center; Shanghai Ocean University; Lancaster University</t>
  </si>
  <si>
    <t>Zhang, P (corresponding author), Natl Marine Environm Monitoring Ctr, Key Lab Ecol Environm Coastal Areas SOA, Dalian 116023, Peoples R China.</t>
  </si>
  <si>
    <t>pzhang@nmemc.org.cn</t>
  </si>
  <si>
    <t>Chen, Chang-Er/B-5904-2012</t>
  </si>
  <si>
    <t>Chen, Chang-Er/0000-0002-2069-4076</t>
  </si>
  <si>
    <t>National Natural Science Foundation of China [21577029, 41476084]; Key Lab of Marine Bioactive Substance and Modern Analytical Technique [MBSMAT-2014-04]; Key Laboratory for Ecological Environment in Coastal Areas [201602]; Polar Science Strategic Research Foundation [20120320]; Chinese Polar Environment Comprehensive Investigation &amp; Assessment Programmes [02-01, 03-04, 04-01, 04-03]; Chinese Arctic and Antarctic Administration; Natural Environment Research Council [ceh010010] Funding Source: researchfish</t>
  </si>
  <si>
    <t>National Natural Science Foundation of China(National Natural Science Foundation of China (NSFC)); Key Lab of Marine Bioactive Substance and Modern Analytical Technique; Key Laboratory for Ecological Environment in Coastal Areas; Polar Science Strategic Research Foundation; Chinese Polar Environment Comprehensive Investigation &amp; Assessment Programmes; Chinese Arctic and Antarctic Administration; Natural Environment Research Council(UK Research &amp; Innovation (UKRI)Natural Environment Research Council (NERC))</t>
  </si>
  <si>
    <t>The study was supported by the National Natural Science Foundation of China (21577029, and 41476084), the Key Lab of Marine Bioactive Substance and Modern Analytical Technique (MBSMAT-2014-04), the Key Laboratory for Ecological Environment in Coastal Areas (201602), the Polar Science Strategic Research Foundation (20120320), the Chinese Polar Environment Comprehensive Investigation &amp; Assessment Programmes (02-01, 03-04, 04-01 and 04-03), and the Chinese Arctic and Antarctic Administration.</t>
  </si>
  <si>
    <t>10.1016/j.chemosphere.2016.04.087</t>
  </si>
  <si>
    <t>DO4FB</t>
  </si>
  <si>
    <t>WOS:000377736100044</t>
  </si>
  <si>
    <t>Nash, KL; Bijoux, J; Robinson, J; Wilson, SK; Graham, NAJ</t>
  </si>
  <si>
    <t>Nash, Kirsty L.; Bijoux, Jude; Robinson, Jan; Wilson, Shaun K.; Graham, Nicholas A. J.</t>
  </si>
  <si>
    <t>Harnessing fishery-independent indicators to aid management of data-poor fisheries: weighing habitat and fishing effects</t>
  </si>
  <si>
    <t>biomass-based target; coral reef; ecological thresholds; ecosystem-based management; functional relationship; indicator; scale; specificity</t>
  </si>
  <si>
    <t>ECOSYSTEM-BASED MANAGEMENT; MARINE PROTECTED AREAS; SIZE-BASED INDICATORS; REGION-WIDE DECLINES; CORAL-REEF FISHERIES; CLIMATE-CHANGE; COMMUNITY INDICATORS; VULNERABILITY; DEGRADATION; THRESHOLDS</t>
  </si>
  <si>
    <t>State indicators, e.g., mean size and trophic level of the fish assemblage, can provide important insights into the effects of fishing on ecosystems and the resource potential of the fishery. On coral reefs, few studies have examined the relative effects of fishing and other drivers, such as habitat, on these indicators. In light of habitat heterogeneity and increasing habitat degradation, this lack of understanding limits the usefulness of indicators for monitoring the effect of fishery management actions. Identifying thresholds or nonlinearities in relationships between fishing pressure and state indicators has been suggested as a basis for biomass-based targets to support management efforts in low research capacity contexts. Using data collected in Seychelles, we examined the relative influences of fishable biomass (proxy for fishing pressure) and the benthic habitat on fisheries-independent indicators characterizing attributes of the fish community important for fisheries production. We characterized the driver-indicator relationships, and compared local-scale relationships for Seychelles with large-scale relationships published for the Indian Ocean. We found that both habitat and fishing pressure influenced indicators, but habitat effects were particularly strong. This knowledge provides managers with the capacity to implement a diverse array of complementary management actions targeting these drivers. A number of the Seychelles scale driver-indicator relationships were linear, suggesting gradual changes in indicators in response to changes to drivers. This contrasted with relationships published for the Indian Ocean, which were characterized by thresholds below which exploitation is likely to have significant detrimental effects on the functioning of important ecosystem processes. These scale-specific differences are likely driven by the narrower range of fishing pressures found in Seychelles. Importantly, it indicates that, although biomass-based targets derived from large-scale relationships may provide a useful starting point for setting management targets, the local context must be considered.</t>
  </si>
  <si>
    <t>[Nash, Kirsty L.; Robinson, Jan; Graham, Nicholas A. J.] James Cook Univ, Australian Res Council, Ctr Excellence Coral Reef Studies, Townsville, Qld 4811, Australia; [Nash, Kirsty L.] Univ Tasmania, Inst Marine &amp; Antarctic Studies, Ctr Marine Socioecol, Hobart, Tas 7000, Australia; [Bijoux, Jude; Robinson, Jan] Seychelles Fishing Author, POB 449, Fishing Port, Mahe, Seychelles; [Wilson, Shaun K.] Dept Pk &amp; Wildlife, Marine Sci Program, Kensington, WA 6151, Australia; [Wilson, Shaun K.] Univ Western Australia, Oceans Inst, Crawley, WA 6009, Australia; [Graham, Nicholas A. J.] Univ Lancaster, Lancaster Environm Ctr, Lancaster LA1 4YQ, England</t>
  </si>
  <si>
    <t>James Cook University; University of Tasmania; University of Western Australia; Lancaster University</t>
  </si>
  <si>
    <t>Nash, KL (corresponding author), James Cook Univ, Australian Res Council, Ctr Excellence Coral Reef Studies, Townsville, Qld 4811, Australia.;Nash, KL (corresponding author), Univ Tasmania, Inst Marine &amp; Antarctic Studies, Ctr Marine Socioecol, Hobart, Tas 7000, Australia.</t>
  </si>
  <si>
    <t>Wilson, Shaun/K-8597-2019; Nash, Kirsty L/B-5456-2015; Graham, Nicholas/C-8360-2014</t>
  </si>
  <si>
    <t>Wilson, Shaun/0000-0002-4590-0948; Nash, Kirsty L/0000-0003-0976-3197; Graham, Nicholas/0000-0002-0304-7467</t>
  </si>
  <si>
    <t>Australian Research Council; EU/Seychelles Fisheries Protocols under the Fisheries Partnership Agreement; Natural Environment Research Council [ceh010010] Funding Source: researchfish</t>
  </si>
  <si>
    <t>Australian Research Council(Australian Research Council); EU/Seychelles Fisheries Protocols under the Fisheries Partnership Agreement; Natural Environment Research Council(UK Research &amp; Innovation (UKRI)Natural Environment Research Council (NERC))</t>
  </si>
  <si>
    <t>This work was supported by the Australian Research Council. SFA also provided financial support through sector policy support funds of the EU/Seychelles Fisheries Protocols under the Fisheries Partnership Agreement. We thank the anonymous reviewers for comments and suggestions that improved this article.</t>
  </si>
  <si>
    <t>e01362</t>
  </si>
  <si>
    <t>10.1002/ecs2.1362</t>
  </si>
  <si>
    <t>DR6OF</t>
  </si>
  <si>
    <t>WOS:000380020500003</t>
  </si>
  <si>
    <t>C</t>
  </si>
  <si>
    <t>Kariminia, S</t>
  </si>
  <si>
    <t>Kariminia, Shahab</t>
  </si>
  <si>
    <t>Effect of Galleries on Thermal Conditions of Urban Open Areas</t>
  </si>
  <si>
    <t>ENVIRONMENT-BEHAVIOUR PROCEEDINGS JOURNAL</t>
  </si>
  <si>
    <t>Proceedings Paper</t>
  </si>
  <si>
    <t>Annual Serial Landmark International Conferences on Quality of Life(ASLI QoL2015) / 2nd ABRA International Conference on Quality of Life(AQoL2015)</t>
  </si>
  <si>
    <t>DEC 09-13, 2015</t>
  </si>
  <si>
    <t>Izmir, TURKEY</t>
  </si>
  <si>
    <t>Urban open area; urban geometry; simulation; galleries</t>
  </si>
  <si>
    <t>ANTARCTIC TOURISM; COMFORT; HOT; CLIMATE; ENERGY; VISITORS; CANYON</t>
  </si>
  <si>
    <t>Computer simulations were performed by ENVI-met model along with physical measurements in two urban squares under hot summer conditions in Isfahan, central Iran. Each scenario concentrated on adding or extending galleries in each square. The results confirmed the role of galleries on thermal conditions; however, it was found that the effectiveness of this strategy depends on the square geometry. It presented higher efficiency for the small square with higher H/W ratio. This solution is advisable for smaller squares and when the peripheral parts are frequently used compared to the middle areas. Galleries are most efficient when allow enough natural ventilation (C) 2016. The Authors. Published for AMER ABRA by e-International Publishing House, Ltd.</t>
  </si>
  <si>
    <t>[Kariminia, Shahab] Islamic Azad Univ, Najafabad Branch, Dept Architecture, Fac Art Architecture &amp; Urban Planning, Najafabad, Isfahan, Iran</t>
  </si>
  <si>
    <t>Islamic Azad University</t>
  </si>
  <si>
    <t>Kariminia, S (corresponding author), Islamic Azad Univ, Najafabad Branch, Dept Architecture, Fac Art Architecture &amp; Urban Planning, Najafabad, Isfahan, Iran.</t>
  </si>
  <si>
    <t>sh.kariminia@par.iaun.ac.ir</t>
  </si>
  <si>
    <t>Research Management Institute's Excellence Fund, UiTM, Malaysia; Islamic Azad University, Najafabad Branch, Iran</t>
  </si>
  <si>
    <t>Research Management Institute's Excellence Fund, UiTM, Malaysia; Islamic Azad University, Najafabad Branch, Iran(Islamic Azad University)</t>
  </si>
  <si>
    <t>Funding for the equipment used for the field study was made possible in part by the Research Management Institute's Excellence Fund, UiTM, Malaysia. Besides, supports of Islamic Azad University, Najafabad Branch, Iran made the participation in the conference possible.</t>
  </si>
  <si>
    <t>E-IPH LTD UK</t>
  </si>
  <si>
    <t>SHEFFIELD</t>
  </si>
  <si>
    <t>THE LEADMILL, 6 LEADMILL RD, PO BOX STUDIO 7, SHEFFIELD, S1 4SE, ENGLAND</t>
  </si>
  <si>
    <t>2398-4287</t>
  </si>
  <si>
    <t>ENVIRON-BEHAV PROC J</t>
  </si>
  <si>
    <t>Environ.-Behav. Proc. J.</t>
  </si>
  <si>
    <t>10.21834/e-bpj.v1i2.1216</t>
  </si>
  <si>
    <t>Environmental Studies</t>
  </si>
  <si>
    <t>Conference Proceedings Citation Index - Science (CPCI-S)</t>
  </si>
  <si>
    <t>VH7SE</t>
  </si>
  <si>
    <t>WOS:000454282900022</t>
  </si>
  <si>
    <t>Gawor, J; Grzesiak, J; Sasin-Kurowska, J; Borsuk, P; Gromadka, R; Górniak, D; Swiatecki, A; Aleksandrzak-Piekarczyk, T; Zdanowski, MK</t>
  </si>
  <si>
    <t>Gawor, Jan; Grzesiak, Jakub; Sasin-Kurowska, Joanna; Borsuk, Piotr; Gromadka, Robert; Gorniak, Dorota; Swiatecki, Aleksander; Aleksandrzak-Piekarczyk, Tamara; Zdanowski, Marek K.</t>
  </si>
  <si>
    <t>Evidence of adaptation, niche separation and microevolution within the genus Polaromonas on Arctic and Antarctic glacial surfaces</t>
  </si>
  <si>
    <t>Polaromonas; 16S rRNA gene; ITS; Glacier; Bacteria; Biogeography</t>
  </si>
  <si>
    <t>DISSOLVED ORGANIC-MATTER; RIBOSOMAL-RNA GENES; CRYOCONITE HOLES; SPACER ANALYSIS; BACTERIAL; BIOGEOGRAPHY; MARINE; MICROORGANISMS; DIVERSITY; BACTERIOPLANKTON</t>
  </si>
  <si>
    <t>Polaromonas is one of the most abundant genera found on glacier surfaces, yet its ecology remains poorly described. Investigations made to date point towards a uniform distribution of Polaromonas phylotypes across the globe. We compared 43 Polaromonas isolates obtained from surfaces of Arctic and Antarctic glaciers to address this issue. 16S rRNA gene sequences, intergenic transcribed spacers (ITS) and metabolic fingerprinting showed great differences between hemispheres but also between neighboring glaciers. Phylogenetic distance between Arctic and Antarctic isolates indicated separate species. The Arctic group clustered similarly, when constructing dendrograms based on 16S rRNA gene and ITS sequences, as well as metabolic traits. The Antarctic strains, although almost identical considering 16S rRNA genes, diverged into 2 groups based on the ITS sequences and metabolic traits, suggesting recent niche separation. Certain phenotypic traits pointed towards cell adaptation to specific conditions on a particular glacier, like varying pH levels. Collected data suggest, that seeding of glacial surfaces with Polaromonas cells transported by various means, is of greater efficiency on local than global scales. Selection mechanisms present of glacial surfaces reduce the deposited Polaromonas diversity, causing subsequent adaptation to prevailing environmental conditions. Furthermore, interactions with other supraglacial microbiota, like algae cells may drive postselectional niche separation and microevolution within the Polaromonas genus.</t>
  </si>
  <si>
    <t>[Gawor, Jan; Gromadka, Robert] Polish Acad Sci, Inst Biochem &amp; Biophys, Lab DNA Sequencing &amp; Oligonucleotide Synth, Pawinskiego 5a, PL-02106 Warsaw, Poland; [Grzesiak, Jakub; Zdanowski, Marek K.] Polish Acad Sci, Inst Biochem &amp; Biophys, Dept Antarctic Biol, Pawinskiego 5a, PL-02106 Warsaw, Poland; [Sasin-Kurowska, Joanna; Borsuk, Piotr] Warsaw Univ, Inst Genet &amp; Biotechnol, Fac Biol, Pawinskiego 5a, PL-02106 Warsaw, Poland; [Gorniak, Dorota; Swiatecki, Aleksander] Univ Warmia &amp; Mazury, Fac Biol &amp; Biotechnol, Dept Microbiol, Oczapowskiego 1A, PL-10719 Olsztyn, Poland; [Aleksandrzak-Piekarczyk, Tamara] Polish Acad Sci, Inst Biochem &amp; Biophys, Dept Microbial Biochem, Pawinskiego 5a, PL-02106 Warsaw, Poland</t>
  </si>
  <si>
    <t>Polish Academy of Sciences; Institute of Biochemistry &amp; Biophysics - Polish Academy of Sciences; Polish Academy of Sciences; Institute of Biochemistry &amp; Biophysics - Polish Academy of Sciences; University of Warsaw; University of Warmia &amp; Mazury; Polish Academy of Sciences; Institute of Biochemistry &amp; Biophysics - Polish Academy of Sciences</t>
  </si>
  <si>
    <t>Grzesiak, J (corresponding author), Polish Acad Sci, Inst Biochem &amp; Biophys, Dept Antarctic Biol, Pawinskiego 5a, PL-02106 Warsaw, Poland.</t>
  </si>
  <si>
    <t>jgrzesiak@arctowski.pl</t>
  </si>
  <si>
    <t>Grzesiak, Jakub/ABD-5209-2020; Aleksandrzak-Piekarczyk, Tamara/E-3332-2012; Gorniak, Dorota/X-8468-2018</t>
  </si>
  <si>
    <t>Aleksandrzak-Piekarczyk, Tamara/0000-0002-4725-760X; Gromadka, Robert/0000-0002-9941-6692; Grzesiak, Jakub/0000-0001-5972-2356; Swiatecki, Aleksander/0000-0002-5219-7795; Gawor, Jan/0000-0003-3800-2557; Gorniak, Dorota/0000-0001-6567-1057</t>
  </si>
  <si>
    <t>National Science Center, Poland [N N304 106940]</t>
  </si>
  <si>
    <t>National Science Center, Poland(National Science Centre, Poland)</t>
  </si>
  <si>
    <t>This work was supported by the National Science Center, Poland (Grant N N304 106940).</t>
  </si>
  <si>
    <t>10.1007/s00792-016-0831-0</t>
  </si>
  <si>
    <t>WOS:000379027600004</t>
  </si>
  <si>
    <t>Liu, CL; Wang, XL; Wang, XN; Sun, CJ</t>
  </si>
  <si>
    <t>Liu, Chenlin; Wang, Xiuliang; Wang, Xingna; Sun, Chengjun</t>
  </si>
  <si>
    <t>Acclimation of Antarctic Chlamydomonas to the sea-ice environment: a transcriptomic analysis</t>
  </si>
  <si>
    <t>Antarctic sea ice; Freezing acclimation; Horizontal gene transfer; Psychrophilic green microalga; Transcriptomic analysis</t>
  </si>
  <si>
    <t>GENE-EXPRESSION; PSYCHROFLEXUS-TORQUIS; ALGA CHLAMYDOMONAS; MOLECULAR-BIOLOGY; COLD SHOCK; STRESS; TOLERANCE; RESPONSES; ACCUMULATION; NUCLEOPORIN</t>
  </si>
  <si>
    <t>The Antarctic green alga Chlamydomonas sp. ICE-L was isolated from sea ice. As a psychrophilic microalga, it can tolerate the environmental stress in the sea-ice brine, such as freezing temperature and high salinity. We performed a transcriptome analysis to identify freezing stress responding genes and explore the extreme environmental acclimation-related strategies. Here, we show that many genes in ICE-L transcriptome that encoding PUFA synthesis enzymes, molecular chaperon proteins, and cell membrane transport proteins have high similarity to the gens from Antarctic bacteria. These ICE-L genes are supposed to be acquired through horizontal gene transfer from its symbiotic microbes in the sea-ice brine. The presence of these genes in both sea-ice microalgae and bacteria indicated the biological processes they involved in are possibly contributing to ICE-L success in sea ice. In addition, the biological pathways were compared between ICE-L and its closely related sister species, Chlamydomonas reinhardtii and Volvox carteri. In ICE-L transcripome, many sequences homologous to the plant or bacteria proteins in the post-transcriptional, post-translational modification, and signal-transduction KEGG pathways, are absent in the nonpsychrophilic green algae. These complex structural components might imply enhanced stress adaptation capacity. At last, differential gene expression analysis at the transcriptome level of ICE-L indicated that genes that associated with post-translational modification, lipid metabolism, and nitrogen metabolism are responding to the freezing treatment. In conclusion, the transcriptome of Chlamydomonas sp. ICE-L is very useful for exploring the mutualistic interaction between microalgae and bacteria in sea ice; and discovering the specific genes and metabolism pathways responding to the freezing acclimation in psychrophilic microalgae.</t>
  </si>
  <si>
    <t>[Liu, Chenlin; Wang, Xingna; Sun, Chengjun] State Ocean Adm, Inst Oceanog 1, Key Lab Marine Bioact Subst, Xianxialing Rd 6th, Qingdao 266061, Peoples R China; [Liu, Chenlin; Wang, Xiuliang] Qingdao Natl Lab Marine Sci &amp; Technol, Lab Marine Biol &amp; Biotechnol, Qingdao 266000, Peoples R China; [Wang, Xiuliang] Chinese Acad Sci, Inst Oceanol, Key Lab Expt Marine Biol, Qingdao 266071, Peoples R China</t>
  </si>
  <si>
    <t>Liu, CL (corresponding author), State Ocean Adm, Inst Oceanog 1, Key Lab Marine Bioact Subst, Xianxialing Rd 6th, Qingdao 266061, Peoples R China.;Liu, CL (corresponding author), Qingdao Natl Lab Marine Sci &amp; Technol, Lab Marine Biol &amp; Biotechnol, Qingdao 266000, Peoples R China.</t>
  </si>
  <si>
    <t>ch.lliu@163.com</t>
  </si>
  <si>
    <t>liu, chen/ISV-2093-2023</t>
  </si>
  <si>
    <t>Wang, Xiuliang/0000-0003-4262-0083</t>
  </si>
  <si>
    <t>National Natural Science Foundation [41276203]; Taishan Scholar and Qingdao Talent [13-CX-20]</t>
  </si>
  <si>
    <t>National Natural Science Foundation(National Natural Science Foundation of China (NSFC)); Taishan Scholar and Qingdao Talent</t>
  </si>
  <si>
    <t>This work was financially supported by a grant of National Natural Science Foundation (41276203) for Chenlin Liu and Taishan Scholar and Qingdao Talent (13-CX-20).</t>
  </si>
  <si>
    <t>10.1007/s00792-016-0834-x</t>
  </si>
  <si>
    <t>WOS:000379027600007</t>
  </si>
  <si>
    <t>Moreno-Pino, M; De la Iglesia, R; Valdivia, N; Henríquez-Castilo, C; Galán, A; Díez, B; Trefault, N</t>
  </si>
  <si>
    <t>Moreno-Pino, Mario; De la Iglesia, Rodrigo; Valdivia, Nelson; Henriquez-Castilo, Carlos; Galan, Alexander; Diez, Beatriz; Trefault, Nicole</t>
  </si>
  <si>
    <t>Variation in coastal Antarctic microbial community composition at sub-mesoscale: spatial distance or environmental filtering?</t>
  </si>
  <si>
    <t>spatial variation; Antarctica; microbial community; environmental filtering; submesoscale; community composition</t>
  </si>
  <si>
    <t>RIBOSOMAL-RNA GENE; SOUTH SHETLAND ISLANDS; CLIMATE-CHANGE; PHOTOSYNTHETIC EUKARYOTES; MARINE BACTERIAL; WATER-COLUMN; DIVERSITY; SURFACE; DYNAMICS; SUMMER</t>
  </si>
  <si>
    <t>Spatial environmental heterogeneity influences diversity of organisms at different scales. Environmental filtering suggests that local environmental conditions provide habitat-specific scenarios for niche requirements, ultimately determining the composition of local communities. In this work, we analyze the spatial variation of microbial communities across environmental gradients of sea surface temperature, salinity and photosynthetically active radiation and spatial distance in Fildes Bay, King George Island, Antarctica. We hypothesize that environmental filters are the main control of the spatial variation of these communities. Thus, strong relationships between community composition and environmental variation and weak relationships between community composition and spatial distance are expected. Combining physical characterization of the water column, cell counts by flow cytometry, small ribosomal subunit genes fingerprinting and next generation sequencing, we contrast the abundance and composition of photosynthetic eukaryotes and heterotrophic bacterial local communities at a submesoscale. Our results indicate that the strength of the environmental controls differed markedly between eukaryotes and bacterial communities. Whereas eukaryotic photosynthetic assemblages responded weakly to environmental variability, bacteria respond promptly to fine-scale environmental changes in this polar marine system.</t>
  </si>
  <si>
    <t>[Moreno-Pino, Mario; Trefault, Nicole] Univ Mayor, Fac Sci, Ctr Genom &amp; Bioinformat, Camino Piramide 5750, Santiago 8580745, Chile; [De la Iglesia, Rodrigo; Henriquez-Castilo, Carlos; Diez, Beatriz] Pontificia Univ Catolica Chile, Dept Mol Genet &amp; Microbiol, Alameda 340, Santiago 8331150, Chile; [De la Iglesia, Rodrigo; Henriquez-Castilo, Carlos] Millennium Inst Ocenog, Cabina 7,Barrio Univ S-N, Concepcion 4030000, Chile; [Valdivia, Nelson] Univ Austral Chile, Fac Ciencias, Inst Ciencias Marinas &amp; Limnol, Campus Isla Teja, Valdivia 5090000, Chile; [Valdivia, Nelson] Ctr Invest FONDAP Dinam Ecosistemas Marinos Altas, Campus Isla Teja, Valdivia 5090000, Chile; [Henriquez-Castilo, Carlos] Univ Concepcion, Dept Oceanog, Cabina 7,Barrio Univ S-N, Concepcion 4030000, Chile; [Galan, Alexander] Univ Catolica Santisima Concepcion, CREA, Ave Colon 2766, Talcahuano 4270789, Chile; [Diez, Beatriz] Ctr Climate &amp; Resilience Res, Blanco Encalada 22002, Santiago 8370449, Chile</t>
  </si>
  <si>
    <t>Universidad Mayor; Pontificia Universidad Catolica de Chile; Universidad Austral de Chile; Universidad de Concepcion; Universidad Catolica de la Santisima Concepcion</t>
  </si>
  <si>
    <t>Trefault, N (corresponding author), Univ Mayor, Fac Sci, Ctr Genom &amp; Bioinformat, Camino Piramide 5750, Santiago 8580745, Chile.</t>
  </si>
  <si>
    <t>nicole.trefault@umayor.cl</t>
  </si>
  <si>
    <t>Henríquez, Carlos/IRZ-0582-2023; Henríquez-Castillo, Carlos/AAD-5902-2022; Díez, Beatriz/AAG-2244-2021; Valdivia, Nelson/C-3613-2009</t>
  </si>
  <si>
    <t>Henríquez-Castillo, Carlos/0000-0001-7763-8350; Díez, Beatriz/0000-0002-9371-8083; Moreno-Pino, Mario/0000-0002-4332-3315; De la Iglesia, Rodrigo/0000-0002-2000-8697; Galan, Alexander/0000-0001-8775-0426; Valdivia, Nelson/0000-0002-5394-2072</t>
  </si>
  <si>
    <t>Instituto Antartico Chileno (INACH) [T16-10]; Fondo Nacional de Desarrollo Cientifico y Tecnologico (FONDECYT) [11121554]; FONDECYT [1141037]; Programa de Investigacion Asociativa (PIA) Anillo [ART1101]; FONDAP-IDEAL [15150003]</t>
  </si>
  <si>
    <t>Instituto Antartico Chileno (INACH); Fondo Nacional de Desarrollo Cientifico y Tecnologico (FONDECYT)(Comision Nacional de Investigacion Cientifica y Tecnologica (CONICYT)CONICYT FONDECYT); FONDECYT(Comision Nacional de Investigacion Cientifica y Tecnologica (CONICYT)CONICYT FONDECYT); Programa de Investigacion Asociativa (PIA) Anillo; FONDAP-IDEAL</t>
  </si>
  <si>
    <t>This work was supported by Instituto Antartico Chileno (INACH) Grant T16-10 and Fondo Nacional de Desarrollo Cientifico y Tecnologico (FONDECYT) Grant # 11121554. NV was supported by FONDECYT grant # 1141037 and Programa de Investigacion Asociativa (PIA) Anillo grant ART1101 and FONDAP-IDEAL grant # 15150003.</t>
  </si>
  <si>
    <t>fiw088</t>
  </si>
  <si>
    <t>10.1093/femsec/fiw088</t>
  </si>
  <si>
    <t>WOS:000379693700002</t>
  </si>
  <si>
    <t>Pichrtová, M; Arc, E; Stöggl, W; Kranner, I; Hájek, T; Hackl, H; Holzinger, A</t>
  </si>
  <si>
    <t>Pichrtova, Martina; Arc, Erwann; Stoeggl, Wolfgang; Kranner, Ilse; Hajek, Tomas; Hackl, Hubert; Holzinger, Andreas</t>
  </si>
  <si>
    <t>Formation of lipid bodies and changes in fatty acid composition upon pre-akinete formation in Arctic and Antarctic Zygnema (Zygnematophyceae, Streptophyta) strains</t>
  </si>
  <si>
    <t>desiccation stress; fatty acid methyl ester; lipids; nitrogen starvation; polar green microalgae</t>
  </si>
  <si>
    <t>GREEN-ALGA ZYGNEMA; NITROGEN STARVATION; OSMOTIC-STRESS; FRESH-WATER; TRIACYLGLYCEROL; XANTHOPHYCEAE; ACCUMULATION; DESICCATION; MACROALGAE; MICROALGAE</t>
  </si>
  <si>
    <t>Filamentous green algae of the genus Zygnema (Zygnematophyceae, Streptophyta) are key components of polar hydro-terrestrial mats where they face various stressors including UV irradiation, freezing, desiccation and osmotic stress. Their vegetative cells can develop into pre-akinetes, i.e. reserve-rich, mature cells. We investigated lipid accumulation and fatty acid (FA) composition upon pre-akinete formation in an Arctic and an Antarctic Zygnema strain using transmission electron microscopy and gas chromatography coupled with mass spectrometry. Pre-akinetes formed after 9 weeks of cultivation in nitrogen-free medium, which was accompanied by massive accumulation of lipid bodies. The composition of FAs was similar in both strains, and alpha-linolenic acid (C18:3) dominated in young vegetative cells. Pre-akinete formation coincided with a significant change in FA composition. Oleic (C18:1) and linoleic (C18:2) acid increased the most (up to 17- and 8-fold, respectively). Small amounts of long-chain polyunsaturated FAs were also detected, e.g. arachidonic (C20:4) and eicosapentaenoic (C20:5) acid. Pre-akinetes exposed to desiccation at 86% relative humidity were able to recover maximum quantum yield of photosystem II, but desiccation had no major effect on FA composition. The results are discussed with regard to the capability of Zygnema spp. to thrive in extreme conditions.</t>
  </si>
  <si>
    <t>[Pichrtova, Martina] Charles Univ Prague, Dept Bot, Fac Sci, Benatska 2, Prague 12801, Czech Republic; [Arc, Erwann; Stoeggl, Wolfgang; Kranner, Ilse; Holzinger, Andreas] Univ Innsbruck, Funct Plant Biol, Inst Bot, Sternwartestr 15, A-6020 Innsbruck, Austria; [Hajek, Tomas] Univ South Bohemia, Fac Sci, Branisovska 1760, Ceske Budejovice 37005, Czech Republic; [Hackl, Hubert] Med Univ Innsbruck, Div Bioinformat, Bioctr, Innrain 80, A-6020 Innsbruck, Austria</t>
  </si>
  <si>
    <t>Charles University Prague; University of Innsbruck; University of South Bohemia Ceske Budejovice; Medical University of Innsbruck</t>
  </si>
  <si>
    <t>Pichrtová, M (corresponding author), Charles Univ Prague, Dept Bot, Fac Sci, Benatska 2, Prague 12801, Czech Republic.</t>
  </si>
  <si>
    <t>Hájek, Tomáš/H-3923-2011; Hackl, Hubert/B-3168-2018; ARC, Erwann/Y-9923-2019; Holzinger, Andreas/Z-2659-2019; Pichrtová, Martina/N-1298-2014; Kranner, Ilse/B-1039-2011; Stoggl, Wolfgang/L-3471-2013</t>
  </si>
  <si>
    <t>Hájek, Tomáš/0000-0002-5981-5840; Hackl, Hubert/0000-0003-4055-3841; ARC, Erwann/0000-0003-2344-1426; Holzinger, Andreas/0000-0002-7745-3978; Pichrtová, Martina/0000-0002-6003-9666; Kranner, Ilse/0000-0003-4959-9109; Stoggl, Wolfgang/0000-0002-7450-6464</t>
  </si>
  <si>
    <t>Czech Science Foundation (GACR) [15-34645 L]; Austrian Science Fund (FWF) [P 24242-B16, I 1951-B16]; Czech Ministry of Education (MSMT) [LM2015078]; Austrian Science Fund (FWF) [I1951] Funding Source: Austrian Science Fund (FWF)</t>
  </si>
  <si>
    <t>Czech Science Foundation (GACR)(Grant Agency of the Czech Republic); Austrian Science Fund (FWF)(Austrian Science Fund (FWF)); Czech Ministry of Education (MSMT)(Ministry of Education, Youth &amp; Sports - Czech Republic); Austrian Science Fund (FWF)(Austrian Science Fund (FWF))</t>
  </si>
  <si>
    <t>This work was supported by The Czech Science Foundation (GACR) [15-34645 L to MP] and by Austrian Science Fund (FWF) [P 24242-B16 and I 1951-B16 to AH] and by the Czech Ministry of Education (MSMT) [LM2015078 Czech Polar Research Infrastructure to TH].</t>
  </si>
  <si>
    <t>fiw096</t>
  </si>
  <si>
    <t>10.1093/femsec/fiw096</t>
  </si>
  <si>
    <t>WOS:000379693700007</t>
  </si>
  <si>
    <t>Lee, J; Kwon, M; Yang, JY; Woo, J; Lee, HK; Hong, SG; Kim, OS</t>
  </si>
  <si>
    <t>Lee, Jaejin; Kwon, Miye; Yang, Jae Young; Woo, Jusun; Lee, Hong Kum; Hong, Soon Gyu; Kim, Ok-Sun</t>
  </si>
  <si>
    <t>Complete Genome Sequence of Psychrobacter alimentarius PAMC 27889, a Psychrophile Isolated from an Antarctic Rock Sample</t>
  </si>
  <si>
    <t>Psychrobacter alimentarius PAMC 27889, a Gram-negative, psychrophilic bacterium, was isolated from an Antarctic rock sample. Here, we report the complete genome of P. alimentarius PAMC 27889, which has the nonmevalonate methylerythritol phosphate pathway of terpenoid biosynthesis and a complete gene cluster for benzoate degradation.</t>
  </si>
  <si>
    <t>[Lee, Jaejin; Kwon, Miye; Yang, Jae Young; Lee, Hong Kum; Hong, Soon Gyu; Kim, Ok-Sun] Korea Polar Res Inst, Div Polar Life Sci, Incheon, South Korea; [Woo, Jusun] Korea Polar Res Inst, Div Polar Earth Syst Sci, Incheon, South Korea</t>
  </si>
  <si>
    <t>Korea Polar Research Institute (KOPRI); Korea Polar Research Institute (KOPRI)</t>
  </si>
  <si>
    <t>Kim, OS (corresponding author), Korea Polar Res Inst, Div Polar Life Sci, Incheon, South Korea.</t>
  </si>
  <si>
    <t>oskim@kopri.re.kr</t>
  </si>
  <si>
    <t>Lee, Jaejin/JSK-3037-2023</t>
  </si>
  <si>
    <t>Lee, Jaejin/0000-0002-9793-9473</t>
  </si>
  <si>
    <t>Ministry of Oceans and Fisheries, Republic of Korea [PM15030]</t>
  </si>
  <si>
    <t>Ministry of Oceans and Fisheries, Republic of Korea</t>
  </si>
  <si>
    <t>This research was part of the project titled Crustal Evolution of Victoria Land, Antarctica, and the Formative Process of Planets (PM15030), funded by the Ministry of Oceans and Fisheries, Republic of Korea.</t>
  </si>
  <si>
    <t>e00704-16</t>
  </si>
  <si>
    <t>10.1128/genomeA.00704-16</t>
  </si>
  <si>
    <t>VI1DR</t>
  </si>
  <si>
    <t>WOS:000460662700087</t>
  </si>
  <si>
    <t>Presta, L; Inzucchi, I; Bosi, E; Fondi, M; Perrin, E; Maida, I; Miceli, E; Tutino, ML; Lo Giudice, A; De Pascale, D; Fani, R</t>
  </si>
  <si>
    <t>Presta, Luana; Inzucchi, Ilaria; Bosi, Emanuele; Fondi, Marco; Perrin, Elena; Maida, Isabel; Miceli, Elisangela; Tutino, Maria Luisa; Lo Giudice, Angelina; De Pascale, Donatella; Fani, Renato</t>
  </si>
  <si>
    <t>Draft Genome Sequences of the Antimicrobial Producers Pseudomonas sp. TAA207 and Pseudomonas sp. TAD18 Isolated from Antarctic Sediments</t>
  </si>
  <si>
    <t>We report here the draft genome sequence of the Pseudomonas sp. TAA207 and Pseudomonas sp. TAD18 strains, isolated from Antarctic sediments during a summer campaign near coastal areas of Terra Nova Bay (Antarctica). Genome sequence knowledge allowed the identification of genes associated with the production of bioactive compounds and antibiotic resistance. Furthermore, it will be instrumental for comparative genomics and the fulfillment of both basic and application-oriented investigations.</t>
  </si>
  <si>
    <t>[Presta, Luana; Inzucchi, Ilaria; Bosi, Emanuele; Fondi, Marco; Perrin, Elena; Maida, Isabel; Miceli, Elisangela; Fani, Renato] Univ Florence, Dept Biol, Florence, Italy; [De Pascale, Donatella] CNR, Inst Prot Biochem, Naples, Italy; [Tutino, Maria Luisa] Univ Naples Federico II, Dept Chem Sci, Naples, Italy; [Lo Giudice, Angelina] Natl Res Council IAMC CNR, Inst Coastal Marine Environm, Messina, Italy; [Lo Giudice, Angelina] Univ Messina, Dept Biol &amp; Environm Sci, Messina, Italy</t>
  </si>
  <si>
    <t>University of Florence; Consiglio Nazionale delle Ricerche (CNR); Istituto di Biochimica delle Proteine (IBP-CNR); University of Naples Federico II; Consiglio Nazionale delle Ricerche (CNR); L'Istituto per l'Ambiente Marino Costiero (IAMC-CNR); University of Messina</t>
  </si>
  <si>
    <t>Fani, R (corresponding author), Univ Florence, Dept Biol, Florence, Italy.</t>
  </si>
  <si>
    <t>renato.fani@unifi.it</t>
  </si>
  <si>
    <t>TUTINO, MARIA LUISA/L-1834-2013; Perrin, Elena/AAX-2762-2020</t>
  </si>
  <si>
    <t>Perrin, Elena/0000-0001-5148-3178; Tutino, Maria Luisa/0000-0002-4978-6839; Bosi, Emanuele/0000-0002-4769-8667; Presta, Luana/0000-0001-6482-6758</t>
  </si>
  <si>
    <t>Italian Cystic Fibrosis Research Foundation (grant FFC) [12/2011]; PNRA (Programma Nazionale per la Ricerca in Antartide) [PNRA 2013/B4.02, PNRA 2013/AZ1.04]; EU KBBE Project Pharmasea 2012 2016 [312184]</t>
  </si>
  <si>
    <t>Italian Cystic Fibrosis Research Foundation (grant FFC)(Ministry of Health, ItalyItalian Cystic Fibrosis Research Foundation); PNRA (Programma Nazionale per la Ricerca in Antartide); EU KBBE Project Pharmasea 2012 2016</t>
  </si>
  <si>
    <t>This work was financially supported by grants from the Italian Cystic Fibrosis Research Foundation (grant FFC no. 12/2011), by two PNRA (Programma Nazionale per la Ricerca in Antartide) grants (PNRA 2013/B4.02 and PNRA 2013/AZ1.04), and by the EU KBBE Project Pharmasea 2012 2016 (grant agreement no. 312184).</t>
  </si>
  <si>
    <t>e00728-16</t>
  </si>
  <si>
    <t>10.1128/genomeA.00728-16</t>
  </si>
  <si>
    <t>WOS:000460662700104</t>
  </si>
  <si>
    <t>Zhu, SD; Wang, X; Zhang, D; Jing, XH; Zhang, N; Yang, JF; Chen, JG</t>
  </si>
  <si>
    <t>Zhu, Sidong; Wang, Xing; Zhang, Di; Jing, Xiaohuan; Zhang, Ning; Yang, Jifang; Chen, Jigang</t>
  </si>
  <si>
    <t>Complete Genome Sequence of Hemolysin-Containing Carnobacterium sp. Strain CP1 Isolated from the Antarctic</t>
  </si>
  <si>
    <t>Carnobacterium sp. strain CP1 was isolated from Antarctic sandy soil and predicted to be a novel species belonging to the genus Carnobacterium. Herein, we report the complete genome sequence, which consists of a circular 2,605,518-bp chromosome and an 8,883-bp plasmid with G+C contents of 38.13% and 31.63%, respectively.</t>
  </si>
  <si>
    <t>[Zhu, Sidong; Wang, Xing; Zhang, Di; Jing, Xiaohuan; Zhang, Ning; Yang, Jifang; Chen, Jigang] Zhejiang Wanli Univ, Coll Biol &amp; Environm Sci, Ningbo, Zhejiang, Peoples R China</t>
  </si>
  <si>
    <t>Zhejiang Wanli University</t>
  </si>
  <si>
    <t>Yang, JF; Chen, JG (corresponding author), Zhejiang Wanli Univ, Coll Biol &amp; Environm Sci, Ningbo, Zhejiang, Peoples R China.</t>
  </si>
  <si>
    <t>jfhwlq@163.com; genomic@163.com</t>
  </si>
  <si>
    <t>chen, Jigang/M-4104-2018</t>
  </si>
  <si>
    <t>chen, Jigang/0000-0002-6799-0171</t>
  </si>
  <si>
    <t>National Ocean Public Welfare Scientific Research [2014418015-5]; Key Science and Technology Program of Ningbo [2012C10038]; International S&amp;T Cooperation Program of China [2007DFA21300]</t>
  </si>
  <si>
    <t>National Ocean Public Welfare Scientific Research; Key Science and Technology Program of Ningbo; International S&amp;T Cooperation Program of China</t>
  </si>
  <si>
    <t>This work, including the efforts of Jifang Yang, was funded by National Ocean Public Welfare Scientific Research (2014418015-5). This work, including the efforts of Jifang Yang, was funded by Key Science and Technology Program of Ningbo (2012C10038). This work, including the efforts of Jifang Yang, was funded by International S&amp;T Cooperation Program of China (2007DFA21300).</t>
  </si>
  <si>
    <t>e00690-16</t>
  </si>
  <si>
    <t>10.1128/genomeA.00690-16</t>
  </si>
  <si>
    <t>WOS:000460662700080</t>
  </si>
  <si>
    <t>Lebrato, M; Andersson, AJ; Ries, JB; Aronson, RB; Lamare, MD; Koeve, W; Oschlies, A; Iglesias-Rodriguez, MD; Thatje, S; Amsler, M; Vos, SC; Jones, DOB; Ruhl, HA; Gates, AR; McClintock, JB</t>
  </si>
  <si>
    <t>Lebrato, M.; Andersson, A. J.; Ries, J. B.; Aronson, R. B.; Lamare, M. D.; Koeve, W.; Oschlies, A.; Iglesias-Rodriguez, M. D.; Thatje, S.; Amsler, M.; Vos, S. C.; Jones, D. O. B.; Ruhl, H. A.; Gates, A. R.; McClintock, J. B.</t>
  </si>
  <si>
    <t>Benthic marine calcifiers coexist with CaCO3-undersaturated seawater worldwide</t>
  </si>
  <si>
    <t>Mg-calcite; ocean acidification; benthic; mineralogy; saturation state</t>
  </si>
  <si>
    <t>OCEAN ACIDIFICATION; CLIMATE-CHANGE; SKELETAL MINERALOGY; MAGNESIAN CALCITES; CORALLINE ALGAE; CARBONATE; CO2; DISSOLUTION; CHEMISTRY; RESPONSES</t>
  </si>
  <si>
    <t>Ocean acidification and decreasing seawater saturation state with respect to calcium carbonate (CaCO3) minerals have raised concerns about the consequences to marine organisms that build CaCO3 structures. A large proportion of benthic marine calcifiers incorporate Mg2+ into their skeletons (Mg-calcite), which, in general, reduces mineral stability. The relative vulnerability of some marine calcifiers to ocean acidification appears linked to the relative solubility of their shell or skeletal mineralogy, although some organisms have sophisticated mechanisms for constructing and maintaining their CaCO3 structures causing deviation from this dependence. Nevertheless, few studies consider seawater saturation state with respect to the actual Mg-calcite mineralogy ((Mg-x)) of a species when evaluating the effect of ocean acidification on that species. Here, a global dataset of skeletal mole % MgCO3 of benthic calcifiers and in situ environmental conditions spanning a depth range of 0m (subtidal/neritic) to 5600m (abyssal) was assembled to calculate in situ (Mg-x). This analysis shows that 24% of the studied benthic calcifiers currently experience seawater mineral undersaturation ((Mg-x)&lt;1). As a result of ongoing anthropogenic ocean acidification over the next 200 to 3000years, the predicted decrease in seawater mineral saturation will expose approximately 57% of all studied benthic calcifying species to seawater undersaturation. These observations reveal a surprisingly high proportion of benthic marine calcifiers exposed to seawater that is undersaturated with respect to their skeletal mineralogy, underscoring the importance of using species-specific seawater mineral saturation states when investigating the impact of CO2-induced ocean acidification on benthic marine calcification.</t>
  </si>
  <si>
    <t>[Lebrato, M.; Andersson, A. J.] Univ Calif San Diego, Scripps Inst Oceanog, La Jolla, CA 92093 USA; [Lebrato, M.] Kiel Univ CAU, Kiel, Germany; [Ries, J. B.] Northeastern Univ, Ctr Marine Sci, Dept Marine &amp; Environm Sci, Boston, MA 02115 USA; [Aronson, R. B.; Vos, S. C.] Florida Inst Technol, Dept Biol Sci, Melbourne, FL 32901 USA; [Lamare, M. D.] Univ Otago, Dept Marine Sci, Dunedin, New Zealand; [Koeve, W.; Oschlies, A.] Helmholtz Ctr Ocean Res Kiel, Biogeochem Modelling, GEOMAR, Kiel, Germany; [Iglesias-Rodriguez, M. D.] Univ Calif Santa Barbara, Dept Ecol Evolut &amp; Marine Biol, Santa Barbara, CA 93106 USA; [Thatje, S.] Univ Southampton, Natl Oceanog Ctr, Ocean &amp; Earth Sci, Southampton, Hants, England; [Amsler, M.; McClintock, J. B.] Univ Alabama Birmingham, Dept Biol, Birmingham, AL 35294 USA; [Jones, D. O. B.; Ruhl, H. A.; Gates, A. R.] Univ Southampton, Natl Oceanog Ctr, Waterfront Campus, Southampton, Hants, England</t>
  </si>
  <si>
    <t>University of California System; University of California San Diego; Scripps Institution of Oceanography; Northeastern University; Florida Institute of Technology; University of Otago; Helmholtz Association; GEOMAR Helmholtz Center for Ocean Research Kiel; University of California System; University of California Santa Barbara; NERC National Oceanography Centre; University of Southampton; University of Alabama System; University of Alabama Birmingham; NERC National Oceanography Centre; University of Southampton</t>
  </si>
  <si>
    <t>Lebrato, M (corresponding author), Univ Calif San Diego, Scripps Inst Oceanog, La Jolla, CA 92093 USA.;Lebrato, M (corresponding author), Kiel Univ CAU, Kiel, Germany.</t>
  </si>
  <si>
    <t>mlebrato13@gmail.com</t>
  </si>
  <si>
    <t>Ries, Justin B/B-8391-2017; Jones, Daniel/A-3412-2009; Koeve, Wolfgang/B-6362-2008; Gates, Andrew/I-4321-2012; Oschlies, Andreas/F-9749-2012</t>
  </si>
  <si>
    <t>Jones, Daniel/0000-0001-5218-1649; Aronson, Richard/0000-0003-0383-3844; Koeve, Wolfgang/0000-0002-2298-9230; Gates, Andrew/0000-0002-2798-5044; Oschlies, Andreas/0000-0002-8295-4013</t>
  </si>
  <si>
    <t>European Project on Ocean Acidification (EPOCA); European Community [211384]; Helmholtz Centre for Ocean Research Kiel (GEOMAR); Center of Excellence The Future Ocean; NSF [OCE 12-55042, ANT-0838773, ANT-1041022, OCE-1459706, OCE-1437371, MRI-1429373]; UK Natural Environment Research Council as part of the Marine Environmental Mapping Programme (MAREMAP); UAB; NOAA [NA13OAR4310186, NA14NMF4540072]; German BIOACID program (BMBF) [03F0655A]; Antarctica New Zealand; New Zealand Antarctic Research Institute; Directorate For Geosciences; Division Of Ocean Sciences [1429373] Funding Source: National Science Foundation; Directorate For Geosciences; Division Of Ocean Sciences [1437371, 1459706] Funding Source: National Science Foundation; Natural Environment Research Council [noc010009] Funding Source: researchfish; NERC [noc010009] Funding Source: UKRI</t>
  </si>
  <si>
    <t>European Project on Ocean Acidification (EPOCA); European Community; Helmholtz Centre for Ocean Research Kiel (GEOMAR); Center of Excellence The Future Ocean; NSF(National Science Foundation (NSF)); UK Natural Environment Research Council as part of the Marine Environmental Mapping Programme (MAREMAP); UAB; NOAA(National Oceanic Atmospheric Admin (NOAA) - USA); German BIOACID program (BMBF)(Federal Ministry of Education &amp; Research (BMBF)); Antarctica New Zealand; New Zealand Antarctic Research Institute; Directorate For Geosciences; Division Of Ocean Sciences(National Science Foundation (NSF)NSF - Directorate for Geosciences (GEO));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</si>
  <si>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Supporting data are included as full tables in the SI files; additional data can be obtained from M.L. (email: mlebrato13@gmail.com). Two anonymous referees are acknowledged for their valuable feedback. M.L. and M.D.I.R were supported by the European Project on Ocean Acidification (EPOCA), which received funding from the European Community's Seventh Framework Programme (FP7/2007-2013) under grant agreement 211384. M.L. was also supported by the Helmholtz Centre for Ocean Research Kiel (GEOMAR) and by the Center of Excellence The Future Ocean. In addition to the images provided by the authors' institutions, images were provided by K.L. Smith of the Monterey Bay Aquarium Research Institute. A.J.A was funded by NSF grant OCE 12-55042. D.J. and H.A.R were supported by the UK Natural Environment Research Council as part of the Marine Environmental Mapping Programme (MAREMAP). M.D.L. had logistical support from Antarctica New Zealand. Additional support for work in Antarctica was provided by NSF awards ANT-0838773 to Charles D. Amsler and J.B.M.; ANT-1041022 to J.B.M., C.D.A., and Robert A. Angus. J.B.M. acknowledges the support of an endowed professorship in polar and marine biology provided by UAB. J.B.R. acknowledges support from NOAA awards NA13OAR4310186 and NA14NMF4540072 and NSF awards OCE-1459706, OCE-1437371, and MRI-1429373. W.K. and A.O. were funded by the German BIOACID program (BMBF 03F0655A). M.D.L. had support from Antarctica New Zealand and the New Zealand Antarctic Research Institute. This paper is contribution 143 from the Institute for Research on Global Climate Change at the Florida Institute of Technology and contribution 337 from the Northeastern University Marine Science Center.</t>
  </si>
  <si>
    <t>10.1002/2015GB005260</t>
  </si>
  <si>
    <t>DV0BK</t>
  </si>
  <si>
    <t>WOS:000382582400005</t>
  </si>
  <si>
    <t>Kemeny, PC; Weigand, MA; Zhang, R; Carter, BR; Karsh, KL; Fawcett, SE; Sigman, DM</t>
  </si>
  <si>
    <t>Kemeny, P. C.; Weigand, M. A.; Zhang, R.; Carter, B. R.; Karsh, K. L.; Fawcett, S. E.; Sigman, D. M.</t>
  </si>
  <si>
    <t>Enzyme-level interconversion of nitrate and nitrite in the fall mixed layer of the Antarctic Ocean</t>
  </si>
  <si>
    <t>nitrate; nitrite; interconversion; seasonality; fall; antarctic</t>
  </si>
  <si>
    <t>TROPICAL NORTH PACIFIC; NITROGEN ISOTOPE FRACTIONATION; OXYGEN MINIMUM ZONE; DENITRIFIER METHOD; SOUTHERN-OCEAN; SARGASSO SEA; MARINE-PHYTOPLANKTON; ATMOSPHERIC CO2; AMMONIUM UPTAKE; ORGANIC-MATTER</t>
  </si>
  <si>
    <t>In the Southern Ocean, the nitrogen (N) isotopes of organic matter and the N and oxygen (O) isotopes of nitrate (NO3-) have been used to investigate NO3- assimilation and N cycling in the summertime period of phytoplankton growth, both today and in the past. However, recent studies indicate the significance of processes in other seasons for producing the annual cycle of N isotope changes. This study explores the impact of fall conditions on the N-15/N-14 (N-15) and O-18/O-16 (O-18) of NO3- and nitrite (NO2-) in the Pacific Antarctic Zone using depth profiles from late summer/fall of 2014. In the mixed layer, the N-15 and O-18 of NO3-+NO2- increase roughly equally, as expected for NO3- assimilation; however, the N-15 of NO3--only (measured after NO2- removal) increases more than does NO3--only O-18. Differencing indicates that NO2- has an extremely low N-15, often&lt;-70 versus air. These observations are consistent with the expression of an equilibrium N isotope effect between NO3- and NO2-, likely due to enzymatic NO3--NO2- interconversion. Specifically, we propose reversibility of the nitrite oxidoreductase (NXR) enzyme of nitrite oxidizers that, having been entrained from the subsurface during late summer mixed layer deepening, are inhibited by light. Our interpretation suggests a role for NO3--NO2- interconversion where nitrifiers are transported into environments that discourage NO2- oxidation. This may apply to surface regions with upwelling, such as the summertime Antarctic. It may also apply to oxygen-deficient zones, where NXR-catalyzed interconversion may explain previously reported evidence of NO2- oxidation.</t>
  </si>
  <si>
    <t>[Kemeny, P. C.; Weigand, M. A.; Sigman, D. M.] Princeton Univ, Dept Geosci, Princeton, NJ 08544 USA; [Kemeny, P. C.] CALTECH, Div Geol &amp; Planetary Sci, Pasadena, CA 91125 USA; [Zhang, R.] Xiamen Univ, Coll Ocean &amp; Earth Sci, Xiamen, Peoples R China; [Carter, B. R.] Univ Washington, Joint Inst Study Atmosphere &amp; Ocean, Seattle, WA 98195 USA; [Carter, B. R.] NOAA, Pacific Marine Environm Lab, 7600 Sand Point Way Ne, Seattle, WA 98115 USA; [Karsh, K. L.] Univ Tasmania, Antarctic Climate &amp; Ecosyst Cooperat Res Ctr, Hobart, Tas, Australia; [Fawcett, S. E.] Univ Cape Town, Dept Oceanog, Rondebosch, South Africa</t>
  </si>
  <si>
    <t>Princeton University; California Institute of Technology; Xiamen University; University of Washington; University of Washington Seattle; National Oceanic Atmospheric Admin (NOAA) - USA; Antarctic Climate &amp; Ecosystems Cooperative Research Centre (ACE CRC); University of Tasmania; University of Cape Town</t>
  </si>
  <si>
    <t>Kemeny, PC (corresponding author), Princeton Univ, Dept Geosci, Princeton, NJ 08544 USA.;Kemeny, PC (corresponding author), CALTECH, Div Geol &amp; Planetary Sci, Pasadena, CA 91125 USA.</t>
  </si>
  <si>
    <t>pkemeny@princeton.edu</t>
  </si>
  <si>
    <t>Sigman, Daniel M./IYJ-2613-2023; Carter, Brendan/ABG-9706-2021; Carter, Brendan/AAB-1327-2021; Sigman, Daniel M./A-2649-2008; Zhang, Run/E-3534-2015</t>
  </si>
  <si>
    <t>Sigman, Daniel M./0000-0002-7923-1973; Fawcett, Sarah/0000-0002-0878-6496; Zhang, Run/0000-0002-7143-6077</t>
  </si>
  <si>
    <t>U.S. NSF [OPP-1401489]; Princeton Environmental Institute's Undergraduate Research Fund at Princeton University; Princeton University Department of Geosciences Fund; CSC; University of Cape Town URC fund; Office of Polar Programs (OPP); Directorate For Geosciences [1401489] Funding Source: National Science Foundation</t>
  </si>
  <si>
    <t>U.S. NSF(National Science Foundation (NSF)); Princeton Environmental Institute's Undergraduate Research Fund at Princeton University; Princeton University Department of Geosciences Fund; CSC; University of Cape Town URC fund; Office of Polar Programs (OPP); Directorate For Geosciences(National Science Foundation (NSF)NSF - Directorate for Geosciences (GEO))</t>
  </si>
  <si>
    <t>The stable isotope data presented in this study will be merged into the P16S CCHDO product (http://cchdo.ucsd.edu/cruise/320620140320). This research was funded by the U.S. NSF through grant OPP-1401489 (D.M.S.), by the Princeton Environmental Institute's Undergraduate Research Fund for senior thesis research at Princeton University (P.C.K.), and by the Princeton University Department of Geosciences Fund for senior thesis research (P.C.K.). This is PMEL contribution 4518. R.Z. appreciates the support of the CSC Fellowship, and S.E.F. is grateful to the University of Cape Town URC fund. We thank S. Oleynik, W. Abouchami, and V. Luu for help with isotopic analyses and the captain and crew of the RVIB Nathaniel B. Palmer for a successful voyage.</t>
  </si>
  <si>
    <t>10.1002/2015GB005350</t>
  </si>
  <si>
    <t>WOS:000382582400007</t>
  </si>
  <si>
    <t>Marzloff, MP; Melbourne-Thomas, J; Hamon, KG; Hoshino, E; Jennings, S; van Putten, IE; Pecl, GT</t>
  </si>
  <si>
    <t>Marzloff, Martin Pierre; Melbourne-Thomas, Jessica; Hamon, Katell G.; Hoshino, Eriko; Jennings, Sarah; van Putten, Ingrid E.; Pecl, Gretta T.</t>
  </si>
  <si>
    <t>Modelling marine community responses to climate-driven species redistribution to guide monitoring and adaptive ecosystem-based management</t>
  </si>
  <si>
    <t>climate change; management support tool; qualitative modelling of system feedback; qualitative network models; range shifts; temperate reef; trophic cascade; tropicalisation</t>
  </si>
  <si>
    <t>ABALONE HALIOTIS-RUBRA; COMBINED FATTY-ACID; RANGE SHIFTS; QUALITATIVE-ANALYSIS; KELP BEDS; OCEAN; RESILIENCE; UNCERTAINTY; EXTENSION; ABUNDANCE</t>
  </si>
  <si>
    <t>As a consequence of global climate-driven changes, marine ecosystems are experiencing polewards redistributions of species - or range shifts - across taxa and throughout latitudes worldwide. Research on these range shifts largely focuses on understanding and predicting changes in the distribution of individual species. The ecological effects of marine range shifts on ecosystem structure and functioning, as well as human coastal communities, can be large, yet remain difficult to anticipate and manage. Here, we use qualitative modelling of system feedback to understand the cumulative impacts of multiple species shifts in south-eastern Australia, a global hotspot for ocean warming. We identify range-shifting species that can induce trophic cascades and affect ecosystem dynamics and productivity, and evaluate the potential effectiveness of alternative management interventions to mitigate these impacts. Our results suggest that the negative ecological impacts of multiple simultaneous range shifts generally add up. Thus, implementing whole-of-ecosystem management strategies and regular monitoring of range-shifting species of ecological concern are necessary to effectively intervene against undesirable consequences of marine range shifts at the regional scale. Our study illustrates how modelling system feedback with only limited qualitative information about ecosystem structure and range-shifting species can predict ecological consequences of multiple co-occurring range shifts, guide ecosystem-based adaptation to climate change and help prioritise future research and monitoring.</t>
  </si>
  <si>
    <t>[Marzloff, Martin Pierre; Pecl, Gretta T.] Univ Tasmania, IMAS, Private Bag 129, Hobart, Tas 7001, Australia; [Melbourne-Thomas, Jessica] Australian Antarctic Div, Dept Environm, Kingston, Tas 7005, Australia; [Melbourne-Thomas, Jessica] Antarctic Climate &amp; Ecosyst Cooperat Res Ctr, Private Bag 80, Hobart, Tas 7001, Australia; [Hamon, Katell G.] LEI Wageningen UR, POB 29703, NL-2502 LS The Hague, Netherlands; [Hoshino, Eriko; Jennings, Sarah] Univ Tasmania, Tasmanian Sch Business &amp; Econ, Private Bag 84, Hobart, Tas 7001, Australia; [Hoshino, Eriko; van Putten, Ingrid E.] CSIRO Oceans &amp; Atmosphere, Hobart, Tas 7001, Australia; [Jennings, Sarah; van Putten, Ingrid E.; Pecl, Gretta T.] Univ Tasmania, Ctr Marine Socioecol, Hobart, Tas 7001, Australia</t>
  </si>
  <si>
    <t>University of Tasmania; Australian Antarctic Division; Antarctic Climate &amp; Ecosystems Cooperative Research Centre (ACE CRC); Wageningen University &amp; Research; University of Tasmania; Commonwealth Scientific &amp; Industrial Research Organisation (CSIRO); University of Tasmania</t>
  </si>
  <si>
    <t>Marzloff, MP (corresponding author), Univ Tasmania, IMAS, Private Bag 129, Hobart, Tas 7001, Australia.</t>
  </si>
  <si>
    <t>Martin.Marzloff@utas.edu.au</t>
  </si>
  <si>
    <t>Jennings, Sarah M/J-7888-2014; Pecl, Gretta/D-7267-2011; van putten, ingrid/AAV-1301-2021; Hamon, Katell G/C-7206-2011; Marzloff, Martin/AAY-3833-2020; Melbourne-Thomas, Jess/N-2437-2019; Hoshino, Eriko/N-7557-2013</t>
  </si>
  <si>
    <t>Pecl, Gretta/0000-0003-0192-4339; van putten, ingrid/0000-0001-8397-9768; Marzloff, Martin/0000-0002-8152-4273; Melbourne-Thomas, Jess/0000-0001-6585-876X; Hoshino, Eriko/0000-0001-7110-4251</t>
  </si>
  <si>
    <t>Australian Research Council [FS110200029]; ARC; Australian Research Council [FS110200029] Funding Source: Australian Research Council</t>
  </si>
  <si>
    <t>Australian Research Council(Australian Research Council); ARC(Australian Research Council); Australian Research Council(Australian Research Council)</t>
  </si>
  <si>
    <t>MPM was funded by a 2011 SuperScience Fellowship from the Australian Research Council (project FS110200029). GP was supported by an ARC Future Fellowship. MPM would like to warmly thank Jeff Dambacher for introducing him to some of the qualitative reasoning concepts discussed in this paper. The authors acknowledge the key role of fishers and divers of Tasmania in reporting observations of the out-of-range species to www.redmap.org.au. Final thanks go to an anonymous reviewer and Dr Jon Reum for their constructive and thorough feedback on an earlier version of the manuscript, which considerably improved this paper.</t>
  </si>
  <si>
    <t>10.1111/gcb.13285</t>
  </si>
  <si>
    <t>DP8BD</t>
  </si>
  <si>
    <t>WOS:000378722000015</t>
  </si>
  <si>
    <t>Pütz, K; Rey, AR; Hiriart-Bertrand, L; Simeone, A; Reyes-Arriagada, R; Lüthi, B</t>
  </si>
  <si>
    <t>Puetz, Klemens; Raya Rey, Andrea; Hiriart-Bertrand, Luciano; Simeone, Alejandro; Reyes-Arriagada, Ronnie; Luethi, Benno</t>
  </si>
  <si>
    <t>Post-moult movements of sympatrically breeding Humboldt and Magellanic Penguins in south-central Chile</t>
  </si>
  <si>
    <t>GLOBAL ECOLOGY AND CONSERVATION</t>
  </si>
  <si>
    <t>Seabirds; Pacific Ocean; Migration; Threatened species; Competition; Conservation</t>
  </si>
  <si>
    <t>MIXED-SPECIES COLONY; SPHENISCUS-MAGELLANICUS; SATELLITE TRACKING; WINTER MIGRATION; PROTECTED AREA; CURRENT SYSTEM; SEABIRDS; RANGE; ATTACHMENT; STRATEGIES</t>
  </si>
  <si>
    <t>Ten Humboldt (Spheniscus humboldti) and eight Magellanic Penguins (S. magellanicus) were successfully equipped with satellite transmitters in March 2009 on Islotes Punihuil in central south-Chile to follow their post-moult dispersal. Overall, Humboldt Penguins could be followed for a mean period of 49 +/- 18 days (range: 25-93) and Magellanic Penguins for 57 +/- 12 days (range 35-68). Irrespective of species and sex, seven study birds remained in the vicinity of their breeding ground throughout the transmission period. All other penguins moved northwards, either only a relatively short distance (max 400 km) to Isla Mocha at 38 degrees S (n = 3) or further north beyond 35 degrees S (n = 8). However, eight of these birds (73%) turned south again towards the end of the individual tracking periods. The total area used by both species during the tracking period was restricted to a coastal area stretching from the breeding site at 42 degrees S about 1000 km to the north at about 32 degrees S. The area used by Humboldt penguins overlapped by 95% the area used by Magellanic penguins, whereas the area used by the latter species was much larger and overlapped only by 45% with the area used by Humboldt penguins. Overall, our results indicate that Magellanic Penguins in the Pacific Ocean are probably less migratory than their conspecifics on the Atlantic side, while Humboldt Penguins appear to be more migratory than previously anticipated. In general, there was a poor relationship between preferred foraging areas and chlorophyll-a, as a proxy for primary productivity, indicating the limitations of using remote-sensed primary productivity as a proxy to interpret the foraging behaviour of marine predators. In addition, there was also no clear relationship between the preferred foraging areas and the amount of regional fish catches by artisanal fishery. (C) 2016 The Authors. Published by Elsevier B.V.</t>
  </si>
  <si>
    <t>[Puetz, Klemens] Antarctic Res Trust, Oste Hamme Kanal 10, D-27432 Bremervorde, Germany; [Raya Rey, Andrea] CADIC, Consejo Nacl Invest Cient &amp; Tecn, Bernardo Houssay 200, Ushuaia, Tierra Del Fueg, Argentina; [Raya Rey, Andrea] Univ Nacl Tierra Fuego, Hipolito Yrigoyen 879, Ushuaia 9410, Tierra Del Fueg, Argentina; [Hiriart-Bertrand, Luciano] Costa Humboldt, Gen Salvo 338, Santiago, Chile; [Simeone, Alejandro] Univ Andres Bello, Fac Ecol &amp; Recursos Nat, Dept Ecol &amp; Biodiversidad, Republ 470, Santiago, Chile; [Reyes-Arriagada, Ronnie] Univ Austral Chile, Fac Ciencias, Inst Ciencias Marinas &amp; Limnol, Casilla 567, Valdivia, Chile; [Luethi, Benno] Antarctic Res Trust, Zoo Zurich, Zurichbergstr 221, CH-8044 Zurich, Switzerland</t>
  </si>
  <si>
    <t>Consejo Nacional de Investigaciones Cientificas y Tecnicas (CONICET); Universidad Andres Bello; Universidad Austral de Chile</t>
  </si>
  <si>
    <t>Pütz, K (corresponding author), Antarctic Res Trust, Oste Hamme Kanal 10, D-27432 Bremervorde, Germany.</t>
  </si>
  <si>
    <t>puetz@antarctic-research.de</t>
  </si>
  <si>
    <t>Hiriart-Bertrand, Luciano/0000-0001-8888-4776; Puetz, Klemens/0000-0003-1375-2669; Raya Rey, Andrea/0000-0003-0127-6650</t>
  </si>
  <si>
    <t>2351-9894</t>
  </si>
  <si>
    <t>GLOB ECOL CONSERV</t>
  </si>
  <si>
    <t>Glob. Ecol. Conserv.</t>
  </si>
  <si>
    <t>10.1016/j.gecco.2016.05.001</t>
  </si>
  <si>
    <t>FK1XL</t>
  </si>
  <si>
    <t>WOS:000413276800005</t>
  </si>
  <si>
    <t>Delord, K; Pinet, P; Pinaud, D; Barbraud, C; De Grissac, S; Lewden, A; Cherel, Y; Weimerskirch, H</t>
  </si>
  <si>
    <t>Delord, Karine; Pinet, Patrick; Pinaud, David; Barbraud, Christophe; De Grissac, Sophie; Lewden, Agnes; Cherel, Yves; Weimerskirch, Henri</t>
  </si>
  <si>
    <t>Species-specific foraging strategies and segregation mechanisms of sympatric Antarctic fulmarine petrels throughout the annual cycle</t>
  </si>
  <si>
    <t>IBIS</t>
  </si>
  <si>
    <t>activity; Daption capense; Fulmarus glacialoides; moult; Pagodroma nivea; seabirds; stable isotopes; tracking</t>
  </si>
  <si>
    <t>ACTIVITY PATTERNS; STABLE-ISOTOPES; ADELIE LAND; PROCELLARIA-AEQUINOCTIALIS; INDIVIDUAL VARIATION; POPULATION-DYNAMICS; ROUND DISTRIBUTION; CLIMATE-CHANGE; SEABIRD; PREDATORS</t>
  </si>
  <si>
    <t>Determining the year-round distribution and behaviour of birds is necessary for a better understanding of their ecology and foraging strategies. Petrels form an important component of the high-latitude seabird assemblages in terms of species and individuals. The distribution and foraging ecology of three sympatric fulmarine petrels (Southern Fulmar Fulmarus glacialoides, Cape Petrel Daption capense and Snow Petrel Pagodroma nivea) were studied at Adelie Land, East Antarctica, by combining information from miniaturized saltwater immersion geolocators and stable isotopes from feathers. During the breeding season at a large spatial scale (c.200km), the three species overlapped in their foraging areas located in the vicinity of the colonies but were segregated by their diet and trophic level, as indicated by the different chick N-15 values that increased in the order Cape Petrel</t>
  </si>
  <si>
    <t>[Delord, Karine; Pinet, Patrick; Pinaud, David; Barbraud, Christophe; De Grissac, Sophie; Lewden, Agnes; Cherel, Yves; Weimerskirch, Henri] Univ La Rochelle, CNRS, UMR 7372, Ctr Etud Biol Chize, F-79360 Villiers En Bois, France; [Pinet, Patrick] BeGraX Auto Entreprise, St Denis, Reunion, France; [Lewden, Agnes] Univ Strasbourg, IPHC, 23 Rue Becquerel, F-67087 Strasbourg, France; [Lewden, Agnes] CNRS, UMR7178, F-67087 Strasbourg, France</t>
  </si>
  <si>
    <t>La Rochelle Universite; Centre National de la Recherche Scientifique (CNRS); CNRS - Institute of Ecology &amp; Environment (INEE); Universites de Strasbourg Etablissements Associes; Universite de Strasbourg; Centre National de la Recherche Scientifique (CNRS); CNRS - National Institute of Nuclear and Particle Physics (IN2P3); Universites de Strasbourg Etablissements Associes; Universite de Strasbourg</t>
  </si>
  <si>
    <t>Delord, K (corresponding author), Univ La Rochelle, CNRS, UMR 7372, Ctr Etud Biol Chize, F-79360 Villiers En Bois, France.</t>
  </si>
  <si>
    <t>karine.delord@cebc.cnrs.fr</t>
  </si>
  <si>
    <t>Barbraud, Christophe/A-5870-2012; Pinaud, David/B-6326-2008; Weimerskirch, Henri/K-7306-2019; de Grissac, Sophie/Q-6666-2017; Weimerskirch, Henri/F-5562-2013</t>
  </si>
  <si>
    <t>Barbraud, Christophe/0000-0003-0146-212X; Pinaud, David/0000-0003-0815-9668; Weimerskirch, Henri/0000-0002-0457-586X; Lewden, Agnes/0000-0002-9303-2735</t>
  </si>
  <si>
    <t>French Polar Institute (IPEV) [109]; French Southern Territories administration (TAAF); Prince Albert II de Monaco Foundation</t>
  </si>
  <si>
    <t>French Polar Institute (IPEV); French Southern Territories administration (TAAF); Prince Albert II de Monaco Foundation</t>
  </si>
  <si>
    <t>The authors thank R. Phillips for providing geolocators and fieldworkers who helped with deploying and recovering GLS loggers and collecting feather samples (E. Antoine, M. Kriloff and M Pelle). They acknowledge C. Cotte, C. Eraud, A. Goarant, A. Jaeger, Y. Le Bras and L. Thiers for their help both in developing the spatial functions (RICARD) and in analyses. The authors would also like to thank three anonymous referees, R. Phillips and R. Nager for helpful reviews and constructive suggestions to improve the manuscript. The work was supported financially and logistically by the French Polar Institute (IPEV: programme No. 109), the French Southern Territories administration (TAAF) and by the Prince Albert II de Monaco Foundation. The field study was approved by the IPEV ethics committee.</t>
  </si>
  <si>
    <t>0019-1019</t>
  </si>
  <si>
    <t>1474-919X</t>
  </si>
  <si>
    <t>Ibis</t>
  </si>
  <si>
    <t>10.1111/ibi.12365</t>
  </si>
  <si>
    <t>DP3SP</t>
  </si>
  <si>
    <t>WOS:000378415800009</t>
  </si>
  <si>
    <t>Oliva-Urcia, B; Gil-Peña, I; Maestro, A; López-Martínez, J; Galindo-Zaldívar, J; Soto, R; Gil-Imaz, A; Rey, J; Pueyo, O</t>
  </si>
  <si>
    <t>Oliva-Urcia, B.; Gil-Pena, I.; Maestro, A.; Lopez-Martinez, J.; Galindo-Zaldivar, J.; Soto, R.; Gil-Imaz, A.; Rey, J.; Pueyo, O.</t>
  </si>
  <si>
    <t>Paleomagnetism from Deception Island (South Shetlands archipelago, Antarctica), new insights into the interpretation of the volcanic evolution using a geomagnetic model</t>
  </si>
  <si>
    <t>INTERNATIONAL JOURNAL OF EARTH SCIENCES</t>
  </si>
  <si>
    <t>Paleomagnetic dating; Volcanism; Caldera; Quaternary; Bransfield Strait; Antarctic Peninsula</t>
  </si>
  <si>
    <t>JAMES-ROSS-ISLAND; HOLOCENE GLACIAL HISTORY; BRANSFIELD STRAIT; WEST ANTARCTICA; LIVINGSTON-ISLAND; LAVA FLOWS; TECTONIC EVOLUTION; ACTIVE TECTONICS; PLATE BOUNDARY; CANARY-ISLANDS</t>
  </si>
  <si>
    <t>Deception Island shows the most recent exposed active volcanism in the northern boundary of the Bransfield Trough. The succession of the volcanic sequence in the island is broadly divided into pre- and post-caldera collapse units although a well-constrained chronological identification of the well-defined successive volcanic episodes is still needed. A new paleomagnetic investigation was carried out on 157 samples grouped in 20 sites from the volcanic deposits of Deception Island (South Shetlands archipelago, Antarctic Peninsula region) distributed in: (1) volcanic breccia (3 sites) and lavas (2 sites) prior to the caldera collapse; (2) lavas emplaced after the caldera collapse (10 sites); and (3) dikes cutting pre- and the lowermost post-caldera collapse units (5 sites). The information revealed by paleomagnetism provides new data about the evolution of the multi-episodic volcanic edifice of this Quaternary volcano, suggesting that the present-day position of the volcanic materials is close to their original emplacement position. The new data have been combined with previous paleomagnetic results in order to tentatively propose an age when comparing the paleomagnetic data with a global geomagnetic model. Despite the uncertainties in the use of averaged paleomagnetic data per volcanic units, the new data in combination with tephra occurrences noted elsewhere in the region suggest that the pre-caldera units (F1 and F2) erupted before 12,000 year BC, the caldera collapse took place at about 8300 year BC, and post-caldera units S1 and S2 are younger than 2000 year BC.</t>
  </si>
  <si>
    <t>[Oliva-Urcia, B.; Maestro, A.; Lopez-Martinez, J.] Univ Autonoma Madrid, Fac Ciencias, Dept Geol &amp; Geoquim, E-28049 Madrid, Spain; [Gil-Pena, I.; Maestro, A.] Inst Geol &amp; Minero Espana, Rios Rosas 23, Madrid 28003, Spain; [Galindo-Zaldivar, J.] Univ Granada, Dept Geodinam, E-18071 Granada, Spain; [Galindo-Zaldivar, J.] Inst Andaluz Ciencias Tierra, Granada 18071, Spain; [Soto, R.] Inst Geol &amp; Minero Espana, Unidad Zaragoza, Manuel Lasala 44-9 B, Zaragoza 50006, Spain; [Gil-Imaz, A.; Pueyo, O.] Univ Zaragoza, Dept Geol, Area Geodinam Interna, E-50009 Zaragoza, Spain; [Rey, J.] ESGEMAR, Espacio 4, Malaga 29006, Spain</t>
  </si>
  <si>
    <t>Autonomous University of Madrid; University of Granada; Consejo Superior de Investigaciones Cientificas (CSIC); CSIC - Instituto Andaluz de Ciencias de la Tierra (IACT); University of Zaragoza</t>
  </si>
  <si>
    <t>Oliva-Urcia, B (corresponding author), Univ Autonoma Madrid, Fac Ciencias, Dept Geol &amp; Geoquim, E-28049 Madrid, Spain.</t>
  </si>
  <si>
    <t>belen.oliva@uam.es; i.gil@igme.es; a.maestro@igme.es; jeronimo.lopez@uam.es; jgalindo@ugr.es; r.soto@igme.es; agil@unizar.es; jjrey@esgemar.com</t>
  </si>
  <si>
    <t>Maestro, Adolfo/ABG-7268-2021; Galindo-Zaldivar, Jesus/K-3640-2012; Pueyo Anchuela, Oscar/AAA-9789-2019; Oliva-Urcia, Belén/K-4485-2014; Gil-Peña, Inmaculada/K-5959-2014; Soto, Ruth/ABH-1170-2021; Lopez-Martinez, Jeronimo/C-5744-2011</t>
  </si>
  <si>
    <t>Galindo-Zaldivar, Jesus/0000-0002-3493-2637; Pueyo Anchuela, Oscar/0000-0002-1460-1590; Oliva-Urcia, Belén/0000-0003-1563-6434; Gil-Peña, Inmaculada/0000-0002-2427-2559; Soto, Ruth/0000-0002-1929-8850; Lopez-Martinez, Jeronimo/0000-0002-1750-8287</t>
  </si>
  <si>
    <t>Spanish National RD Plan [CTM2011-13902E, CTM2011-26372, CTM214-57119-R]</t>
  </si>
  <si>
    <t>Spanish National RD Plan(Spanish Government)</t>
  </si>
  <si>
    <t>The authors express their gratitude to the personnel of the Gabriel de Castilla Antarctic station, for the logistic support. This work was supported by the Projects CTM2011-13902E, CTM2011-26372 and CTM214-57119-R of the Spanish National R&amp;D Plan. The authors are also very grateful to the reviewers J.L. Smellie and S. Moreton for their valuable and constructive comments, which helped to improve substantially the manuscript.</t>
  </si>
  <si>
    <t>1437-3254</t>
  </si>
  <si>
    <t>1437-3262</t>
  </si>
  <si>
    <t>INT J EARTH SCI</t>
  </si>
  <si>
    <t>Int. J. Earth Sci.</t>
  </si>
  <si>
    <t>10.1007/s00531-015-1254-3</t>
  </si>
  <si>
    <t>DQ2IL</t>
  </si>
  <si>
    <t>WOS:000379025900004</t>
  </si>
  <si>
    <t>Kato, N</t>
  </si>
  <si>
    <t>Kato, Nanako</t>
  </si>
  <si>
    <t>Experiences in Antarctic Station as Extraordinary</t>
  </si>
  <si>
    <t>INTERNATIONAL JOURNAL OF PSYCHOLOGY</t>
  </si>
  <si>
    <t>[Kato, Nanako] Nara Womens Univ, Nara, Japan</t>
  </si>
  <si>
    <t>Nara Womens University</t>
  </si>
  <si>
    <t>ROUTLEDGE JOURNALS, TAYLOR &amp; FRANCIS LTD</t>
  </si>
  <si>
    <t>2-4 PARK SQUARE, MILTON PARK, ABINGDON OX14 4RN, OXON, ENGLAND</t>
  </si>
  <si>
    <t>0020-7594</t>
  </si>
  <si>
    <t>1464-066X</t>
  </si>
  <si>
    <t>INT J PSYCHOL</t>
  </si>
  <si>
    <t>Int. J. Psychol.</t>
  </si>
  <si>
    <t>Psychology, Multidisciplinary</t>
  </si>
  <si>
    <t>Psychology</t>
  </si>
  <si>
    <t>FK7XH</t>
  </si>
  <si>
    <t>WOS:000413720401085</t>
  </si>
  <si>
    <t>Kuwabara, T</t>
  </si>
  <si>
    <t>Kuwabara, Tomoko</t>
  </si>
  <si>
    <t>Psychological approach to the members in Antarctic station as closed environment and the re-adaptation to the Japanese life</t>
  </si>
  <si>
    <t>[Kuwabara, Tomoko] Kyoto Univ, Kyoto, Japan</t>
  </si>
  <si>
    <t>Kyoto University</t>
  </si>
  <si>
    <t>TS011</t>
  </si>
  <si>
    <t>WOS:000413720401083</t>
  </si>
  <si>
    <t>Sasaki, R</t>
  </si>
  <si>
    <t>Sasaki, Relit</t>
  </si>
  <si>
    <t>Psychology of Antarctic expedition members through drawings</t>
  </si>
  <si>
    <t>[Sasaki, Relit] Kyushu Univ, Fukuoka, Japan</t>
  </si>
  <si>
    <t>Kyushu University</t>
  </si>
  <si>
    <t>WOS:000413720401086</t>
  </si>
  <si>
    <t>Goordial, J; Davila, A; Lacelle, D; Pollard, W; Marinova, MM; Greer, CW; DiRuggiero, J; McKay, CP; Whyte, LG</t>
  </si>
  <si>
    <t>Goordial, Jacqueline; Davila, Alfonso; Lacelle, Denis; Pollard, Wayne; Marinova, Margarita M.; Greer, Charles W.; DiRuggiero, Jocelyn; McKay, Christopher P.; Whyte, Lyle G.</t>
  </si>
  <si>
    <t>Nearing the cold-arid limits of microbial life in permafrost of an upper dry valley, Antarctica</t>
  </si>
  <si>
    <t>DIVERSITY; ANALOG; SOILS; ICE; PRODUCTIVITY; BACTERIA; SUBZERO; DESERT; FUNGI; SETS</t>
  </si>
  <si>
    <t>Some of the coldest and driest permafrost soils on Earth are located in the high-elevation McMurdo Dry Valleys (MDVs) of Antarctica, but little is known about the permafrost microbial communities other than that microorganisms are present in these valleys. Here, we describe the microbiology and habitable conditions of highly unique dry and ice-cemented permafrost in University Valley, one of the coldest and driest regions in the MDVs (1700 m above sea level; mean temperature -23 degrees C; no degree days above freezing), where the ice in permafrost originates from vapour deposition rather than liquid water. We found that culturable and total microbial biomass in University Valley was extremely low, and microbial activity under ambient conditions was undetectable. Our results contrast with reports from the lower-elevation Dry Valleys and Arctic permafrost soils where active microbial populations are found, suggesting that the combination of severe cold, aridity, oligotrophy of University Valley permafrost soils severely limit microbial activity and survival.</t>
  </si>
  <si>
    <t>[Goordial, Jacqueline; Whyte, Lyle G.] McGill Univ, Dept Nat Resource Sci, Macdonald Campus, Ste Anne De Bellevue, PQ H9X 3V9, Canada; [Davila, Alfonso; Marinova, Margarita M.; McKay, Christopher P.] NASA, Ames Res Ctr, Moffett Field, CA 94035 USA; [Lacelle, Denis] Univ Ottawa, Dept Geog, Ottawa, ON K1N 6N5, Canada; [Pollard, Wayne] McGill Univ, Dept Geog, Montreal, PQ, Canada; [Greer, Charles W.] Natl Res Council Canada, Montreal, PQ, Canada; [DiRuggiero, Jocelyn] Johns Hopkins Univ, Dept Biol, Baltimore, MD 21218 USA</t>
  </si>
  <si>
    <t>McGill University; National Aeronautics &amp; Space Administration (NASA); NASA Ames Research Center; University of Ottawa; McGill University; National Research Council Canada; Johns Hopkins University</t>
  </si>
  <si>
    <t>Goordial, J (corresponding author), McGill Univ, Dept Nat Resource Sci, Macdonald Campus,21111 Lakeshore Rd, Ste Anne De Bellevue, PQ H9X 3V9, Canada.</t>
  </si>
  <si>
    <t>jacqueline.goordial@mail.mcgill.ca</t>
  </si>
  <si>
    <t>Davila, Alfonso/A-2198-2013</t>
  </si>
  <si>
    <t>Davila, Alfonso/0000-0002-0977-9909; McKay, Christopher/0000-0002-6243-1362; Goordial, Jacqueline/0000-0001-5005-673X; Lacelle, Denis/0000-0002-6691-8717</t>
  </si>
  <si>
    <t>NASA ASTEP program; Natural Sciences and Engineering Research Council (NSERC) Discovery Grant Program; NSERC Northern Supplements Program; NSERC CREATE Canadian Astrobiology Training Program (CATP); [B-302-M]; [PRJNA240343]</t>
  </si>
  <si>
    <t>NASA ASTEP program(National Aeronautics &amp; Space Administration (NASA)); Natural Sciences and Engineering Research Council (NSERC) Discovery Grant Program(Natural Sciences and Engineering Research Council of Canada (NSERC)); NSERC Northern Supplements Program(Natural Sciences and Engineering Research Council of Canada (NSERC)); NSERC CREATE Canadian Astrobiology Training Program (CATP)(Natural Sciences and Engineering Research Council of Canada (NSERC)); ;</t>
  </si>
  <si>
    <t>This work was supported by NASA ASTEP program and with field support via NSF/OPP (project B-302-M). Support was provided by the Natural Sciences and Engineering Research Council (NSERC) Discovery Grant Program, NSERC Northern Supplements Program and NSERC CREATE Canadian Astrobiology Training Program (CATP). We thank Jon Rask at NASA Ames for providing the permafrost and active layer samples from the Marambio Antarctic site. We thank the Whalen laboratory, McGill University for soil analyses. Pyrosequencing data sets have been deposited in the NCBI Sequence Read Archive (SRA) under project PRJNA240343.</t>
  </si>
  <si>
    <t>10.1038/ismej.2015.239</t>
  </si>
  <si>
    <t>DP2BC</t>
  </si>
  <si>
    <t>WOS:000378292100007</t>
  </si>
  <si>
    <t>Boyer, T; Domingues, CM; Good, SA; Johnson, GC; Lyman, JM; Ishii, M; Gouretski, V; Willis, JK; Antonov, J; Wijffels, S; Church, JA; Cowley, R; Bindoff, NL</t>
  </si>
  <si>
    <t>Boyer, Tim; Domingues, Catia M.; Good, Simon A.; Johnson, Gregory C.; Lyman, John M.; Ishii, Masayoshi; Gouretski, Viktor; Willis, Josh K.; Antonov, John; Wijffels, Susan; Church, John A.; Cowley, Rebecca; Bindoff, Nathaniel L.</t>
  </si>
  <si>
    <t>Sensitivity of Global Upper-Ocean Heat Content Estimates to Mapping Methods, XBT Bias Corrections, and Baseline Climatologies</t>
  </si>
  <si>
    <t>SEA-SURFACE TEMPERATURE; SUBSURFACE TEMPERATURE; EXPENDABLE BATHYTHERMOGRAPHS; VARIABILITY; PRESSURE; SYSTEM; IMPACT; ARGO</t>
  </si>
  <si>
    <t>Ocean warming accounts for the majority of the earth's recent energy imbalance. Historic ocean heat content (OHC) changes are important for understanding changing climate. Calculations of OHC anomalies (OHCA) from in situ measurements provide estimates of these changes. Uncertainties in OHCA estimates arise from calculating global fields from temporally and spatially irregular data (mapping method), instrument bias corrections, and the definitions of a baseline climatology from which anomalies are calculated. To investigate sensitivity of OHCA estimates for the upper 700 m to these different factors, the same quality-controlled dataset is used by seven groups and comparisons are made. Two time periods (1970-2008 and 1993-2008) are examined. Uncertainty due to the mapping method is 16.5 ZJ for 1970-2008 and 17.1 ZJ for 1993-2008 (1 ZJ = 1 x 10(21) J). Uncertainty due to instrument bias correction varied from 8.0 to 17.9 ZJ for 1970-2008 and from 10.9 to 22.4 ZJ for 1993-2008, depending on mapping method. Uncertainty due to baseline mean varied from 3.5 to 14.5 ZJ for 1970-2008 and from 2.7 to 9.8 ZJ for 1993-2008, depending on mapping method and offsets. On average mapping method is the largest source of uncertainty. The linear trend varied from 1.3 to 5.0 ZJ yr(-1) (0.08-0.31 Wm(-2)) for 1970-2008 and from 1.5 to 9.4 ZJ yr(-1) (0.09-0.58 Wm(-2)) for 1993-2008, depending on method, instrument bias correction, and baseline mean. Despite these complications, a statistically robust upper-ocean warming was found in all cases for the full time period.</t>
  </si>
  <si>
    <t>[Boyer, Tim] NOAA, Natl Ctr Environm Informat, Silver Spring, MD USA; [Domingues, Catia M.; Bindoff, Nathaniel L.] Univ Tasmania, Inst Marine &amp; Antarctic Studies, Hobart, Tas, Australia; [Domingues, Catia M.; Bindoff, Nathaniel L.] Antarctic Climate &amp; Ecosyst Cooperat Res Inst, Hobart, Tas, Australia; [Domingues, Catia M.; Bindoff, Nathaniel L.] Australian Res Council, Ctr Excellence Climate Syst Sci, Hobart, Tas, Australia; [Good, Simon A.] Met Off, Exeter, Devon, England; [Johnson, Gregory C.; Lyman, John M.] NOAA, Pacific Marine Environm Lab, 7600 Sand Point Way Ne, Seattle, WA 98115 USA; [Lyman, John M.] Univ Hawaii Manoa, Joint Inst Marine &amp; Atmospher Res, Honolulu, HI 96822 USA; [Ishii, Masayoshi] Japan Meteorol Agcy, Meteorol Res Inst, Tsukuba, Ibaraki, Japan; [Gouretski, Viktor] Univ Hamburg, Ctr Earth Syst Res &amp; Sustainabil, CliSAP, Integrated Climate Data Ctr, Hamburg, Germany; [Willis, Josh K.] CALTECH, Jet Prop Lab, Pasadena, CA USA; [Church, John A.] Univ Corp Atmospheric Res, Boulder, CO USA; [Wijffels, Susan; Church, John A.; Cowley, Rebecca; Bindoff, Nathaniel L.] CSIRO, Hobart, Tas, Australia</t>
  </si>
  <si>
    <t>National Oceanic Atmospheric Admin (NOAA) - USA; University of Tasmania; Met Office - UK; National Oceanic Atmospheric Admin (NOAA) - USA; University of Hawaii System; University of Hawaii Manoa; Japan Meteorological Agency; Meteorological Research Institute - Japan; University of Hamburg; California Institute of Technology; National Aeronautics &amp; Space Administration (NASA); NASA Jet Propulsion Laboratory (JPL); National Center Atmospheric Research (NCAR) - USA; Commonwealth Scientific &amp; Industrial Research Organisation (CSIRO)</t>
  </si>
  <si>
    <t>Boyer, T (corresponding author), Natl Ctr Environm Informat, Ocean Climate Lab, 1315 East West Highway, Silver Spring, MD 20910 USA.</t>
  </si>
  <si>
    <t>tim.boyer@noaa.gov</t>
  </si>
  <si>
    <t>Bindoff, Nathaniel Lee/C-8050-2011; Cowley, Rebecca/E-4258-2013; Willis, Josh/AGY-7817-2022; Domingues, Catia M./A-2901-2015; Bindoff, Nathaniel Lee/IVV-0333-2023; Church, John A/A-1541-2012; Wijffels, Susan E/I-8215-2012; Johnson, Gregory C/I-6559-2012; Cowley, Rebecca/ABB-7811-2021</t>
  </si>
  <si>
    <t>Bindoff, Nathaniel Lee/0000-0001-5662-9519; Cowley, Rebecca/0000-0001-8541-3573; Domingues, Catia M./0000-0001-5100-4595; Bindoff, Nathaniel Lee/0000-0001-5662-9519; Church, John A/0000-0002-7037-8194; Johnson, Gregory C/0000-0002-8023-4020; Cowley, Rebecca/0000-0001-8541-3573; Lyman, John/0000-0002-7200-4663; Wijffels, Susan/0000-0002-4717-0811</t>
  </si>
  <si>
    <t>Climate Observations and Monitoring Program, National Oceanic and Atmospheric Administration, U.S. Department of Commerce; Joint UK DECC/Defra Met Office Hadley Centre Climate Programme [GA01101]; Australian Government's Business Cooperative Research Centres Programme through the Antarctic Climate and Ecosystems Cooperative Research Centre (ACE CRC); Australian Research Council [FT130101532]; National Aeronautics and Space Administration; NOAA Research; NOAA Ocean Climate Observations Program; Australian Research Council [FT130101532] Funding Source: Australian Research Council</t>
  </si>
  <si>
    <t>Climate Observations and Monitoring Program, National Oceanic and Atmospheric Administration, U.S. Department of Commerce(National Oceanic Atmospheric Admin (NOAA) - USA); Joint UK DECC/Defra Met Office Hadley Centre Climate Programme; Australian Government's Business Cooperative Research Centres Programme through the Antarctic Climate and Ecosystems Cooperative Research Centre (ACE CRC)(Australian GovernmentDepartment of Industry, Innovation and ScienceCooperative Research Centres (CRC) Programme); Australian Research Council(Australian Research Council); National Aeronautics and Space Administration(National Aeronautics &amp; Space Administration (NASA)); NOAA Research(National Oceanic Atmospheric Admin (NOAA) - USA); NOAA Ocean Climate Observations Program(National Oceanic Atmospheric Admin (NOAA) - USA); Australian Research Council(Australian Research Council)</t>
  </si>
  <si>
    <t>TB was funded by the Climate Observations and Monitoring Program, National Oceanic and Atmospheric Administration, U.S. Department of Commerce. SG was supported by the Joint UK DECC/Defra Met Office Hadley Centre Climate Programme (GA01101). CMD was initially supported by the Australian Government's Business Cooperative Research Centres Programme through the Antarctic Climate and Ecosystems Cooperative Research Centre (ACE CRC) and subsequently by an Australian Research Council Future Fellowship (FT130101532). The research described in this paper was carried out in part at the Jet Propulsion Laboratory, California Institute of Technology, under a contract with the National Aeronautics and Space Administration. GCJ and JML were supported by NOAA Research and the NOAA Ocean Climate Observations Program. The views expressed herein are those of the authors and do not necessarily reflect the views of NOAA. Data used herein are available upon request.</t>
  </si>
  <si>
    <t>10.1175/JCLI-D-15-0801.1</t>
  </si>
  <si>
    <t>DO9GB</t>
  </si>
  <si>
    <t>WOS:000378091900008</t>
  </si>
  <si>
    <t>Randel, WJ; Smith, AK; Wu, F; Zou, CZ; Qian, HF</t>
  </si>
  <si>
    <t>Randel, William J.; Smith, Anne K.; Wu, Fei; Zou, Cheng-Zhi; Qian, Haifeng</t>
  </si>
  <si>
    <t>Stratospheric Temperature Trends over 1979-2015 Derived from Combined SSU, MLS, and SABER Satellite Observations</t>
  </si>
  <si>
    <t>VOLCANIC-ERUPTIONS; VERTICAL-DISTRIBUTION; SAGE II; OZONE; RECORDS; PROFILE</t>
  </si>
  <si>
    <t>Temperature trends in the middle and upper stratosphere are evaluated using measurements from the Stratospheric Sounding Unit (SSU), combined with data from the Aura Microwave Limb Sounder (MLS) and Sounding of the Atmosphere Using Broadband Emission Radiometry (SABER) instruments. Data from MLS and SABER are vertically integrated to approximate the SSU weighting functions and combined with SSU to provide a data record spanning 1979-2015. Vertical integrals are calculated using empirically derived Gaussian weighting functions, which provide improved agreement with high-latitude SSU measurements compared to previously derived weighting functions. These merged SSU data are used to evaluate decadal-scale trends, solar cycle variations, and volcanic effects from the lower to the upper stratosphere. Episodic warming is observed following the volcanic eruptions of El Chichon (1982) and Mt. Pinatubo (1991), focused in the tropics in the lower stratosphere and in high latitudes in the middle and upper stratosphere. Solar cycle variations are centered in the tropics, increasing in amplitude from the lower to the upper stratosphere. Linear trends over 1979-2015 show that cooling increases with altitude from the lower stratosphere (from similar to-0.1 to -0.2 K decade (1)) to the middle and upper stratosphere (from; similar to-0.5 to -0.6 K decade (1)). Cooling in the middle and upper stratosphere is relatively uniform in latitudes north of about 30 degrees S, but trends decrease to near zero over the Antarctic. Mid-and upper-stratospheric temperatures show larger cooling over the first half of the data record (1979-97) compared to the second half (1998-2015), reflecting differences in upper-stratospheric ozone trends between these periods.</t>
  </si>
  <si>
    <t>[Randel, William J.; Smith, Anne K.; Wu, Fei] Natl Ctr Atmospher Res, 3450 Mitchell Lane, Boulder, CO 80301 USA; [Zou, Cheng-Zhi] NOAA, Ctr Satellite Applicat &amp; Res, NESDIS, College Pk, MD USA; [Qian, Haifeng] Earth Resource Technol Inc, Laurel, MD USA</t>
  </si>
  <si>
    <t>National Center Atmospheric Research (NCAR) - USA; National Oceanic Atmospheric Admin (NOAA) - USA; Earth Resources Technology Inc</t>
  </si>
  <si>
    <t>Randel, WJ (corresponding author), Natl Ctr Atmospher Res, 3450 Mitchell Lane, Boulder, CO 80301 USA.</t>
  </si>
  <si>
    <t>randel@ucar.edu</t>
  </si>
  <si>
    <t>Qian, Haifeng/F-1987-2011; Randel, William J/K-3267-2016; Zou, Cheng-Zhi/E-3085-2010</t>
  </si>
  <si>
    <t>Zou, Cheng-Zhi/0000-0003-4124-6448; Smith, Anne/0000-0003-2384-5033</t>
  </si>
  <si>
    <t>NASA Aura Science Program</t>
  </si>
  <si>
    <t>We thank Dian Seidel and Dave Thompson for numerous discussions on stratospheric temperature trends and satellite datasets and Rolando Garcia for comments on the manuscript. Mijeong Park helped provide access to the monthly mean MLS data and produced Fig. 13. Comments from anonymous reviewers led to substantial improvements in the manuscript. This work was partially supported under the NASA Aura Science Program. The views, opinions, and findings contained in this report are those of the authors and should not be construed as an official National Oceanic and Atmospheric Administration or U.S. government position, policy, or decision.</t>
  </si>
  <si>
    <t>10.1175/JCLI-D-15-0629.1</t>
  </si>
  <si>
    <t>WOS:000378091900009</t>
  </si>
  <si>
    <t>Holland, PR; Kimura, N</t>
  </si>
  <si>
    <t>Holland, Paul R.; Kimura, Noriaki</t>
  </si>
  <si>
    <t>Observed Concentration Budgets of Arctic and Antarctic Sea Ice</t>
  </si>
  <si>
    <t>CLIMATE MODELS; TRENDS; DRIFT; VARIABILITY; THICKNESS; EXTENT</t>
  </si>
  <si>
    <t>In recent decades, Antarctic sea ice has expanded slightly while Arctic sea ice has contracted dramatically. The anthropogenic contribution to these changes cannot be fully assessed unless climate models are able to reproduce them. Process-based evaluation is needed to provide a clear view of the capabilities and limitations of such models. In this study, ice concentration and drift derived from AMSR-E data during 2003-10 are combined to derive a climatology of the ice concentration budget at both poles. This enables an observational decomposition of the seasonal dynamic and thermodynamic changes in ice cover. In both hemispheres, the results show spring ice loss dominated by ice melting. In other seasons ice divergence maintains freezing in the inner pack while advection causes melting at the ice edge, as ice is transported beyond the region where it is thermodynamically sustainable. Mechanical redistribution provides an important sink of ice concentration in the central Arctic and around the Antarctic coastline. This insight builds upon existing understanding of the sea ice cycle gained from ice and climate models, and the datasets may provide a valuable tool in validating such models in the future.</t>
  </si>
  <si>
    <t>[Holland, Paul R.] British Antarctic Survey, Madingley Rd, Cambridge CB3 0ET, England; [Kimura, Noriaki] Univ Tokyo, Atmosphere &amp; Ocean Res Inst, Tokyo, Japan</t>
  </si>
  <si>
    <t>UK Research &amp; Innovation (UKRI); Natural Environment Research Council (NERC); NERC British Antarctic Survey; University of Tokyo</t>
  </si>
  <si>
    <t>Holland, PR (corresponding author), British Antarctic Survey, Madingley Rd, Cambridge CB3 0ET, England.</t>
  </si>
  <si>
    <t>p.holland@bas.ac.uk</t>
  </si>
  <si>
    <t>Holland, Paul R/G-2796-2012</t>
  </si>
  <si>
    <t>10.1175/JCLI-D-16-0121.1</t>
  </si>
  <si>
    <t>DQ4YD</t>
  </si>
  <si>
    <t>WOS:000379209800011</t>
  </si>
  <si>
    <t>Wang, YT; Ding, MH; van Wessem, JM; Schlosser, E; Altnau, S; van den Broeke, MR; Lenaerts, JTM; Thomas, ER; Isaksson, E; Wang, JH; Sun, WJ</t>
  </si>
  <si>
    <t>Wang, Yetang; Ding, Minghu; van Wessem, J. M.; Schlosser, E.; Altnau, S.; van den Broeke, Michiel R.; Lenaerts, Jan T. M.; Thomas, Elizabeth R.; Isaksson, Elisabeth; Wang, Jianhui; Sun, Weijun</t>
  </si>
  <si>
    <t>A Comparison of Antarctic Ice Sheet Surface Mass Balance from Atmospheric Climate Models and In Situ Observations</t>
  </si>
  <si>
    <t>SHALLOW FIRN CORES; DRONNING MAUD-LAND; EAST ANTARCTICA; SNOW ACCUMULATION; WEST ANTARCTICA; SPATIAL VARIABILITY; ISOTOPE RATIOS; VOSTOK STATION; POLAR MM5; SEA-LEVEL</t>
  </si>
  <si>
    <t>In this study, 3265 multiyear averaged in situ observations and 29 observational records at annual time scale are used to examine the performance of recent reanalysis and regional atmospheric climate model products [ ERA-Interim, JRA-55, MERRA, the Polar version of MM5 (PMM5), RACMO2.1, and RACMO2.3] for their spatial and interannual variability of Antarctic surface mass balance (SMB), respectively. Simulated precipitation seasonality is also evaluated using three in situ observations and model intercomparison. All products qualitatively capture the macroscale spatial variability of observed SMB, but it is not possible to rank their relative performance because of the sparse observations at coastal regions with an elevation range from 200 to 1000 m. In terms of the absolute amount of observed snow accumulation in interior Antarctica, RACMO2.3 fits best, while the other models either underestimate (JRA-55, MERRA, ERA-Interim, and RACMO2.1) or overestimate (PMM5) the accumulation. Despite underestimated precipitation by the three reanalyses and RACMO2.1, this feature is clearly improved in JRA-55. However, because of changes in the observing system, especially the dramatically increased satellite observations for data assimilation, JRA-55 presents a marked jump in snow accumulation around 1979 and a large increase after the late 1990s. Although precipitation seasonality over the whole ice sheet is common for all products, ERA-Interim provides an unrealistic estimate of precipitation seasonality on the East Antarctic plateau, with high precipitation strongly peaking in summer. ERA-Interim shows a significant correlation with interannual variability of observed snow accumulation measurements at 28 of 29 locations, whereas fewer than 20 site observations significantly correlate with simulations by the other models. This suggests that ERA-Interim exhibits the highest performance of interannual variability in the observed precipitation.</t>
  </si>
  <si>
    <t>[Wang, Yetang; Sun, Weijun] Shandong Normal Univ, Coll Geog &amp; Environm, Wenhua Dong Rd 88, Jinan 250014, Peoples R China; [Ding, Minghu] Chinese Acad Meteorol Sci, Inst Climate Syst, Beijing, Peoples R China; [van Wessem, J. M.; van den Broeke, Michiel R.; Lenaerts, Jan T. M.] Univ Utrecht, Inst Marine &amp; Atmospher Res Utrecht, Utrecht, Netherlands; [Schlosser, E.; Altnau, S.] Univ Innsbruck, Inst Atmospher &amp; Cryospher Sci, Innsbruck, Austria; [Schlosser, E.] Austrian Polar Res Inst, Vienna, Austria; [Altnau, S.] German Weather Serv, Offenbach, Germany; [Thomas, Elizabeth R.] British Antarctic Survey, Cambridge, England; [Isaksson, Elisabeth] Norwegian Polar Res Inst, Fram Ctr, Tromso, Norway; [Wang, Jianhui] Yale Univ, Dept Pathol, New Haven, CT USA</t>
  </si>
  <si>
    <t>Shandong Normal University; China Meteorological Administration; Chinese Academy of Meteorological Sciences (CAMS); Utrecht University; University of Innsbruck; Deutscher Wetterdienst; UK Research &amp; Innovation (UKRI); Natural Environment Research Council (NERC); NERC British Antarctic Survey; Norwegian Polar Institute; Yale University</t>
  </si>
  <si>
    <t>Wang, YT (corresponding author), Shandong Normal Univ, Coll Geog &amp; Environm, Wenhua Dong Rd 88, Jinan 250014, Peoples R China.</t>
  </si>
  <si>
    <t>wangyetang@163.com</t>
  </si>
  <si>
    <t>Ding, Minghu/AFU-3600-2022; Wang, Jianhui/JCD-6141-2023; Lenaerts, Jan/D-9423-2012; Thomas, Elizabeth Ruth/ADF-3660-2022; sun, weijun/GZB-2595-2022; Van den Broeke, Michiel R./F-7867-2011; van Wessem, Melchior/AAB-1987-2019</t>
  </si>
  <si>
    <t>Ding, Minghu/0000-0002-1142-6598; Lenaerts, Jan/0000-0003-4309-4011; Thomas, Elizabeth Ruth/0000-0002-3010-6493; Van den Broeke, Michiel R./0000-0003-4662-7565; van Wessem, Melchior/0000-0003-3221-791X</t>
  </si>
  <si>
    <t>Natural Science Foundation of China [41576182]; National Key Basic Research Program of China [2013CBA01804]; State Oceanic Administration [CHINARE2012-02-02]; Scientific Research Foundation for the introduction of talent by Shandong Normal University; Polar Program of the Netherlands Organization for Scientific Research (NWO); Netherlands Earth System Science Center (NESSC); Austrian Science Fund (FWF) [P 24223] Funding Source: researchfish; Natural Environment Research Council [bas0100034, NE/J020710/1] Funding Source: researchfish; NERC [NE/J020710/1, bas0100034] Funding Source: UKRI</t>
  </si>
  <si>
    <t>Natural Science Foundation of China(National Natural Science Foundation of China (NSFC)); National Key Basic Research Program of China(National Basic Research Program of China); State Oceanic Administration; Scientific Research Foundation for the introduction of talent by Shandong Normal University; Polar Program of the Netherlands Organization for Scientific Research (NWO)(Netherlands Organization for Scientific Research (NWO)); Netherlands Earth System Science Center (NESSC); Austrian Science Fund (FWF)(Austrian Science Fund (FWF)); Natural Environment Research Council(UK Research &amp; Innovation (UKRI)Natural Environment Research Council (NERC)); NERC(UK Research &amp; Innovation (UKRI)Natural Environment Research Council (NERC))</t>
  </si>
  <si>
    <t>We thank the three reviewers for their helpful comments and advice to improve this paper. This work was funded by the Natural Science Foundation of China (41576182), the National Key Basic Research Program of China (2013CBA01804), the State Oceanic Administration (CHINARE2012-02-02), the Scientific Research Foundation for the introduction of talent by Shandong Normal University, and the Polar Program of the Netherlands Organization for Scientific Research (NWO) and the Netherlands Earth System Science Center (NESSC).</t>
  </si>
  <si>
    <t>10.1175/JCLI-D-15-0642.1</t>
  </si>
  <si>
    <t>Green Submitted, hybrid, Green Accepted</t>
  </si>
  <si>
    <t>WOS:000379209800016</t>
  </si>
  <si>
    <t>Williams, SDP; Woodworth, PL; Hunter, JR</t>
  </si>
  <si>
    <t>Williams, S. D. P.; Woodworth, P. L.; Hunter, J. R.</t>
  </si>
  <si>
    <t>Commentary on 'Coastal Planning Should Be Based on Proven Sea Level Data' by A. Parker and CD Ollier (Ocean &amp; Coastal Management, 124, 1-9, 2016)</t>
  </si>
  <si>
    <t>Sea-level changes; tide gauge records; vertical land movements; satellite altimetry</t>
  </si>
  <si>
    <t>TREND ANALYSIS; RISE</t>
  </si>
  <si>
    <t>A recent paper by A. Parker and C.D. Ollier (Ocean &amp; Coastal Management, 124, 1-9, 2016), concerned with the use of 'proven' sea-level data for coastal planning, contained a number of incorrect or misleading statements about sea-level data sets and measurement methods. In this commentary, we address aspects of sea-level records that could have been misunderstood by readers of that paper. While we agree with the main point made by the authors, that the best possible sea-level data are required by coastal planners, we suggest that planners should base their work on wider and better informed sources of sea-level information.</t>
  </si>
  <si>
    <t>[Williams, S. D. P.; Woodworth, P. L.] Natl Oceanog Ctr, Joseph Proudman Bldg, Liverpool L3 5DA, Merseyside, England; [Hunter, J. R.] Antarctic Climate &amp; Ecosyst Cooperat Res Ctr, Hobart, Tas 7001, Australia</t>
  </si>
  <si>
    <t>NERC National Oceanography Centre; Antarctic Climate &amp; Ecosystems Cooperative Research Centre (ACE CRC)</t>
  </si>
  <si>
    <t>Woodworth, PL (corresponding author), Natl Oceanog Ctr, Joseph Proudman Bldg, Liverpool L3 5DA, Merseyside, England.</t>
  </si>
  <si>
    <t>plw@noc.ac.uk</t>
  </si>
  <si>
    <t>Williams, Simon/C-7214-2011</t>
  </si>
  <si>
    <t>Williams, Simon/0000-0003-4123-4973; Woodworth, Philip/0000-0002-6681-239X</t>
  </si>
  <si>
    <t>Natural Environment Research Council [noc010012] Funding Source: researchfish</t>
  </si>
  <si>
    <t>10.2112/JCOASTRES-D-16A-00005.1</t>
  </si>
  <si>
    <t>WOS:000380832400025</t>
  </si>
  <si>
    <t>Leeman, JR; Valdez, RD; Alley, RB; Anandakrishnan, S; Saffer, DM</t>
  </si>
  <si>
    <t>Leeman, J. R.; Valdez, R. D.; Alley, R. B.; Anandakrishnan, S.; Saffer, D. M.</t>
  </si>
  <si>
    <t>Mechanical and hydrologic properties of Whillans Ice Stream till: Implications for basal strength and stick-slip failure</t>
  </si>
  <si>
    <t>ice stream; till; basal strength; effective medium</t>
  </si>
  <si>
    <t>WEST ANTARCTICA; SUBGLACIAL GEOLOGY; MARINE-SEDIMENTS; RING-SHEAR; BENEATH; GLACIER; MOTION; FLOW; DEFORMATION; DYNAMICS</t>
  </si>
  <si>
    <t>Ice streams transport large volumes of inland ice to the ocean and play a key role in the mass balance of the Antarctic ice sheet. The rate and style of ice stream basal slip are governed, in part, by the underlying till whose physical properties are poorly constrained. To address this problem, we conducted a suite of laboratory measurements to document the permeability, stiffness, consolidation behavior, and compressional wave speeds of Whillans Ice Stream till samples. We investigated the effects of stepped and cyclic loading on the evolution of the till. Initial permeabilities were 3.8-4.9x10(-17)m(2) (porosities 28.1-31.8%), which decreased to 2.0x10(-19)m(2) (20.4%) at 10MPa effective stress. P wave velocities span from 2.26 to 3km/s over this effective stress range and are well described by an effective medium model. The laboratory measurements were used to parameterize a 1-D numerical model to predict the till's response to stress perturbations. Perturbations corresponding to tidal periods produce a drained and strengthened layer tens of centimeter thick. For perturbations over time scales of weeks to months, as expected for till motion over basement features, the drained zone is a few meters thick. This strong layer can become brittle upon unloading and may facilitate observed stick-slip motion. Extrapolation of our effective medium model suggests that low basal effective stresses, on the order of a few tens of kPa, are needed to produce seismic velocities observed in the field (V-p similar to 1750m/s; V-s similar to 160m/s) and provides an approach to quantify and monitor in situ conditions.</t>
  </si>
  <si>
    <t>[Leeman, J. R.; Valdez, R. D.; Alley, R. B.; Anandakrishnan, S.; Saffer, D. M.] Penn State, Dept Geosci, University Pk, PA 16802 USA</t>
  </si>
  <si>
    <t>Pennsylvania Commonwealth System of Higher Education (PCSHE); Pennsylvania State University; Pennsylvania State University - University Park</t>
  </si>
  <si>
    <t>Leeman, JR (corresponding author), Penn State, Dept Geosci, University Pk, PA 16802 USA.</t>
  </si>
  <si>
    <t>jleeman@psu.edu</t>
  </si>
  <si>
    <t>Anandakrishnan, Sridhar/JCN-5026-2023</t>
  </si>
  <si>
    <t>Leeman, John/0000-0002-3624-1821; Saffer, Demian/0000-0003-3681-0040</t>
  </si>
  <si>
    <t>NSF [OPP 0424589]; Center for Remote Sensing of Ice Sheets (CReSIS); GDL foundation; National Science Foundation [DGE1255832]</t>
  </si>
  <si>
    <t>NSF(National Science Foundation (NSF)); Center for Remote Sensing of Ice Sheets (CReSIS); GDL foundation; National Science Foundation(National Science Foundation (NSF))</t>
  </si>
  <si>
    <t>The authors wish to thank Hermann Engelhardt and Kathy Licht for providing the till samples used in this study. Megan Elwood-Madden and Andy Madden produced the XRD patterns and models. Chris Marone participated in many discussions about the connection of this work with slow earthquakes. This work was supported through NSF OPP 0424589, the Center for Remote Sensing of Ice Sheets (CReSIS), and the GDL foundation. J.R Leeman was supported by the National Science Foundation under grant DGE1255832. Any opinions, findings, and conclusions or recommendations expressed in this material are those of the author(s) and do not necessarily reflect the views of the National Science Foundation. Data used are available through the Penn State Scholarsphere system (https://scholarsphere.psu.edu/collections/tb09j576w).</t>
  </si>
  <si>
    <t>10.1002/2016JF003863</t>
  </si>
  <si>
    <t>WOS:000382581200006</t>
  </si>
  <si>
    <t>Solovyeva, D; Hobson, KA; Kharitonova, N; Newton, J; Fox, JW; Afansyev, V; Fox, AD</t>
  </si>
  <si>
    <t>Solovyeva, Diana; Hobson, Keith A.; Kharitonova, Natalia; Newton, Jason; Fox, James W.; Afansyev, Vsevolod; Fox, Anthony D.</t>
  </si>
  <si>
    <t>Combining stable hydrogen (δ2H) isotopes and geolocation to assign Scaly-sided Mergansers to moult river catchments</t>
  </si>
  <si>
    <t>Habitat use; Primorye; Remigial moult; Deuterium; Carbon-13; Nitrogen-15</t>
  </si>
  <si>
    <t>MIGRATORY CONNECTIVITY; OXYGEN ISOTOPES; SITE FIDELITY; LESSER SCAUP; WINTER; WATER; DELTA-N-15; DELTA-C-13; FEATHERS; ORIGINS</t>
  </si>
  <si>
    <t>Scaly-sided Mergansers Mergus squamatus breed on freshwater rivers in Far East Russia, Korea, and China, wintering on similar habitat in China and Korea, but information on their post-breeding moulting habitats remains elusive. We combined analysis of stable hydrogen isotope ratios (delta H-2) in flight feathers from nesting females equipped with geolocators to test whether we could correctly identify their use of moulting rivers (which show a strong north-south gradient in river water delta H-2 characteristics) based on feather delta H-2 values. The results are the first ever to demonstrate a strong positive correlation (r(2) = 0.91) between measured river catchment water delta H-2 and feather delta H-2 from birds of known moulting location (from geolocation) in an avian piscivorous species. Furthermore, our delta H-2 results overwhelmingly supported previous determinations based on feather delta C-13 and delta N-15 measurements from the same individuals confirming that most Scaly-sided Mergansers of both sexes moulted on freshwater, although four non-breeding and failed breeding females (out of 21) and one male (out of six) apparently undertook moult migration to brackish and marine waters. The single case where the delta H-2 results contradicted previous isotopic evidence was likely due to birds eating migratory fish of marine provenance that migrate up freshwater rivers. These results confirm the potential power of feather delta H-2 to assign piscivorous birds to specific river catchment moult sites and the utility of using multiple stable isotopes to assign birds to moult habitat and location in potentially complex estuarine and brackish situations or where migratory prey may be used by birds in freshwater habitats.</t>
  </si>
  <si>
    <t>[Solovyeva, Diana] Inst Biol Problems North FEB RAS, 18 Portovaya Str, Magadan 685014, Russia; [Hobson, Keith A.] Univ Western Ontario, Dept Biol, 1151 Richmond St, London, ON N6A 5B7, Canada; [Kharitonova, Natalia] Moscow MV Lomonosov State Univ, Fac Geol, GSP-1,1 Leninskiye Gory, Moscow 119991, Russia; [Newton, Jason] SUERC, NERC Life Sci Mass Spectrometry Facil, Rankine Ave, E Kilbride G75 0QF, Lanark, Scotland; [Fox, James W.] Migrate Technol Ltd, POB 749, Cambridge CB1 0QY, England; [Afansyev, Vsevolod] British Antarctic Survey, Nat Environm Res Council, Madingley Rd, Cambridge CB3 0ET, England; [Fox, Anthony D.] Aarhus Univ, Dept Biosci, Grenavej 14, DK-8410 Ronde, Denmark</t>
  </si>
  <si>
    <t>Institute of Biological Problems of the North; Western University (University of Western Ontario); Lomonosov Moscow State University; UK Research &amp; Innovation (UKRI); Natural Environment Research Council (NERC); Scottish Universities Research &amp; Reactor Center; UK Research &amp; Innovation (UKRI); Natural Environment Research Council (NERC); NERC British Antarctic Survey; Aarhus University</t>
  </si>
  <si>
    <t>Fox, AD (corresponding author), Aarhus Univ, Dept Biosci, Grenavej 14, DK-8410 Ronde, Denmark.</t>
  </si>
  <si>
    <t>tfo@bios.au.dk</t>
  </si>
  <si>
    <t>Hobson, Keith/Q-9306-2019; Newton, Jason/A-9536-2009; Solovyeva, Diana/J-7302-2012; Kharitonova, Natalia/T-7818-2017</t>
  </si>
  <si>
    <t>Newton, Jason/0000-0001-7594-3693; Fox, James W./0000-0002-3107-696X; Kharitonova, Natalia/0000-0002-0855-3385; Solovyeva, Diana/0000-0001-5076-0305</t>
  </si>
  <si>
    <t>Rufford Small Grants; Wildfowl Wetland Trust; Forestry Bureau, COA, Taiwan Government; Doreen Fox; National Science and Engineering Research Council (NSERC) of Canada; Natural Environment Research Council [bas010011] Funding Source: researchfish; NERC [bas010011] Funding Source: UKRI</t>
  </si>
  <si>
    <t>Rufford Small Grants; Wildfowl Wetland Trust; Forestry Bureau, COA, Taiwan Government; Doreen Fox; National Science and Engineering Research Council (NSERC) of Canada(Natural Sciences and Engineering Research Council of Canada (NSERC)); Natural Environment Research Council(UK Research &amp; Innovation (UKRI)Natural Environment Research Council (NERC)); NERC(UK Research &amp; Innovation (UKRI)Natural Environment Research Council (NERC))</t>
  </si>
  <si>
    <t>We acknowledge financial support from the Rufford Small Grants (2003, 2004, 2006, and 2012), Wildfowl &amp; Wetland Trust (2001-2013), Forestry Bureau, COA, Taiwan Government (2006-2013), and Doreen Fox (2007). Thanks to Sergey Vartanyan, Valery Shokhrin, George Chelnokov, and Ivan Bragin for invaluable help with fieldwork and Len Wassenaar for assistance with isotopic measurements at the National Water Research Institute in Saskatoon, Saskatchewan, Canada. Funding was provided by an operating grant to KAH from the National Science and Engineering Research Council (NSERC) of Canada. Thanks to two referees and the editors for help to improving earlier manuscripts.</t>
  </si>
  <si>
    <t>10.1007/s10336-015-1319-x</t>
  </si>
  <si>
    <t>WOS:000382943900002</t>
  </si>
  <si>
    <t>Ferrari, R; Mashayek, A; McDougall, TJ; Nikurashin, M; Campin, JM</t>
  </si>
  <si>
    <t>Ferrari, Raffaele; Mashayek, Ali; McDougall, Trevor J.; Nikurashin, Maxim; Campin, Jean-Michael</t>
  </si>
  <si>
    <t>Turning Ocean Mixing Upside Down</t>
  </si>
  <si>
    <t>PLANETARY FLOW PATTERNS; OVERTURNING CIRCULATION; BOUNDARY; MODEL; WATER; DISSIPATION; TURBULENCE; DIFFUSIVITY; EFFICIENCY; CLOSURE</t>
  </si>
  <si>
    <t>It is generally understood that small-scale mixing, such as is caused by breaking internal waves, drives upwelling of the densest ocean waters that sink to the ocean bottom at high latitudes. However, the observational evidence that the strong turbulent fluxes generated by small-scale mixing in the stratified ocean interior are more vigorous close to the ocean bottom boundary than above implies that small-scale mixing converts light waters into denser ones, thus driving a net sinking of abyssal waters. Using a combination of theoretical ideas and numerical models, it is argued that abyssal waters upwell along weakly stratified boundary layers, where small-scale mixing of density decreases to zero to satisfy the no density flux condition at the ocean bottom. The abyssal ocean meridional overturning circulation is the small residual of a large net sinking of waters, driven by small-scale mixing in the stratified interior above the bottom boundary layers, and a slightly larger net upwelling, driven by the decay of small-scale mixing in the boundary layers. The crucial importance of upwelling along boundary layers in closing the abyssal overturning circulation is the main finding of this work.</t>
  </si>
  <si>
    <t>[Ferrari, Raffaele; Mashayek, Ali; Campin, Jean-Michael] MIT, 77 Massachusetts Ave, Cambridge, MA 02139 USA; [McDougall, Trevor J.] Univ New South Wales, Sch Math &amp; Stat, Sydney, NSW, Australia; [Nikurashin, Maxim] Univ Tasmania, Inst Marine &amp; Antarctic Studies, Hobart, Tas, Australia; [Nikurashin, Maxim] ARC Ctr Excellence Climate Syst Sci, Sydney, NSW, Australia</t>
  </si>
  <si>
    <t>Massachusetts Institute of Technology (MIT); University of New South Wales Sydney; University of Tasmania; ARC Centre of Excellence for Climate System Science</t>
  </si>
  <si>
    <t>Ferrari, R (corresponding author), MIT, 77 Massachusetts Ave, Cambridge, MA 02139 USA.</t>
  </si>
  <si>
    <t>rferrari@mit.edu</t>
  </si>
  <si>
    <t>McDougall, Trevor J/A-6770-2013; Nikurashin, Maxim/P-4018-2019</t>
  </si>
  <si>
    <t>Nikurashin, Maxim/0000-0002-5714-8343</t>
  </si>
  <si>
    <t>National Science Foundation [OCE-1233832]; Australian Research Council [DE150100937]; Australian Research Council [DE150100937] Funding Source: Australian Research Council; Division Of Ocean Sciences; Directorate For Geosciences [1233832] Funding Source: National Science Foundation</t>
  </si>
  <si>
    <t>National Science Foundation(National Science Foundation (NSF)); Australian Research Council(Australian Research Council); Australian Research Council(Australian Research Council); Division Of Ocean Sciences; Directorate For Geosciences(National Science Foundation (NSF)NSF - Directorate for Geosciences (GEO))</t>
  </si>
  <si>
    <t>The work benefitted from discussions with Carl Wunsch and Joern Callies and email exchanges with Chris Garrett, Andrew Hogg, and Gurvan Madec. Matthew Alford generously shared an unpublished manuscript on observational estimates of the sinking induced by mixing in the abyssal ocean. Louise Bell is thanked for preparing the first two illustrations. We gratefully acknowledge National Science Foundation support through Award OCE-1233832 (R.F.) and Australian Research Council support though Grant DE150100937.</t>
  </si>
  <si>
    <t>10.1175/JPO-D-15-0244.1</t>
  </si>
  <si>
    <t>DS5DE</t>
  </si>
  <si>
    <t>WOS:000380800100006</t>
  </si>
  <si>
    <t>Webster, TA; Dawson, SM; Rayment, WJ; Parks, SE; Van Parijs, SM</t>
  </si>
  <si>
    <t>Webster, Trudi A.; Dawson, Stephen M.; Rayment, William J.; Parks, Susan E.; Van Parijs, Sofie M.</t>
  </si>
  <si>
    <t>Quantitative analysis of the acoustic repertoire of southern right whales in New Zealand</t>
  </si>
  <si>
    <t>ATLANTIC RIGHT WHALES; EUBALAENA-GLACIALIS; SOUND PRODUCTION; RANDOM FORESTS; CLASSIFICATION; BEHAVIOR; VOCALIZATIONS; HABITAT; SELECTION; NOISE</t>
  </si>
  <si>
    <t>Quantitatively describing the acoustic repertoire of a species is important for establishing effective passive acoustic monitoring programs and developing automated call detectors. This process is particularly important when the study site is remote and visual surveys are not cost effective. Little is known about the vocal behavior of southern right whales (Eubalaena australis) in New Zealand. The aim of this study was to describe and quantify their entire vocal repertoire on calving grounds in the sub-Antarctic Auckland Islands. Over three austral winters (2010-2012), 4349 calls were recorded, measured, and classified into 10 call types. The most frequently observed types were pulsive, upcall, and tonal low vocalizations. A long tonal low call (&lt;= 15.5 s duration) and a very high call (peak frequency similar to 750 Hz) were described for the first time. Random Forest multivariate analysis of 28 measured variables was used to classify calls with a high degree of accuracy (82%). The most important variables for classification were maximum ceiling frequency, number of inflection points, duration, and the difference between the start and end frequency. This classification system proved to be a repeatable, fast, and objective method for categorising right whale calls and shows promise for other vocal taxa. (C) 2016 Acoustical Society of America.</t>
  </si>
  <si>
    <t>[Webster, Trudi A.; Dawson, Stephen M.; Rayment, William J.] Univ Otago, Dept Marine Sci, 310 Castle St, Dunedin 9016, New Zealand; [Parks, Susan E.] Syracuse Univ, Dept Biol, Syracuse, NY 13244 USA; [Van Parijs, Sofie M.] NOAA, Protected Species Branch, Northeast Fisheries Sci Ctr, 166 Water St, Woods Hole, MA 02543 USA; [Webster, Trudi A.] Otago Museum, 419 Great King St, Dunedin 9016, New Zealand</t>
  </si>
  <si>
    <t>University of Otago; Syracuse University; National Oceanic Atmospheric Admin (NOAA) - USA</t>
  </si>
  <si>
    <t>Webster, TA (corresponding author), Univ Otago, Dept Marine Sci, 310 Castle St, Dunedin 9016, New Zealand.</t>
  </si>
  <si>
    <t>trudi.webster@otago.ac.nz</t>
  </si>
  <si>
    <t>; Parks, Susan/D-2675-2014</t>
  </si>
  <si>
    <t>Dawson, Stephen/0000-0003-3182-0186; Webster, Trudi/0000-0002-3507-1162; Parks, Susan/0000-0001-6663-627X</t>
  </si>
  <si>
    <t>Foundation for Research Science and Technology; Otago Museum; University of Otago; New Zealand Whale and Dolphin Trust</t>
  </si>
  <si>
    <t>Foundation for Research Science and Technology(New Zealand Foundation for Research, Science and Technology); Otago Museum; University of Otago; New Zealand Whale and Dolphin Trust</t>
  </si>
  <si>
    <t>This project was generously funded by the Foundation for Research Science and Technology, Otago Museum, University of Otago, and New Zealand Whale and Dolphin Trust. We thank the crew of Polaris II (Bill Dickson, Phil Heseltine, Steve Little, Evan Kenton, and Steve King) for their excellent support in the field and the staff at the Marine Science Department for logistical support. Department of Conservation staff, including Pete McLelland, Doug Veint, Jo Hiscock, and Gilly Adam were very helpful, providing assistance with permitting and quarantine procedures. Thanks to Dani Cholewiak and Denise Risch for helpful advice at all stages. T.A.W. was supported by a Ph.D. scholarship and publishing bursary from the University of Otago. The research was conducted under Marine Mammal Permit Per/NO/2010/05.</t>
  </si>
  <si>
    <t>10.1121/1.4955066</t>
  </si>
  <si>
    <t>DU7PG</t>
  </si>
  <si>
    <t>WOS:000382406500054</t>
  </si>
  <si>
    <t>Rembauville, M; Blain, S; Caparros, J; Salter, I</t>
  </si>
  <si>
    <t>Rembauville, M.; Blain, S.; Caparros, J.; Salter, I.</t>
  </si>
  <si>
    <t>Particulate matter stoichiometry driven by microplankton community structure in summer in the Indian sector of the Southern Ocean</t>
  </si>
  <si>
    <t>NATURAL IRON-FERTILIZATION; SUBSURFACE CHLOROPHYLL MAXIMUM; ORGANIC-CARBON FLUX; PHYTOPLANKTON BLOOM; ELEMENTAL STOICHIOMETRY; MARINE-PHYTOPLANKTON; CROZET BASIN; FRONTAL ZONE; INTERANNUAL VARIABILITY; LIGHT INTERACTIONS</t>
  </si>
  <si>
    <t>Microplankton community structure and particulate matter stoichiometry were investigated in a late summer survey across the Subantarctic and Polar Front in the Indian sector of the Southern Ocean. Microplankton community structure exerted a first order control on PON:POP stoichiometry with diatom-dominated samples exhibiting much lower ratios (4-6) than dinoflagellate and ciliate-dominated samples (10-21). A significant fraction of the total chlorophyll a (30-70%) was located beneath the euphotic zone and mixed layer and sub-surface chlorophyll features were associated to transition layers. Although micro-plankton community structure and biomass was similar between mixed and transition layers, the latter was characterized by elevated Chl:POC ratios indicating photoacclimation of mixed layer communities. Empty diatom frustules, in particular of Fragilariopsis kerguelensis and Pseudo-nitzschia, were found to accumulate in the Antarctic Zone transition layer and were associated to elevated BSi:POC ratios. Furthermore, high Si(OH) 4 diffusive fluxes (&gt;1 mmol m(2) d(-1)) into the transition layer appeared likely to sustain silicification. We suggest transition layers as key areas of C and Si decoupling through (1) physiological constraints on carbon and silicon fixation (2) as active foraging sites for grazers that preferentially remineralize carbon. On the Kerguelen Plateau, the dominant contribution of Chaetoceros Hyalochaete resting spores to microplankton biomass resulted in a three-fold enhancement of POC concentration at 250 m, compared to other stations. These findings further highlight the importance of diatom resting spores as a significant vector of carbon export through the intense remineralization horizons characteristing Southern Ocean ecosystems.</t>
  </si>
  <si>
    <t>[Rembauville, M.; Blain, S.; Caparros, J.; Salter, I.] UPMC Univ Paris 06, Sorbonne Univ, CNRS, Lab Oceanog Microbienne LOMIC,Observ Oceanol, Banyuls Sur Mer, France; [Salter, I.] Alfred Wegener Inst, Helmholtz Ctr Polar &amp; Marine Res, Bremerhaven, Germany</t>
  </si>
  <si>
    <t>Sorbonne Universite; Centre National de la Recherche Scientifique (CNRS); Helmholtz Association; Alfred Wegener Institute, Helmholtz Centre for Polar &amp; Marine Research</t>
  </si>
  <si>
    <t>Rembauville, M (corresponding author), UPMC Univ Paris 06, Sorbonne Univ, CNRS, Lab Oceanog Microbienne LOMIC,Observ Oceanol, Banyuls Sur Mer, France.</t>
  </si>
  <si>
    <t>; blain, stephane/F-6917-2010</t>
  </si>
  <si>
    <t>Salter, Ian/0000-0002-4513-0314; blain, stephane/0000-0002-5234-2446</t>
  </si>
  <si>
    <t>French research program of INSU-CNRS LEFE-CYBER (EXPLAIN); French ANR (KEOPS2) [ANR-10-BLAN-0614]; French institute INSU; French institute IPEV; French program SOERE/Great-gases; European program FP7/Carbochange</t>
  </si>
  <si>
    <t>French research program of INSU-CNRS LEFE-CYBER (EXPLAIN); French ANR (KEOPS2)(Agence Nationale de la Recherche (ANR)); French institute INSU; French institute IPEV; French program SOERE/Great-gases; European program FP7/Carbochange</t>
  </si>
  <si>
    <t>We thank the captain Bernard Lassiette and crew of the R/V Marion Dufresne for their support aboard as well as the chief scientist Yves Cherel. We thank Claire Lo Monaco and Celine Ridame for the access to the CTD and chlorophyll a data and Isabelle Durand for the help in the Thorpe displacement calculation. We thank the three anonymous reviewers for their constructive comments, which helped us to improve the manuscript. This work was supported by grants from the French research program of INSU-CNRS LEFE-CYBER (EXPLAIN, Ian Salter) and the French ANR (KEOPS2, ANR-10-BLAN-0614, Stephane Blain). The OISO program is supported by the French institutes INSU and IPEV, the French program SOERE/Great-gases, and the European program FP7/Carbochange.</t>
  </si>
  <si>
    <t>10.1002/lno.10291</t>
  </si>
  <si>
    <t>DW4OO</t>
  </si>
  <si>
    <t>WOS:000383622900012</t>
  </si>
  <si>
    <t>Krause, DJ; Goebel, ME; Marshall, GJ; Abernathy, K</t>
  </si>
  <si>
    <t>Krause, Douglas J.; Goebel, Michael E.; Marshall, Greg J.; Abernathy, Kyler</t>
  </si>
  <si>
    <t>Summer diving and haul-out behavior of leopard seals (Hydrurga leptonyx) near mesopredator breeding colonies at Livingston Island, Antarctic Peninsula</t>
  </si>
  <si>
    <t>leopard seal; apex predator; diving; TDR; animal-borne video; cluster analysis; random forest; temporal niche partitioning; chemical immobilization</t>
  </si>
  <si>
    <t>SOUTH SHETLAND ISLANDS; CRAB-EATER SEALS; PACK-ICE SEALS; NORTHERN ELEPHANT SEALS; ANIMAL-BORNE VIDEO; FORAGING BEHAVIOR; CHINSTRAP PENGUINS; PRYDZ BAY; HABITAT USE; UNDERWATER VOCALIZATIONS</t>
  </si>
  <si>
    <t>Leopard seals are conspicuous apex predators in Antarctic coastal ecosystems, yet their foraging ecology is poorly understood. Historically, the ecology of diving vertebrates has been studied using high-resolution time-depth records; however, to date such data have not been available for leopard seals. Twenty-one time-depth recorders were deployed on seasonally resident adult females in January and February between 2008 and 2014. The average deployment length was 13.65 +/- 11.45 d and 40,308 postfilter dives were recorded on 229 foraging trips. Dive durations averaged 2.20 +/- 1.23 min. Dives were shallow with 90.1% measuring 30 m or less, and a mean maximum dive depth of 16.60 +/- 10.99 m. Four dive types were classified using a k-means cluster analysis and compared with corresponding animal-borne video data. Dive activity (number of dives/hour) was concentrated at night, including crepuscular periods. Haul-out probabilities were highest near midday and were positively correlated with available daylight. Visual observations and comparisons of diving activity between and within years suggest individual-based differences of foraging effort by time of day. Finally, dive and video data indicate that in addition to at-surface hunting, benthic searching and facultative scavenging are important foraging strategies for leopard seals near coastal mesopredator breeding colonies.</t>
  </si>
  <si>
    <t>[Krause, Douglas J.; Goebel, Michael E.] NOAA, Natl Marine Fisheries Serv, Southwest Fisheries Sci Ctr, 8901 La Jolla Shores Dr, La Jolla, CA 92037 USA; [Krause, Douglas J.] Univ Calif San Diego, Scripps Inst Oceanog, 9500 Gilman Dr, La Jolla, CA 92037 USA; [Marshall, Greg J.; Abernathy, Kyler] Natl Geog Soc, Remote Imaging, 1145 17th St NW, Washington, DC 20036 USA</t>
  </si>
  <si>
    <t>National Oceanic Atmospheric Admin (NOAA) - USA; University of California System; University of California San Diego; Scripps Institution of Oceanography; National Geographic Society</t>
  </si>
  <si>
    <t>Krause, DJ (corresponding author), NOAA, Natl Marine Fisheries Serv, Southwest Fisheries Sci Ctr, 8901 La Jolla Shores Dr, La Jolla, CA 92037 USA.;Krause, DJ (corresponding author), Univ Calif San Diego, Scripps Inst Oceanog, 9500 Gilman Dr, La Jolla, CA 92037 USA.</t>
  </si>
  <si>
    <t>douglas.krause@noaa.gov</t>
  </si>
  <si>
    <t>Krause, Douglas J./0000-0002-2517-3106</t>
  </si>
  <si>
    <t>U.S. AMLR Program; National Geographic Society (NGS)/Waitt Grant [W256-12]; Mary Maude and Vestal B. Hughes Pay-It-Forward Grant</t>
  </si>
  <si>
    <t>U.S. AMLR Program; National Geographic Society (NGS)/Waitt Grant(National Geographic Society); Mary Maude and Vestal B. Hughes Pay-It-Forward Grant</t>
  </si>
  <si>
    <t>This paper was greatly improved by suggestions and comments by T. Eguchi, L. Ballance, P. Dayton, G. Watters, and three anonymous reviewers. We are grateful to K. Pietrzak, M. Mudge, J. Wright, N. Cook, M. Zimmerman, M. Goh, T. Joyce, R. Burner, B. McDonald, N. Pussini, R. Buchheit, D. Vejar, and J. Hinke for their assistance in the field. We thank N. Lyon, N. Miao, K. Searles, and L. Rodriguez for manually classifying dive and video data. Crucial financial, infrastructure, and logistical support was provided by the U.S. AMLR Program. Funding for instruments and travel was provided by the National Geographic Society (NGS)/Waitt Grant # W256-12 and the Mary Maude and Vestal B. Hughes Pay-It-Forward Grant. Transportation to our study site was kindly provided by Lindblad/NGS Expeditions, and logistical support by NGS Remote Imaging. Leopard seal observations and captures were conducted in accordance with Marine Mammal Protection Act Permit Nos. 16472-01 and 774-1847-04 granted by the Office of Protected Resources, National Marine Fisheries Service, the Antarctic Conservation Act Permit Nos. 2012-005 and 2008-008, and the NMFS-SWFSC Institutional Animal Care and Use Committee Permit No. SWPI2011-02.</t>
  </si>
  <si>
    <t>10.1111/mms.12309</t>
  </si>
  <si>
    <t>WOS:000385006800003</t>
  </si>
  <si>
    <t>Wege, M; Etienne, MP; Oosthuizen, WC; Reisinger, RR; Bester, MN; de Bruyn, PJN</t>
  </si>
  <si>
    <t>Wege, Mia; Etienne, Marie-Pierre; Oosthuizen, W. Chris; Reisinger, Ryan R.; Bester, Marthan N.; de Bruyn, P. J. Nico</t>
  </si>
  <si>
    <t>Trend changes in sympatric Subantarctic and Antarctic fur seal pup populations at Marion Island, Southern Ocean</t>
  </si>
  <si>
    <t>Arctocephalus; Subantarctic fur seal; Antarctic fur seal; population estimate; Marion Island; hierarchical Bayesian model; detection probability; sympatry; density; count</t>
  </si>
  <si>
    <t>PRINCE-EDWARD-ISLAND; ARCTOCEPHALUS-PUSILLUS-DORIFERUS; GAZELLA; MORTALITY; GROWTH; TROPICALIS; CLIMATE; REPRODUCTION; ABUNDANCE; PATTERNS</t>
  </si>
  <si>
    <t>Recent pup population estimates of sympatric Subantarctic (Arctocephalus tropicalis) and Antarctic fur seals (A. gazella) at Marion Island are presented. Published pup population estimates of A. tropicalis (1995 and 2004) with an unpublished total island count in 2013, and annual counts on subsets of rookeries (2007-2015) were analyzed using a hierarchical Bayesian model. The pup population declined by 46% (95% credible interval CI: 43%-48%) between 2004 (mean = 15,260, CI: 14,447-16,169 pups) and 2013 (mean = 8,312, CI: 7,983-8,697), mirrored by a 58%-60% decline at rookeries counted annually (2007-2015). Population decline was highest at high-density west and north coast rookeries, despite negligible change in female attendance patterns, pup mortality or median pupping date over the previous 25 yr. A better understanding of foraging behavior and its effects on reproductive success and survival in this A. tropicalis population is needed before we can attribute population decline to any external factors. In contrast, total island counts of A. gazella pups in 2007, 2010, and 2013, suggest that this population is still increasing although the annual intrinsic rate of population growth decreased from 17.0% (1995-2004, 744 pups) to 4.0% (2010-2013, 1,553 pups). The slowed growth of A. gazella is likely the result of saturation at the main rookery.</t>
  </si>
  <si>
    <t>[Wege, Mia; Oosthuizen, W. Chris; Reisinger, Ryan R.; Bester, Marthan N.; de Bruyn, P. J. Nico] Univ Pretoria, Mammal Res Inst, Dept Zool &amp; Entomol, Private Bag X20, ZA-0028 Pretoria, South Africa; [Etienne, Marie-Pierre] UMR AgroParisTech INRA MIA 518, F-75005 Paris, France; [Reisinger, Ryan R.] Nelson Mandela Metropolitan Univ, Dept Zool, POB 77000, ZA-6031 Port Elizabeth, South Africa</t>
  </si>
  <si>
    <t>University of Pretoria; Universite Paris Saclay; AgroParisTech; INRAE; Nelson Mandela University</t>
  </si>
  <si>
    <t>Wege, M (corresponding author), Univ Pretoria, Mammal Res Inst, Dept Zool &amp; Entomol, Private Bag X20, ZA-0028 Pretoria, South Africa.</t>
  </si>
  <si>
    <t>Bester, Marthán N/E-5387-2010; de Bruyn, P. J. Nico/E-4176-2010; Reisinger, Ryan R/D-6151-2014; Wege, Mia/B-1103-2016; Oosthuizen, W. Chris/I-2947-2016</t>
  </si>
  <si>
    <t>de Bruyn, P. J. Nico/0000-0002-9114-9569; Reisinger, Ryan R/0000-0002-8933-6875; Wege, Mia/0000-0002-9022-3069; Oosthuizen, W. Chris/0000-0003-2905-6297; Etienne, Marie-Pierre/0000-0002-2097-2267</t>
  </si>
  <si>
    <t>Department of Science and Technology, through the National Research Foundation (NRF); Hanse-Wissenschaftskollege (Institute for Advanced Study)</t>
  </si>
  <si>
    <t>Department of Science and Technology, through the National Research Foundation (NRF)(Department of Science &amp; Technology (India)); Hanse-Wissenschaftskollege (Institute for Advanced Study)</t>
  </si>
  <si>
    <t>The Department of Environmental Affairs supplied logistic support within the South African National Antarctic Programme. Financial support was provided by the Department of Science and Technology, through the National Research Foundation (NRF), in support of the Marion Island Marine Mammal Programme of the MRI. Greg Hofmeyr helped plan the 2013 total island count, and provided the 1995 and 2004 data as well as valuable insight. For assistance in the field we are grateful to Dawn Cory-Toussaint, Cheryl Tosh, Santjie du Toit, Mashudu Phalanndwa, Paul Visser, Derek van der Merwe, Hugh Purdon, Christiaan Conradie, Shadrack Podile, Thomas Mufanadzo, Johan van der Vyver, Nadia Hansa, Daniel Kotze, and Liezl Pretorius. All the above procedures have ethics clearance from the Animal Use and Care Committee (AUCC) of the Faculty of Natural and Agricultural Sciences, University of Pretoria, South Africa, under AUCC 040827-023. MNB benefitted from a Hanse-Wissenschaftskollege (Institute for Advanced Study) Fellowship during the final stages of preparing this manuscript.</t>
  </si>
  <si>
    <t>10.1111/mms.12306</t>
  </si>
  <si>
    <t>WOS:000385006800009</t>
  </si>
  <si>
    <t>Huveneers, C; Simpfendorfer, CA; Kim, S; Semmens, JM; Hobday, AJ; Pederson, H; Stieglitz, T; Vallee, R; Webber, D; Heupel, MR; Peddemors, V; Harcourt, RG</t>
  </si>
  <si>
    <t>Huveneers, Charlie; Simpfendorfer, Colin A.; Kim, Susan; Semmens, Jayson M.; Hobday, Alistair J.; Pederson, Hugh; Stieglitz, Thomas; Vallee, Richard; Webber, Dale; Heupel, Michelle R.; Peddemors, Vic; Harcourt, Robert G.</t>
  </si>
  <si>
    <t>The influence of environmental parameters on the performance and detection range of acoustic receivers</t>
  </si>
  <si>
    <t>AATAMS - IMOS; acoustic telemetry; detection probability; detection range; sentinel tags</t>
  </si>
  <si>
    <t>TELEMETRY ARRAY; MARK-RECAPTURE; DESIGN; TRANSMITTER; TRACKING; BIOTELEMETRY; MOVEMENT; PATTERNS; MODELS; SHARKS</t>
  </si>
  <si>
    <t>Acoustic telemetry is being increasingly used to study the ecology of many aquatic organisms. This widespread use has been advanced by national and international tracking programs that coordinate deployment of passive acoustic telemetry networks on a regional and continental scale to detect tagged animals. While it is well-known that environmental conditions can affect the performance of acoustic receivers, these effects are rarely quantified despite the profound implications for tag detection and hence the ecological inferences. Here, we deployed eight receivers at different depths within the water column and at different orientations (hydrophone up or down) and 12 tags 200-800m from the receivers for 234days to investigate how the tag detection range of acoustic receivers varied through time and under different meteorologic and oceanographic conditions. The study showed that receiver depth and orientation, and time since deployment had the largest effect on the detection range. Thermocline gradient and depth, and wind speed were the environmental factors most affecting detection range, while wind direction, precipitation and atmospheric pressure had negligible or no effect. Comparison of results to a proposed general acoustic theory model and previous studies showed that findings from specific habitat types cannot be generalised and applied across other habitats or environments. A good understanding of the acoustic coverage and temporal variations in relation to environmental conditions are crucial to accurate interpretation of results, and ensuing management recommendations. We recommend that each study include stationary reference tags to measure changes in detection probability with time, help refine detection range, and be used to improve confidence in the reporting and interpretation of the data.</t>
  </si>
  <si>
    <t>[Huveneers, Charlie] Flinders Univ S Australia, Sch Biol Sci, Bedford Pk, Adelaide, SA 5042, Australia; [Simpfendorfer, Colin A.] James Cook Univ, Ctr Sustainable Trop Fisheries &amp; Aquaculture, Coll Marine &amp; Environm Sci, Townsville, Qld 4811, Australia; [Kim, Susan] Flinders Univ S Australia, Flinders Ctr Epidemiol &amp; Biostat, Bedford Pk, Adelaide, SA 5042, Australia; [Semmens, Jayson M.] Univ Tasmania, Inst Marine &amp; Antarctic Studies, Hobart, Tas 7053, Australia; [Hobday, Alistair J.] CSIRO Oceans &amp; Atmosphere, Hobart, Tas 7000, Australia; [Pederson, Hugh; Vallee, Richard; Webber, Dale] Vemco, Bedford, NS B4B 0L9, Canada; [Stieglitz, Thomas] James Cook Univ, Coll Sci Technol &amp; Engn, Ctr Trop Water &amp; Aquat Ecosyst Res, Townsville, Qld 4811, Australia; [Heupel, Michelle R.] Australian Inst Marine Sci, Townsville, Qld 4810, Australia; [Peddemors, Vic] Fisheries New South Wales, Sydney, NSW 2088, Australia; [Harcourt, Robert G.] Macquarie Univ, Dept Biol Sci, Sydney, NSW 2109, Australia</t>
  </si>
  <si>
    <t>Flinders University South Australia; James Cook University; Flinders University South Australia; University of Tasmania; Commonwealth Scientific &amp; Industrial Research Organisation (CSIRO); James Cook University; Australian Institute of Marine Science; Macquarie University</t>
  </si>
  <si>
    <t>Huveneers, C (corresponding author), Flinders Univ S Australia, Sch Biol Sci, Bedford Pk, Adelaide, SA 5042, Australia.</t>
  </si>
  <si>
    <t>charlie.huveneers@flinders.edu.au</t>
  </si>
  <si>
    <t>Peddemors, Victor M/Q-4281-2016; Pederson, Hugh/HTO-8689-2023; Hobday, Alistair/A-1460-2012; Simpfendorfer, Colin A/G-9681-2011; Stieglitz, Thomas/C-7916-2013; Kim, Susan/D-5144-2015</t>
  </si>
  <si>
    <t>Pederson, Hugh/0000-0002-0899-2978; Stieglitz, Thomas/0000-0002-2946-391X; Heupel, Michelle/0000-0002-8245-7332; Stieglitz, Thomas/0000-0002-7349-4254; Kim, Susan/0000-0002-0924-8964; Peddemors, Victor/0000-0002-8743-9782; Harcourt, Robert/0000-0003-4666-2934; Huveneers, Charlie/0000-0001-8937-1358; Semmens, Jayson/0000-0003-1742-6692</t>
  </si>
  <si>
    <t>10.1111/2041-210X.12520</t>
  </si>
  <si>
    <t>DR5QL</t>
  </si>
  <si>
    <t>WOS:000379957400008</t>
  </si>
  <si>
    <t>Humble, E; Martinez-Barrio, A; Forcada, J; Trathan, PN; Thorne, MAS; Hoffmann, M; Wolf, JBW; Hoffman, JI</t>
  </si>
  <si>
    <t>Humble, E.; Martinez-Barrio, A.; Forcada, J.; Trathan, P. N.; Thorne, M. A. S.; Hoffmann, M.; Wolf, J. B. W.; Hoffman, J. I.</t>
  </si>
  <si>
    <t>A draft fur seal genome provides insights into factors affecting SNP validation and how to mitigate them</t>
  </si>
  <si>
    <t>MOLECULAR ECOLOGY RESOURCES</t>
  </si>
  <si>
    <t>Antarctic fur seal; Arctocephalus gazella; cross-validation; draft genome; single nucleotide polymorphism; SNP array</t>
  </si>
  <si>
    <t>ATLANTIC SALMON; RAINBOW-TROUT; DISCOVERY; INFERENCES; EVOLUTION; SEQUENCE; GUIDE; ARRAY; ROAD</t>
  </si>
  <si>
    <t>Custom genotyping arrays provide a flexible and accurate means of genotyping single nucleotide polymorphisms (SNPs) in a large number of individuals of essentially any organism. However, validation rates, defined as the proportion of putative SNPs that are verified to be polymorphic in a population, are often very low. A number of potential causes of assay failure have been identified, but none have been explored systematically. In particular, as SNPs are often developed from transcriptomes, parameters relating to the genomic context are rarely taken into account. Here, we assembled a draft Antarctic fur seal (Arctocephalus gazella) genome (assembly size: 2.41 Gb; scaffold/contig N-50: 3.1 Mb/27.5 kb). We then used this resource to map the probe sequences of 144 putative SNPs genotyped in 480 individuals. The number of probe-to-genome mappings and alignment length together explained almost a third of the variation in validation success, indicating that sequence uniqueness and proximity to intron-exon boundaries play an important role. The same pattern was found after mapping the probe sequences to the Walrus and Weddell seal genomes, suggesting that the genomes of species divergent by as much as 23 million years can hold information relevant to SNP validation outcomes. Additionally, reanalysis of genotyping data from seven previous studies found the same two variables to be significantly associated with SNP validation success across a variety of taxa. Finally, our study reveals considerable scope for validation rates to be improved, either by simply filtering for SNPs whose flanking sequences align uniquely and completely to a reference genome, or through predictive modelling.</t>
  </si>
  <si>
    <t>[Humble, E.; Hoffman, J. I.] Univ Bielefeld, Dept Anim Behav, Postfach 100131, D-33501 Bielefeld, Germany; [Humble, E.; Forcada, J.; Trathan, P. N.; Thorne, M. A. S.] British Antarctic Survey, Madingley Rd, Cambridge CB3 OET, England; [Martinez-Barrio, A.] Uppsala Univ, Sci Life Labs, Husargatan 3, S-75124 Uppsala, Sweden; [Martinez-Barrio, A.] Uppsala Univ, Dept Cell &amp; Mol Biol, Husargatan 3, S-75124 Uppsala, Sweden; [Hoffmann, M.] Univ Tubingen, Max Planck Inst Dev Biol, Spemannstr 35, D-72076 Tubingen, Germany; [Wolf, J. B. W.] Uppsala Univ, Sci Life Labs, Evolutionary Biol Ctr, Norbyvagen 18D, S-75236 Uppsala, Sweden; [Wolf, J. B. W.] Uppsala Univ, Dept Evolutionary Biol, Evolutionary Biol Ctr, Norbyvagen 18D, S-75236 Uppsala, Sweden</t>
  </si>
  <si>
    <t>University of Bielefeld; UK Research &amp; Innovation (UKRI); Natural Environment Research Council (NERC); NERC British Antarctic Survey; Uppsala University; Uppsala University; Max Planck Society; Eberhard Karls University of Tubingen; Uppsala University; Uppsala University</t>
  </si>
  <si>
    <t>Humble, E (corresponding author), Univ Bielefeld, Dept Anim Behav, Postfach 100131, D-33501 Bielefeld, Germany.;Humble, E (corresponding author), British Antarctic Survey, Madingley Rd, Cambridge CB3 OET, England.</t>
  </si>
  <si>
    <t>emily.humble@uni-bielefeld.de</t>
  </si>
  <si>
    <t>Wolf, Jochen B. W./U-2243-2017; Forcada, Jaume/GYU-0677-2022; Hoffman, Joseph/K-7725-2012</t>
  </si>
  <si>
    <t>Wolf, Jochen B. W./0000-0002-2958-5183; Thorne, Michael/0000-0001-7759-612X; Hoffman, Joseph/0000-0001-5895-8949</t>
  </si>
  <si>
    <t>Marie Curie FP7-Reintegration-Grant within the 7th European Community Framework Programme [PCIG-GA-2011-303618]; Natural Environment Research Council; Knut and Alice Wallenberg Foundation; Swedish Research Council FORMAS [231-2012-450]; Deutsch Forchungsgemeinschaft studentship; NERC [bas0100035] Funding Source: UKRI; Natural Environment Research Council [bas0100035] Funding Source: researchfish</t>
  </si>
  <si>
    <t>Marie Curie FP7-Reintegration-Grant within the 7th European Community Framework Programme(Marie Curie ActionsEuropean Union (EU)); Natural Environment Research Council(UK Research &amp; Innovation (UKRI)Natural Environment Research Council (NERC)); Knut and Alice Wallenberg Foundation(Knut &amp; Alice Wallenberg Foundation); Swedish Research Council FORMAS(Swedish Research Council Formas); Deutsch Forchungsgemeinschaft studentship(German Research Foundation (DFG)); NERC(UK Research &amp; Innovation (UKRI)Natural Environment Research Council (NERC)); Natural Environment Research Council(UK Research &amp; Innovation (UKRI)Natural Environment Research Council (NERC))</t>
  </si>
  <si>
    <t>We thank the Broad Institute Genomics Platform, the Weddell Seal Genome Consortium and Kerstin Lindblad-Toh for making the data for Leptonychotes weddellii available. We would also like to thank Christa Lanz and Axel Kunster from the Tubingen sequencing facility for library preparation and data transfer and the Tubingen Genome Center for fosmid sequencing. We are further indebted to Marc Hoppner for running REPEATMASKER on the fur seal assembly. We are grateful to Ross Houston and Caird Rexroad for providing additional raw SNP data for the Atlantic salmon and rainbow trout, respectively. This work contributes to the Ecosystems project of the British Antarctic Survey, Natural Environment Research Council, and is part of the Polar Science for Planet Earth Programme. It was supported by a Marie Curie FP7-Reintegration-Grant within the 7th European Community Framework Programme (PCIG-GA-2011-303618 to J.I.H.), core funding from the Natural Environment Research Council to the British Antarctic Survey's Ecosystems Program, the Knut and Alice Wallenberg Foundation to the Wallenberg Advanced Bioinformatics Infrastructure (to J.B.W.W. and A.M.B.) and the Swedish Research Council FORMAS (231-2012-450 to J.B.W.W.). E.H. was supported by a Deutsch Forchungsgemeinschaft studentship.</t>
  </si>
  <si>
    <t>1755-098X</t>
  </si>
  <si>
    <t>1755-0998</t>
  </si>
  <si>
    <t>MOL ECOL RESOUR</t>
  </si>
  <si>
    <t>Mol. Ecol. Resour.</t>
  </si>
  <si>
    <t>10.1111/1755-0998.12502</t>
  </si>
  <si>
    <t>Biochemistry &amp; Molecular Biology; Ecology; Evolutionary Biology</t>
  </si>
  <si>
    <t>Biochemistry &amp; Molecular Biology; Environmental Sciences &amp; Ecology; Evolutionary Biology</t>
  </si>
  <si>
    <t>DV9SE</t>
  </si>
  <si>
    <t>WOS:000383281100007</t>
  </si>
  <si>
    <t>Armour, KC; Marshall, J; Scott, JR; Donohoe, A; Newsom, ER</t>
  </si>
  <si>
    <t>Armour, Kyle C.; Marshall, John; Scott, Jeffery R.; Donohoe, Aaron; Newsom, Emily R.</t>
  </si>
  <si>
    <t>Southern Ocean warming delayed by circumpolar upwelling and equatorward transport</t>
  </si>
  <si>
    <t>ANTARCTIC SEA-ICE; ATMOSPHERE MODEL; HEAT UPTAKE; OZONE HOLE; TEMPERATURE; CIRCULATION; CARBON; CMIP5; WATER</t>
  </si>
  <si>
    <t>The Southern Ocean has shown little warming over recent decades, in stark contrast to the rapid warming observed in the Arctic. Along the northern flank of the Antarctic Circumpolar Current, however, the upper ocean has warmed substantially. Here we present analyses of oceanographic observations and general circulation model simulations showing that these patterns-of delayed warming south of the Antarctic Circumpolar Current and enhanced warming to the north-are fundamentally shaped by the Southern Ocean's meridional overturning circulation: wind-driven upwelling of unmodified water from depth damps warming around Antarctica; greenhouse gas-induced surface heat uptake is largely balanced by anomalous northward heat transport associated with the equatorward flow of surface waters; and heat is preferentially stored where surface waters are subducted to the north. Further, these processes are primarily due to passive advection of the anomalous warming signal by climatological ocean currents; changes in ocean circulation are secondary. These findings suggest the Southern Ocean responds to greenhouse gas forcing on the centennial, or longer, timescale over which the deep ocean waters that are upwelled to the surface are warmed themselves. It is against this background of gradual warming that multidecadal Southern Ocean temperature trends must be understood.</t>
  </si>
  <si>
    <t>[Armour, Kyle C.] Univ Washington, Sch Oceanog, Seattle, WA 98195 USA; [Armour, Kyle C.] Univ Washington, Dept Atmospher Sci, Seattle, WA 98195 USA; [Marshall, John; Scott, Jeffery R.] MIT, Dept Earth Atmospher &amp; Planetary Sci, Cambridge, MA 02139 USA; [Scott, Jeffery R.] MIT, Ctr Global Change Sci, Cambridge, MA 02139 USA; [Donohoe, Aaron] Univ Washington, Appl Phys Lab, Polar Sci Ctr, Seattle, WA 98195 USA; [Newsom, Emily R.] Univ Washington, Dept Earth &amp; Space Sci, Seattle, WA 98195 USA</t>
  </si>
  <si>
    <t>University of Washington; University of Washington Seattle; University of Washington; University of Washington Seattle; Massachusetts Institute of Technology (MIT); Massachusetts Institute of Technology (MIT); University of Washington; University of Washington Seattle; University of Washington; University of Washington Seattle</t>
  </si>
  <si>
    <t>Armour, KC (corresponding author), Univ Washington, Sch Oceanog, Seattle, WA 98195 USA.;Armour, KC (corresponding author), Univ Washington, Dept Atmospher Sci, Seattle, WA 98195 USA.</t>
  </si>
  <si>
    <t>karmour@uw.edu</t>
  </si>
  <si>
    <t>Newsom, Emily/0000-0002-3436-3833</t>
  </si>
  <si>
    <t>National Science Foundation [OCE-1259388, OCE-1338814, OCE-1523641, PLR-1341497]; National Aeronautics and Space Administration [NNX11AL79G]; Joint Program on the Science and Policy of Global Change; Directorate For Geosciences; Division Of Ocean Sciences [1259388] Funding Source: National Science Foundation; Division Of Ocean Sciences; Directorate For Geosciences [1523641] Funding Source: National Science Foundation</t>
  </si>
  <si>
    <t>National Science Foundation(National Science Foundation (NSF)); National Aeronautics and Space Administration(National Aeronautics &amp; Space Administration (NASA)); Joint Program on the Science and Policy of Global Change; Directorate For Geosciences; Division Of Ocean Sciences(National Science Foundation (NSF)NSF - Directorate for Geosciences (GEO)); Division Of Ocean Sciences; Directorate For Geosciences(National Science Foundation (NSF)NSF - Directorate for Geosciences (GEO))</t>
  </si>
  <si>
    <t>The authors thank R. Abernathey, C. Bitz, S. Emerson, Y. Kostov, L.-P. Nadeau, L. Polvani, P. Rhines, G. Roe, L. Thompson and L. Zanna for enlightening feedback; and J.-M. Campin and G. Forget for technical help. The authors are grateful for support from the National Science Foundation through grants OCE-1259388 (J.R.S.), OCE-1338814 (J.M.), OCE-1523641 (K.C.A.) and PLR-1341497 (E.R.N.); from the National Aeronautics and Space Administration through award NNX11AL79G (K.C.A.); and from the Joint Program on the Science and Policy of Global Change, which is funded by a number of federal agencies and a consortium of 40 industrial and foundation sponsors (J.R.S.).</t>
  </si>
  <si>
    <t>10.1038/NGEO2731</t>
  </si>
  <si>
    <t>DR3SV</t>
  </si>
  <si>
    <t>WOS:000379823800022</t>
  </si>
  <si>
    <t>Royles, J; Amesbury, MJ; Roland, TP; Jones, GD; Convey, P; Griffiths, H; Hodgson, DA; Charman, DJ</t>
  </si>
  <si>
    <t>Royles, Jessica; Amesbury, Matthew J.; Roland, Thomas P.; Jones, Glyn D.; Convey, Peter; Griffiths, Howard; Hodgson, Dominic A.; Charman, Dan J.</t>
  </si>
  <si>
    <t>Moss stable isotopes (carbon-13, oxygen-18) and testate amoebae reflect environmental inputs and microclimate along a latitudinal gradient on the Antarctic Peninsula</t>
  </si>
  <si>
    <t>OECOLOGIA</t>
  </si>
  <si>
    <t>Climate change; Precipitation; Water line; Assemblage; Microtopography</t>
  </si>
  <si>
    <t>VERTICAL MICRODISTRIBUTION; SPHAGNUM PEATLANDS; PEAT ACCUMULATION; CO2 ASSIMILATION; MICROBIAL LOOP; CLIMATE-CHANGE; WATER-CONTENT; PROTOZOA; ECOLOGY; PLANT</t>
  </si>
  <si>
    <t>The stable isotope compositions of moss tissue water (delta H-2 and delta O-18) and cellulose (delta C-13 and delta O-18), and testate amoebae populations were sampled from 61 contemporary surface samples along a 600-km latitudinal gradient of the Antarctic Peninsula (AP) to provide a spatial record of environmental change. The isotopic composition of moss tissue water represented an annually integrated precipitation signal with the expected isotopic depletion with increasing latitude. There was a weak, but significant, relationship between cellulose delta O-18 and latitude, with predicted source water inputs isotopically enriched compared to measured precipitation. Cellulose delta C-13 values were dependent on moss species and water content, and may reflect site exposure to strong winds. Testate amoebae assemblages were characterised by low concentrations and taxonomic diversity, with Corythion dubium and Microcorycia radiata types the most cosmopolitan taxa. The similarity between the intra- and inter-site ranges measured in all proxies suggests that microclimate and micro-topographical conditions around the moss surface were important determinants of proxy values. Isotope and testate amoebae analyses have proven value as palaeoclimatic, temporal proxies of climate change, whereas this study demonstrates that variations in isotopic and amoeboid proxies between microsites can be beyond the bounds of the current spatial variability in AP climate.</t>
  </si>
  <si>
    <t>[Royles, Jessica; Convey, Peter; Hodgson, Dominic A.] British Antarctic Survey, Madingley Rd, Cambridge CB3 0ET, England; [Amesbury, Matthew J.; Roland, Thomas P.; Charman, Dan J.] Univ Exeter, Coll Life &amp; Environm Sci, Geog, Exeter EX4 4RJ, Devon, England; [Royles, Jessica; Jones, Glyn D.; Griffiths, Howard] Univ Cambridge, Dept Plant Sci, Downing St, Cambridge CB2 3EA, England</t>
  </si>
  <si>
    <t>UK Research &amp; Innovation (UKRI); Natural Environment Research Council (NERC); NERC British Antarctic Survey; University of Exeter; University of Cambridge</t>
  </si>
  <si>
    <t>Royles, J (corresponding author), British Antarctic Survey, Madingley Rd, Cambridge CB3 0ET, England.;Royles, J (corresponding author), Univ Cambridge, Dept Plant Sci, Downing St, Cambridge CB2 3EA, England.</t>
  </si>
  <si>
    <t>jr328@cam.ac.uk</t>
  </si>
  <si>
    <t>Roland, Thomas/B-4703-2013; Convey, Peter/AAV-5728-2020; Charman, Dan/K-9303-2014</t>
  </si>
  <si>
    <t>Roland, Thomas/0000-0002-9237-1364; Convey, Peter/0000-0001-8497-9903; Charman, Dan/0000-0003-3464-4536</t>
  </si>
  <si>
    <t>NERC Antarctic Funding Initiative Grant [NE/H014896/]; Natural Environment Research Council [NE/H014896/1, bas0100030, NE/H014632/1, bas0100036, NE/H014810/1, NE/M001946/1] Funding Source: researchfish; BBSRC [BB/I024518/1] Funding Source: UKRI; NERC [bas0100036, NE/H014810/1, NE/H014896/1, bas0100030, NE/M001946/1, NE/H014632/1] Funding Source: UKRI</t>
  </si>
  <si>
    <t>NERC Antarctic Funding Initiative Grant;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</si>
  <si>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The research was funded by the NERC Antarctic Funding Initiative Grant NE/H014896/ to D. J. C., P. C., D. A. H. and H. G.; P. C., D. A. H. and J. R. contribute to the BAS Polar Science for Planet Earth research programme. Carbon isotope analyses were undertaken by Chris Kendrick at the NERC Isotope Geosciences Laboratory. Sample collection was supported by HMS Protector and HMS Endurance. Thanks to Iain Rudkin and Ashly Fusiarski for fieldwork support, to Adrian Dahood for water sample collection and to Sue Rouillard in the University of Exeter Geography drawing office for Fig. 1.</t>
  </si>
  <si>
    <t>0029-8549</t>
  </si>
  <si>
    <t>1432-1939</t>
  </si>
  <si>
    <t>Oecologia</t>
  </si>
  <si>
    <t>10.1007/s00442-016-3608-3</t>
  </si>
  <si>
    <t>DP8ZY</t>
  </si>
  <si>
    <t>WOS:000378787700027</t>
  </si>
  <si>
    <t>Hrbácek, F; Láska, K; Engel, Z</t>
  </si>
  <si>
    <t>Hrbacek, Filip; Laska, Kamil; Engel, Zbynek</t>
  </si>
  <si>
    <t>Effect of Snow Cover on the Active-Layer Thermal Regime - A Case Study from James Ross Island, Antarctic Peninsula</t>
  </si>
  <si>
    <t>PERMAFROST AND PERIGLACIAL PROCESSES</t>
  </si>
  <si>
    <t>active-layer; ground temperature; snow cover; air temperature; Antarctic Peninsula; active layer thickness</t>
  </si>
  <si>
    <t>KING GEORGE ISLAND; MARITIME ANTARCTICA; MASS-BALANCE; PERMAFROST; CLIMATE; VARIABILITY; VEGETATION; THICKNESS; TEMPERATURE; AREAL</t>
  </si>
  <si>
    <t>The response of active-layer thickness and the ground thermal regime to climatic conditions on the Ulu Peninsula (James Ross Island, northeastern Antarctic Peninsula) in 2011-13 is presented. The mean air temperature over this period was -8.0 degrees C and ground temperature at 5cm depth varied from -6.4 degrees C (2011-12) to -6.7 degrees C (2012-13). The active-layer thickness ranged between 58cm (January 2012) and 52cm (February 2013). Correlation analyses indicate that air temperature affects ground temperature more significantly on snow-free days (R-2=0.82) than on snow cover days (R-2=0.53). Although the effect of snow cover on the daily amplitude of ground temperature was observable to 20cm depth, the overall influence of snow depth on ground temperature was negligible (freezing n-factor of 0.95-0.97). Copyright (c) 2015 John Wiley &amp; Sons, Ltd.</t>
  </si>
  <si>
    <t>[Hrbacek, Filip; Laska, Kamil] Masaryk Univ, Fac Sci, Dept Geog, Kotlarska 2, CS-61137 Brno, Czech Republic; [Engel, Zbynek] Charles Univ Prague, Dept Phys Geog &amp; Geoecol, Prague, Czech Republic</t>
  </si>
  <si>
    <t>Masaryk University Brno; Charles University Prague</t>
  </si>
  <si>
    <t>Hrbácek, F (corresponding author), Masaryk Univ, Fac Sci, Dept Geog, Kotlarska 2, CS-61137 Brno, Czech Republic.</t>
  </si>
  <si>
    <t>hrbacekfilip@gmail.com</t>
  </si>
  <si>
    <t>Laska, Kamil/L-7875-2013; Engel, Zbyněk/S-2954-2016; Hrbacek, Filip/ABG-4319-2020</t>
  </si>
  <si>
    <t>Laska, Kamil/0000-0002-5199-9737; Engel, Zbyněk/0000-0002-5209-7823; Hrbacek, Filip/0000-0001-5032-9216</t>
  </si>
  <si>
    <t>Masaryk University [MUNI/A/0952/2013]</t>
  </si>
  <si>
    <t>Masaryk University</t>
  </si>
  <si>
    <t>We thank the personnel at the Johann Gregor Mendel Station for their hospitality and logistical support. We are also very grateful to the members of the summer expeditions in 2011-14 for their field assistance on JRI. The work of F. Hrbacek and K. Laska was supported by the Masaryk University project MUNI/A/0952/2013: Analysis, evaluation and visualisation of global environmental changes in the landscape sphere. Finally, we would like to thank two anonymous reviewers for their comments and suggestions which improved the manuscript.</t>
  </si>
  <si>
    <t>1045-6740</t>
  </si>
  <si>
    <t>1099-1530</t>
  </si>
  <si>
    <t>PERMAFROST PERIGLAC</t>
  </si>
  <si>
    <t>Permafrost Periglacial Process.</t>
  </si>
  <si>
    <t>JUL-SEP</t>
  </si>
  <si>
    <t>10.1002/ppp.1871</t>
  </si>
  <si>
    <t>Geography, Physical; Geology</t>
  </si>
  <si>
    <t>DW5JM</t>
  </si>
  <si>
    <t>WOS:000383680300005</t>
  </si>
  <si>
    <t>Lamb, EG; Winsley, T; Piper, CL; Freidrich, SA; Siciliano, SD</t>
  </si>
  <si>
    <t>Lamb, E. G.; Winsley, T.; Piper, C. L.; Freidrich, S. A.; Siciliano, S. D.</t>
  </si>
  <si>
    <t>A high-throughput belowground plant diversity assay using next-generation sequencing of the trnL intron</t>
  </si>
  <si>
    <t>PLANT AND SOIL</t>
  </si>
  <si>
    <t>Next-generation sequencing; Plant root identification; trnL; Fescue grassland; High Arctic tundra; Illumina; Plant root diversity</t>
  </si>
  <si>
    <t>SPECIES RICHNESS; MOLECULAR-IDENTIFICATION; DNA; ROOTS; PCR; PATTERNS; SOIL; DISTRIBUTIONS; ASSOCIATIONS; VEGETATION</t>
  </si>
  <si>
    <t>Aims We refine and test a next-generation sequencing assay for the molecular identification and quantification of plant roots from mixed-species samples. Methods We modified primers targeting the trnL intron to provide greater taxonomic resolution and developed an improved bioinformatics pipeline that can identify roots based on global, site-, and plot-specific taxon lists. We tested our primers and pipeline on mock plant communities of known composition andmixed-species samples of roots collected from temperate grassland and high Arctic tundra communities. Results We retrieved a high correlation (0.72) between observed and expected community dissimilarities. We found positive linear relationships between above-ground and belowground species richness in the grassland community, with higher correlations for plot-specific reference databases (R = 0.70) than a global reference database (R = 0.48). This highlights the importance of local reference databases within the bioinformatics pipeline. Lower root than aboveground richness suggests that typical root lateral spread in this grassland is less than 25 cm. We observed lateral rooting extents of up to 40 cm and rooting depths of up to 30 cm for six high Arctic species. Conclusions Testing on mock community, grassland, and tundra samples demonstrated that next-generation sequencing using our improved trnL primers and pipeline can successfully recover plant root community structure.</t>
  </si>
  <si>
    <t>[Lamb, E. G.; Piper, C. L.; Freidrich, S. A.] Univ Saskatchewan, Dept Plant Sci, 51 Campus Dr, Saskatoon, SK S7N 5A8, Canada; [Winsley, T.] Australian Antarctic Div, Dept Environm, Kingston, Tas 7050, Australia; [Winsley, T.; Siciliano, S. D.] Univ Saskatchewan, Dept Soil Sci, 51 Campus Dr, Saskatoon, SK S7N 5A8, Canada</t>
  </si>
  <si>
    <t>University of Saskatchewan; Australian Antarctic Division; University of Saskatchewan</t>
  </si>
  <si>
    <t>Lamb, EG (corresponding author), Univ Saskatchewan, Dept Plant Sci, 51 Campus Dr, Saskatoon, SK S7N 5A8, Canada.</t>
  </si>
  <si>
    <t>eric.lamb@usask.ca</t>
  </si>
  <si>
    <t>Lamb, Eric G/D-9319-2011; Siciliano, Steven D/G-3370-2011</t>
  </si>
  <si>
    <t>Lamb, Eric/0000-0001-5201-4541; Siciliano, Steven/0000-0002-8994-3341</t>
  </si>
  <si>
    <t>NSERC</t>
  </si>
  <si>
    <t>NSERC(Natural Sciences and Engineering Research Council of Canada (NSERC))</t>
  </si>
  <si>
    <t>This work was funded by NSERC Discovery grants to SDS and EGL. Drs. Ben Raymond and John McKinlay (Australian Antarctic Division) and Dr. Shaun Neilsen (University of New South Wales, Sydney Australia) provided expertise in development of R code for the pipeline automation stages. The manuscript was substantially improved based on comments from Katherine Stewart and several anonymous reviewers. The authors declare no conflict of interest with this work.</t>
  </si>
  <si>
    <t>0032-079X</t>
  </si>
  <si>
    <t>1573-5036</t>
  </si>
  <si>
    <t>PLANT SOIL</t>
  </si>
  <si>
    <t>Plant Soil</t>
  </si>
  <si>
    <t>10.1007/s11104-016-2852-y</t>
  </si>
  <si>
    <t>Agronomy; Plant Sciences; Soil Science</t>
  </si>
  <si>
    <t>Agriculture; Plant Sciences</t>
  </si>
  <si>
    <t>DP5RY</t>
  </si>
  <si>
    <t>WOS:000378556400025</t>
  </si>
  <si>
    <t>Dunn, MJ; Jackson, JA; Adlard, S; Phillips, RA</t>
  </si>
  <si>
    <t>Dunn, M. J.; Jackson, J. A.; Adlard, S.; Phillips, R. A.</t>
  </si>
  <si>
    <t>Population size and trends of southern giant petrels (Macronectes giganteus) nesting at Signy Island, South Orkney Islands</t>
  </si>
  <si>
    <t>Antarctica; Petrel; Productivity; Population; Fluctuations; Procellariidae</t>
  </si>
  <si>
    <t>CLIMATE-CHANGE; PENGUIN; ADELIE</t>
  </si>
  <si>
    <t>The southern giant petrel (Macronectes giganteus) has a circumpolar distribution and breeds on subantarctic islands and a few continental Antarctic sites. Although this species has recently been down-listed to Least Concern by the World Conservation Union (IUCN), there are strong fluctuations in abundance and variable long-term trends recorded at different sites. Systematic, long-term monitoring is essential to determine drivers underlying its population dynamics. Here, we examine long-term changes in population size and productivity of southern giant petrels at Signy Island, South Orkney Islands. Comparing estimated numbers of breeding pairs over the whole island in 2000/2001, 2005/2006, 2009/2010 and 2014/2015 with historical data revealed several phases of population change: a 64 % decline (6.2 % per annum) from 1968/1969 to 1984/1985, a 162 % increase (6.2 % per annum) to 2000/2001, stability until 2005/2006, a 56 % decline (18.3 % per annum) to 2009/2010 and stability until 2014/2015. This represents a 1.8 % decline per annum between 1968/1969 and 2014/2015. Annual counts within focal study areas suggested a more rapid increase from 1996/1997 to 2006/2007, but the same downward trend from 2006/2007 to present, underlining potential pitfalls in inferring trends from part-island counts. There was also a 20 % decline in breeding success from 1996/1997 to 2014/2015. Our results indicate substantial fluctuations in southern giant petrel abundance at Signy Island over 4-5 decades and a recent decline in breeding numbers and success. As the southern giant petrels breeding at the South Orkney Islands represents 5-10 % of the global population, continuation of these declines would be of high conservation concern.</t>
  </si>
  <si>
    <t>[Dunn, M. J.; Jackson, J. A.; Adlard, S.; Phillips, R. A.] British Antarctic Survey, NERC, Madingley Rd, Cambridge CB3 0ET, England</t>
  </si>
  <si>
    <t>Dunn, MJ (corresponding author), British Antarctic Survey, NERC, Madingley Rd, Cambridge CB3 0ET, England.</t>
  </si>
  <si>
    <t>Dunn, Michael/0000-0003-4633-5466; Jackson, Jennifer/0000-0003-4158-1924</t>
  </si>
  <si>
    <t>We thank all the members of the Signy Island Research Station, British Antarctic Survey (BAS), who have contributed to and supported the SGP long-term monitoring programme, in particular to Amanda Lynnes, Dirk Briggs and Derren Fox. Thanks are also extended to Phil Trathan for helpful advice and comments. This study is part of the Ecosystems component of the British Antarctic Survey Polar Science for Planet Earth Programme, funded by The Natural Environment Research Council.</t>
  </si>
  <si>
    <t>10.1007/s00300-015-1855-0</t>
  </si>
  <si>
    <t>WOS:000379739200013</t>
  </si>
  <si>
    <t>Hoving, HJT; Arkhipkin, AI; Laptikhovsky, VV; Marian, JEAR</t>
  </si>
  <si>
    <t>Hoving, H. J. T.; Arkhipkin, A. I.; Laptikhovsky, V. V.; Marian, J. E. A. R.</t>
  </si>
  <si>
    <t>Mating tactics in the sub-Antarctic deep-sea squid Onykia ingens (Cephalopoda: Onychoteuthidae)</t>
  </si>
  <si>
    <t>Cephalopoda; Onykia ingens; Deep sea; Reproduction; Mating; Spermatophore</t>
  </si>
  <si>
    <t>REPRODUCTIVE-SYSTEM; SPERMATOPHORIC REACTION; SEXUAL ACTIVITIES; GIANT-SQUID; IN-SITU; OEGOPSIDA; ARCHITEUTHIS; STORAGE; GROWTH; IMPLANTATION</t>
  </si>
  <si>
    <t>The behavior of polar deep-sea nekton is very poorly known. To obtain insight into mating behavior of the abundant and ecologically important sub-Antarctic deep-sea squid Onykia ingens, our goals were to (1) quantify spermatophore production; (2) determine the preferred location for spermatangia deposition; (3) investigate whether male and female O. ingens mate with multiple mates; and (4) discuss the location of implanted spermatangia in light of mating behavior and egg fertilization. Toward this end, we examined male and female O. ingens specimens from Falkland Island and New Zealand waters. Male O. ingens store up to 198 spermatophores (mean 103 +/- A 61; n = 12) in their reproductive system, which are produced over a period of considerable somatic growth (200-400 mm ML), and which may have a considerable size range. Males insert their long extendible terminal organ in the mantle cavity of the female, potentially through the funnel, to deposit spermatophores in one or more of four regions on the female's body. Most implanted spermatangia (52.5 %) were found in the funnel region, but many were also found inside the mantle cavity closer to the oviducts. Males with longer terminal organs therefore may be able to position closer to the oviducts where fertilization chances are higher than for spermatangia located in the funnel region. The number of implanted spermatangia per individual female (4-60, mean 29 +/- A 20; n = 24), the multiregional spermatangia deposition, and the different outer appearance of spermatangia, suggested that females have multiple mating events. Since males produce more spermatophores (up to 200) than the number of spermatangia in one region (&lt; 60), it is likely that males too mate with more than one female. We show how quantitative assessment of reproductive characteristics can provide insight into the reproductive behavior of deep-sea species for which in situ observations are currently lacking.</t>
  </si>
  <si>
    <t>[Hoving, H. J. T.] GEOMAR Helmholtz Ctr Ocean Res Kiel, Kiel, Germany; [Arkhipkin, A. I.] Falkland Isl Fisheries Dept, POB 598, Stanley FIQQ 1ZZ, Falkland Island; [Laptikhovsky, V. V.] CEFAS, Pakefield Rd, Lowestoft NR33 0HT, Suffolk, England; [Marian, J. E. A. R.] Univ Sao Paulo, Dept Zool, Rua Matao,Trav 14 101, BR-05508090 Sao Paulo, Brazil</t>
  </si>
  <si>
    <t>Helmholtz Association; GEOMAR Helmholtz Center for Ocean Research Kiel; Centre for Environment Fisheries &amp; Aquaculture Science; Universidade de Sao Paulo</t>
  </si>
  <si>
    <t>Hoving, HJT (corresponding author), GEOMAR Helmholtz Ctr Ocean Res Kiel, Kiel, Germany.</t>
  </si>
  <si>
    <t>hhoving@geomar.de; AArkhipkin@fisheries.gov.fk; vladimir.laptikhovsky@cefas.co.uk; jemarian@ib.usp.br</t>
  </si>
  <si>
    <t>Marian, José Eduardo Amoroso Rodriguez/V-3244-2019; Marian, José Eduardo/C-7047-2013; Hoving, Henk-Jan T./A-9267-2018</t>
  </si>
  <si>
    <t>Marian, José Eduardo Amoroso Rodriguez/0000-0001-7894-0391; Marian, José Eduardo/0000-0001-7894-0391; Hoving, Henk-Jan T./0000-0002-4330-6507</t>
  </si>
  <si>
    <t>David and Lucile Packard Foundation; Netherlands Organization for Scientific Research (NWO) [825.09.016]; Cluster of Excellence 80 The Future Ocean [CP1218]; Deutsche Forschungsgemeinschaft (DFG) on behalf of the German federal government; Deutsche Forschungsgemeinschaft (DFG) on behalf of the German state government; Sao Paulo Research Foundation-FAPESP [2013/02653-1]; CNPq [477233/2013-9]; Research Center for Marine Biodiversity (NP-BioMar); Fundacao de Amparo a Pesquisa do Estado de Sao Paulo (FAPESP) [13/02653-1] Funding Source: FAPESP</t>
  </si>
  <si>
    <t>David and Lucile Packard Foundation(The David &amp; Lucile Packard Foundation); Netherlands Organization for Scientific Research (NWO)(Netherlands Organization for Scientific Research (NWO)); Cluster of Excellence 80 The Future Ocean; Deutsche Forschungsgemeinschaft (DFG) on behalf of the German federal government(German Research Foundation (DFG)); Deutsche Forschungsgemeinschaft (DFG) on behalf of the German state government(German Research Foundation (DFG)); Sao Paulo Research Foundation-FAPESP(Fundacao de Amparo a Pesquisa do Estado de Sao Paulo (FAPESP)); CNPq(Conselho Nacional de Desenvolvimento Cientifico e Tecnologico (CNPQ)); Research Center for Marine Biodiversity (NP-BioMar); Fundacao de Amparo a Pesquisa do Estado de Sao Paulo (FAPESP)(Fundacao de Amparo a Pesquisa do Estado de Sao Paulo (FAPESP))</t>
  </si>
  <si>
    <t>Dr. Kat Bolstad and Dr. Bruce Marshall are thanked for their help with access to specimens of O. ingens accessioned in the Museum of New Zealand Te Papa Tongarewa in Wellington, New Zealand. Financial support for this study came from the David and Lucile Packard Foundation (HJTH), the Netherlands Organization for Scientific Research (NWO) through a Rubicon Grant (#825.09.016) to HJTH, and by a Grant (CP1218) to HJTH of the Cluster of Excellence 80 The Future Ocean. The Future Ocean is funded within the framework of the Excellence Initiative by the Deutsche Forschungsgemeinschaft (DFG) on behalf of the German federal and state governments. JEARM acknowledges funding provided by the Sao Paulo Research Foundation-FAPESP (Grant # 2013/02653-1) and CNPq (Grant # 477233/2013-9), and the support of the Research Center for Marine Biodiversity (NP-BioMar).</t>
  </si>
  <si>
    <t>10.1007/s00300-015-1856-z</t>
  </si>
  <si>
    <t>WOS:000379739200014</t>
  </si>
  <si>
    <t>Dudeney, JR; Sheail, J; Walton, DWH</t>
  </si>
  <si>
    <t>Dudeney, J. R.; Sheail, J.; Walton, D. W. H.</t>
  </si>
  <si>
    <t>The British Government, Ernest Shackleton, and the rescue of the Imperial Trans-Antarctic Expedition</t>
  </si>
  <si>
    <t>The remarkable rescue of Shackleton's men from Elephant Island, after the sinking of Endurance, and from Ross Island, has been recounted many times by both participants and historians. There has been little critical examination of the part played by governments, nor assessment of some of Shackleton's own actions. In this paper we explore more fully from official British archival sources the extent to which the British Government was prepared to underwrite the rescue efforts; the importance of the plea made by Emily Shackleton directly to the Prime Minister; the role and actions of the Relief Advisory Committee (especially in respect of limiting Shackleton's actions); the significance of the media rights to the debt-laden expedition, and how such preoccupation could have influenced Shackleton's endeavour to rescue his marooned parties.</t>
  </si>
  <si>
    <t>[Dudeney, J. R.] 10 Church Lane, Wilburton CB6 3RQ, Cambs, England; [Sheail, J.] NERC, Ctr Ecol &amp; Hydrol, Wallingford OX10 8BB, Oxon, England; [Walton, D. W. H.] British Antarctic Survey, NERC, Madingley Rd, Cambridge CB3 0ET, Cambs, England</t>
  </si>
  <si>
    <t>UK Research &amp; Innovation (UKRI); Natural Environment Research Council (NERC); UK Centre for Ecology &amp; Hydrology (UKCEH); UK Research &amp; Innovation (UKRI); Natural Environment Research Council (NERC); NERC British Antarctic Survey</t>
  </si>
  <si>
    <t>Dudeney, JR (corresponding author), 10 Church Lane, Wilburton CB6 3RQ, Cambs, England.</t>
  </si>
  <si>
    <t>j.dudeney@btinternet.com</t>
  </si>
  <si>
    <t>Walton, David/0000-0002-7103-4043</t>
  </si>
  <si>
    <t>Polar Regions Department of the Foreign and Commonwealth Office of the United Kingdom as part of our continuing research into British history in Antarctica; National Archives; Natural Environment Research Council [bas010011, ceh010010] Funding Source: researchfish; NERC [bas010011] Funding Source: UKRI</t>
  </si>
  <si>
    <t>Polar Regions Department of the Foreign and Commonwealth Office of the United Kingdom as part of our continuing research into British history in Antarctica; National Archives; Natural Environment Research Council(UK Research &amp; Innovation (UKRI)Natural Environment Research Council (NERC)); NERC(UK Research &amp; Innovation (UKRI)Natural Environment Research Council (NERC))</t>
  </si>
  <si>
    <t>This work has been funded in part by the Polar Regions Department of the Foreign and Commonwealth Office of the United Kingdom as part of our continuing research into British history in Antarctica. The guidance and support of The National Archives are gratefully acknowledged. We are grateful to R Burton and Dr R Lewis-Smith, and to E B Cornejo, Head of Publications at the Instituto Antartico Chileno (INACH), for assistance in locating photographs of Don Ernesto and Emma respectively.</t>
  </si>
  <si>
    <t>10.1017/S0032247414000631</t>
  </si>
  <si>
    <t>DN6SQ</t>
  </si>
  <si>
    <t>WOS:000377206800001</t>
  </si>
  <si>
    <t>Singh, P; Roy, U; Tsuji, M</t>
  </si>
  <si>
    <t>Singh, Purnima; Roy, Utpal; Tsuji, Masaharu</t>
  </si>
  <si>
    <t>Characterisation of yeast and filamentous fungi from Broggerbreen glaciers, Svalbard</t>
  </si>
  <si>
    <t>CRYOCONITE HOLES; PSYCHROPHILIC ENZYMES; MICROBIAL ACTIVITY; BACTERIUM; COLD</t>
  </si>
  <si>
    <t>Cryoconite holes have ecological and biotechnological importance. This article presents results on culturable cryophilic yeasts and filamentous fungi isolated from cryoconite holes at Austre and Vestre Broggerbreen glaciers, Svalbard. Based on DNA sequence data, these were identified as Rhodotorula sp., Thelebolus sp., and Articulospora tetracladia. Amongst these, Articulospora tetracladia (88.7-89.4% gene similarity with 5.8S rDNA) is a novel species, yet to be described. Filamentous fungus Articulospora sp. Cry-FB1 and Cry-FB2, expressed high amylase, cellulase, lipase and protease activities while yeast Rhodotorula sp. Cry-FB3 showed high amylase and cellulase activity. Thelebolus sp. Cry-YB 240 and Cry-YB 241 showed protease and urease activities. The effects of temperature, and salt on the growth of the cultures were studied. Optimum temperature of growth was on 10 degrees C at pH 7.0. Filamentous fungi and yeast in the cryoconite holes possibly drive the process of organic macromolecule degradation through cold-adapted enzyme secretion, thereby assisting in nutrient cycling in these supraglacial environments. Further, these cryophilic fungi, due to their enzyme producing ability, may provide an opportunity for biotechnological research in the Arctic.</t>
  </si>
  <si>
    <t>[Singh, Purnima; Roy, Utpal] Birla Inst Technol &amp; Sci BITS, Dept Biol Sci, Pilani KK Birla Goa Campus, Zuarinagar 403726, Goa, India; [Tsuji, Masaharu] NIPR, 10-3 Midori Machi, Tachikawa, Tokyo 1908518, Japan</t>
  </si>
  <si>
    <t>Birla Institute of Technology &amp; Science Pilani (BITS Pilani); Research Organization of Information &amp; Systems (ROIS); National Institute of Polar Research (NIPR) - Japan</t>
  </si>
  <si>
    <t>Roy, U (corresponding author), Birla Inst Technol &amp; Sci BITS, Dept Biol Sci, Pilani KK Birla Goa Campus, Zuarinagar 403726, Goa, India.</t>
  </si>
  <si>
    <t>utpalroybitsgoa@gmail.com</t>
  </si>
  <si>
    <t>Department of Science and Technology (DST) India [SR/WOSA/LS-419/2013(G)]; Grants-in-Aid for Scientific Research [15H06825, 16H06211, 16K12643] Funding Source: KAKEN</t>
  </si>
  <si>
    <t>Department of Science and Technology (DST) India(Department of Science &amp; Technology (India)); Grants-in-Aid for Scientific Research(Ministry of Education, Culture, Sports, Science and Technology, Japan (MEXT)Japan Society for the Promotion of ScienceGrants-in-Aid for Scientific Research (KAKENHI))</t>
  </si>
  <si>
    <t>We would like to thank the Directors, BITS, NIPR and NCAOR for facilities. Authors are thankful to Department of Science and Technology (DST) India for providing the financial support [SR/WOSA/LS-419/2013(G)]. The authors also acknowledge Dr. S.M. Singh of Polar Biology Laboratory, National Centre for Antarctic Ocean &amp; Research (NCAOR) Goa for his valuable suggestions.</t>
  </si>
  <si>
    <t>10.1017/S0032247416000085</t>
  </si>
  <si>
    <t>WOS:000377206800006</t>
  </si>
  <si>
    <t>Glikson, A; Hickman, A; Evans, NJ; Kirkland, CL; Park, JW; Rapp, R; Romano, S</t>
  </si>
  <si>
    <t>Glikson, Andrew; Hickman, Arthur; Evans, Noreen J.; Kirkland, Christopher L.; Park, Jung-Woo; Rapp, Robert; Romano, Sandra</t>
  </si>
  <si>
    <t>A new ∼3.46 Ga asteroid impact ejecta unit at Marble Bar, Pilbara Craton, Western Australia: A petrological, microprobe and laser ablation ICPMS study</t>
  </si>
  <si>
    <t>Impact; Spherules; Archean; Geochemistry; Pilbara; Marble Bar</t>
  </si>
  <si>
    <t>SOUTH-AFRICA; GREENSTONE-BELT; ARCHEAN CHERTS; GEOCHEMICAL EVIDENCE; HEMATITE FORMATION; CONTINENTAL-CRUST; SEDIMENTARY-ROCKS; WARRAWOONA GROUP; SPHERULE LAYERS; ORIGIN</t>
  </si>
  <si>
    <t>The Archean rock record contains seventeen asteroid impact ejecta units that represent the terrestrial vestiges of an extended late heavy bombardment (LHB). Correlated impact ejecta units include 3472-3470 Ma impact spherule layers in the Barberton Greenstone Belt, Kaapvaal Craton, South Africa, and the Pilbara Craton, Western Australia, and several ejecta units dated between 3250 and 3220 Ma and between 2630 and 2480 Ma (Lowe and Byerly, 2010; Lowe et al., 2003, 2014). This paper reports the discovery and investigation of a new impact ejecta unit within the Marble Bar Chert Member (MBCM) of the felsic volcanic Duffer Formation, east Pilbara Craton, Western Australia. The age of the MBCM is constrained by a 3459 +/- 2 Ma U-Pb zircon date from the uppermost volcanic unit of the Duffer Formation and by a 3449 +/- 3 Ma U-Pb zircon date from the overlying felsic volcanic Panorama Formation, stratigraphically above the intervening un-dated Apex Basalt. The ejecta unit, observed in a drill core (ABDP 1) similar to 4 km south-southwest of Marble Bar, consists of multiple lenses and bands of almost totally silicified impact spherules 1-2 mm in diameter. All internal primary textures of the spherules have been destroyed. Nonetheless, Fe-rich spherule rims, largely composed of secondary siderite, are well preserved. Chemical analyses of the rims reveal iron-magnesium carbonate displaying high Fe, Mg, Ni, Co and Zn. Whole-rock and in-situ analyses (X-ray fluorescence, Inductively Coupled Plasma Mass Spectrometry (ICPMS), electron-microprobe (EMP) and EMP-calibrated laser ICPMS) reveal that the rims contain high Ni abundances and high Ni/Cr ratios (&lt;50). The spherules are separated by an arenite matrix and spherule lenses also occur within bedded chert. The spherules are particularly visible over some similar to 14 m of true stratigraphic thickness in which chert breccia is interpreted to represent a tsunami generated diamictite affected by hydrothermal fragmentation and veining. Despite the almost total silicification of the MBCM whole-rock analysis by NIS Fire Assay and ICPMS indicates high Ir (2 ppb) and a low Pd/Ir ratio (2.0), consistent with geochemical features of impact ejecta units. Dense concentrations of spherules at the 57-58 m level and the 77 m level of the core, separated by banded chert, raise the possibility of two distinct impact events. Stratigraphic and isotopic age data distinguish between the 3459 and 3449 Ma age of the MBCM ejecta unit and similar to 3470.1 +/- 1.9 Ma impact ejecta units in the Antarctic Creek Member, Mount Ada Basalt, about 40 km to the west of Marble Bar. In combination with a 3472 +/- 2.3 Ma impact unit in the Barberton greenstone belt, these impact ejecta units record large Paleoarchean asteroid impacts, significant for understanding early bombardment rates on Earth and early crustal evolution. (C) 2016 Elsevier B.V. All rights reserved.</t>
  </si>
  <si>
    <t>[Glikson, Andrew] Geosci Australia, POB 378, Canberra, ACT 2601, Australia; [Glikson, Andrew] Australian Natl Univ, Planetary Sci Inst, Acton, ACT, Australia; [Hickman, Arthur; Romano, Sandra] Geol Survey Western Australia, 100 Plain St, East Perth, WA 6004, Australia; [Evans, Noreen J.; Kirkland, Christopher L.] Curtin Univ, John de Laeter Ctr, Appl Geol, TIGeR, Bentley, WA 6102, Australia; [Kirkland, Christopher L.] Curtin Univ, Dept Appl Geol, Ctr Explorat Targeting, Curtin Node,Western Australian Sch Mines, Bentley, WA 6102, Australia; [Romano, Sandra] Australian Natl Univ, Res Sch Earth Sci, GPO Box 4, Canberra, ACT 2601, Australia; [Park, Jung-Woo; Rapp, Robert] Seoul Natl Univ, Sch Earth &amp; Environm Sci, Seoul 151747, South Korea; [Park, Jung-Woo] Seoul Natl Univ, Res Inst Oceanog, Seoul 151747, South Korea</t>
  </si>
  <si>
    <t>Geoscience Australia; Australian National University; Geological Survey of Western Australia; Curtin University; Curtin University; Australian National University; Seoul National University (SNU); Seoul National University (SNU)</t>
  </si>
  <si>
    <t>Glikson, A (corresponding author), Geosci Australia, POB 378, Canberra, ACT 2601, Australia.</t>
  </si>
  <si>
    <t>Park, Jung-Woo/I-3500-2015; Kirkland, Christopher/S-3305-2016</t>
  </si>
  <si>
    <t>Park, Jung-Woo/0000-0002-3792-451X; Kirkland, Christopher/0000-0003-3367-8961; Evans, Noreen/0000-0002-7615-8328</t>
  </si>
  <si>
    <t>University, State and Commonwealth Governments</t>
  </si>
  <si>
    <t>We thank David DiBugnara (Geoscience Australia) for SEM-EDS analyses of spherules, John Vickers for preparation of thin sections and Brad McDonald for assistance with LA-ICPMS. The authors acknowledge the facilities, and the scientific and technical assistance, especially Malcolm Roberts, of the Australian Microscopy &amp; Microanalysis Research Facility at the Centre for Microscopy, Characterization &amp; Analysis, The University of Western Australia, a facility funded by the University, State and Commonwealth Governments. Samples of the ABDP 1 core used in the study were provided by the Perth Core Library of the Geological Survey of Western Australia (GSWA). Arthur Hickman and Sandra Romano publish with permission of the Executive Director of the GSWA. We thank Balz Kamber and three reviewers for their constructive comments and suggestions.</t>
  </si>
  <si>
    <t>10.1016/j.precamres.2016.04.003</t>
  </si>
  <si>
    <t>DO4GL</t>
  </si>
  <si>
    <t>WOS:000377739700007</t>
  </si>
  <si>
    <t>Klocker, A; Marshall, DP; Keating, SR; Read, PL</t>
  </si>
  <si>
    <t>Klocker, A.; Marshall, D. P.; Keating, S. R.; Read, P. L.</t>
  </si>
  <si>
    <t>A regime diagram for ocean geostrophic turbulence</t>
  </si>
  <si>
    <t>geostrophic turbulence; mesoscale eddies; eddy mixing; Rhines scale; baroclinic instability; mixing length</t>
  </si>
  <si>
    <t>BETA-PLANE; POTENTIAL VORTICITY; MEAN FLOW; OVERTURNING CIRCULATION; GENERAL-CIRCULATION; EDDY DIFFUSIVITY; ENERGY CASCADE; WAVES; EDDIES; ATMOSPHERES</t>
  </si>
  <si>
    <t>A two-dimensional regime diagram for geostrophic turbulence in the ocean is constructed by plotting observation-based estimates of the non-dimensional eddy length-scale against a nonlinearity parameter equal to the ratio of the root-mean-square eddy velocity and baroclinic Rossby phase speed. Two estimates of the eddy length-scale are compared: the equivalent eddy radius inferred from the area enclosed by contours of sea-surface height, and the 'unsuppressed' mixing length, based on an estimate of the eddy diffusivity with mean flow effects removed. For weak nonlinearity, as found in the Tropics, the mixing length mostly corresponds to the stability threshold for baroclinic instability whereas the eddy radius corresponds to the Rhines scale; it is suggested that this mismatch is indicative of the inverse energy cascade that occurs at low latitudes in the ocean and the zonal elongation of eddies. At larger values of nonlinearity, as found at mid-and high latitudes, the eddy length-scales are much shorter than the stability threshold, within a factor of 2.5 of the Rossby deformation radius.</t>
  </si>
  <si>
    <t>[Klocker, A.] Univ Tasmania, Inst Marine &amp; Antarctic Studies, Hobart, Tas, Australia; [Marshall, D. P.; Read, P. L.] Univ Oxford, Dept Phys, Oxford OX1 2JD, England; [Keating, S. R.] Univ New South Wales, Sch Math &amp; Stat, Sydney, NSW, Australia</t>
  </si>
  <si>
    <t>University of Tasmania; University of Oxford; University of New South Wales Sydney</t>
  </si>
  <si>
    <t>Klocker, A (corresponding author), Univ Tasmania, Inst Marine &amp; Antarctic Studies, 20 Castray Esplanade, Battery Point, Tas 7004, Australia.</t>
  </si>
  <si>
    <t>andreas.klocker@utas.edu.au</t>
  </si>
  <si>
    <t>Marshall, David Philip/B-6767-2009; Keating, Shane/Y-4462-2019; Klocker, Andreas/E-4632-2011</t>
  </si>
  <si>
    <t>Marshall, David Philip/0000-0002-5199-6579; Keating, Shane/0000-0002-6817-925X; Klocker, Andreas/0000-0002-2038-7922</t>
  </si>
  <si>
    <t>Australian Bicentennial Fellowship; Australian Research Council [DE140100076, CE110001028]; UNSW; Oxford Martin School; UK Science and Technology Facilities Council [ST/K00106X/1]; Engineering and Physical Sciences Research Council [EP/K029428/1]; Engineering and Physical Sciences Research Council [EP/K029428/1] Funding Source: researchfish; Science and Technology Facilities Council [ST/K00106X/1] Funding Source: researchfish; EPSRC [EP/K029428/1] Funding Source: UKRI; STFC [ST/K00106X/1] Funding Source: UKRI; Australian Research Council [DE140100076] Funding Source: Australian Research Council</t>
  </si>
  <si>
    <t>Australian Bicentennial Fellowship; Australian Research Council(Australian Research Council); UNSW; Oxford Martin School; UK Science and Technology Facilities Council(UK Research &amp; Innovation (UKRI)Science &amp; Technology Facilities Council (STFC)); Engineering and Physical Sciences Research Council(UK Research &amp; Innovation (UKRI)Engineering &amp; Physical Sciences Research Council (EPSRC)); Engineering and Physical Sciences Research Council(UK Research &amp; Innovation (UKRI)Engineering &amp; Physical Sciences Research Council (EPSRC)); Science and Technology Facilities Council(UK Research &amp; Innovation (UKRI)Science &amp; Technology Facilities Council (STFC)); EPSRC(UK Research &amp; Innovation (UKRI)Engineering &amp; Physical Sciences Research Council (EPSRC)); STFC(UK Research &amp; Innovation (UKRI)Science &amp; Technology Facilities Council (STFC)); Australian Research Council(Australian Research Council)</t>
  </si>
  <si>
    <t>The authors thank Ross Tulloch for providing data, and Dudley Chelton, Boris Galperin, Michael McIntyre, Shafer Smith and an anonymous reviewer for useful discussions and suggestions which helped to improve this manuscript. This work started during a visit of AK to the University of Oxford supported by an Australian Bicentennial Fellowship. AK was supported by a Australian Research Council Discovery Early Career Researcher Award (DE140100076). SRK was supported by a UNSW Faculty Research Grant. SRK is also an Associate Investigator in the ARC Centre of Excellence in Climate Systems Science which is supported by the Australian Research Council via grant CE110001028. DPM was partially supported by the Oxford Martin School. PLR was partially supported by the UK Science and Technology Facilities Council (ST/K00106X/1) and the Engineering and Physical Sciences Research Council (EP/K029428/1).</t>
  </si>
  <si>
    <t>10.1002/qj.2833</t>
  </si>
  <si>
    <t>WOS:000385367000016</t>
  </si>
  <si>
    <t>Jiang, XY; Wang, XY; He, YQ; Hu, HM; Li, ZZ; Spötl, C; Shen, CC</t>
  </si>
  <si>
    <t>Jiang, Xiuyang; Wang, Xiaoyan; He, Yaoqi; Hu, Hsun-Ming; Li, Zhizhong; Spoetl, Christoph; Shen, Chuan-Chou</t>
  </si>
  <si>
    <t>Precisely dated multidecadally resolved Asian summer monsoon dynamics 113.5-86.6 thousand years ago</t>
  </si>
  <si>
    <t>Asian summer monsoon; Sanxing Cave; MIS 5; Chinese interstadials; Precursor event</t>
  </si>
  <si>
    <t>CHINESE CAVE RECORDS; GREENLAND ICE CORE; MILLENNIAL-SCALE; NORTH-ATLANTIC; INDIAN MONSOON; CLIMATE OSCILLATIONS; DELTA-O-18 RECORDS; OXYGEN ISOTOPES; DONGGE CAVE; MIS 3</t>
  </si>
  <si>
    <t>We present a new Th-230-dated absolute chronology of Asian summer monsoon (ASM) variability from 113.5 to 86.6 kyr BP (before 1950 AD). This integrated multidecadally resolved record, based on 1435 oxygen isotope data and 46 Th-230 dates with 2-sigma errors as low as +/- 0.3 kyr from three stalagmites collected in Sanxing Cave, southwestern China, can be a new reference for calibrating paleoclimate proxy sequences. The Sanxing delta O-18 record follows the 23 kyr precessional cycle of insolation and is punctuated by prominent millennial-scale oscillations of the Chinese Interstadials (CIS) 25 to 22, corresponding to Greenland Interstadials (GIS) 25 to 22. The onset of CIS 25, 24, 23 and 22 is dated to 113.1 +/- 0.4, 108.1 +/- 0.3, 103.7 +/- 0.3 and 91.4 +/- 0.6 kyr BP in the Sanxing record, respectively. The end of CIS 24 and CIS 22 is constrained to 105.5 +/- 0.4 and 87.7 +/- 0.3 kyr BP, respectively. A centennial-scale precursor event at 104.1 +/- 0.3 kyr BP preceding CIS 23 is clearly registered. These events in the Sanxing record are synchronous with those identified in stalagmites from the European Alps (NALPS), except for the onset of GIS 25 and the end of GIS 22, and differ by up to 23 kyr from the corresponding ones in Greenland ice core records. The high degree of similarity of the delta O-18 records between Sanxing Cave and Greenland supports a Northern Hemisphere forcing of the ASM. The anti-phase relationship of delta O-18 records between Sanxing stalagmites and Antarctic ice cores suggests an additional ASM linkage to the Southern Hemisphere. (C) 2016 Elsevier Ltd. All rights reserved.</t>
  </si>
  <si>
    <t>[Jiang, Xiuyang; Wang, Xiaoyan; Li, Zhizhong] Fujian Normal Univ, Coll Geog Sci, Minist Educ, Key Lab Humid Subtrop Ecogeog Proc, Fuzhou 350007, Peoples R China; [Jiang, Xiuyang; Li, Zhizhong] Fujian Normal Univ, Inst Geog, Fuzhou 350007, Peoples R China; [He, Yaoqi] Guizhou Minzu Univ, Coll Tourism &amp; Air Serv, Guiyang 550025, Peoples R China; [Hu, Hsun-Ming; Shen, Chuan-Chou] Natl Taiwan Univ, Dept Geosci, High Precis Mass Spectrometry &amp; Environm Change L, Taipei 106, Taiwan; [Spoetl, Christoph] Leopold Franzens Univ Innsbruck, Inst Geol, Innrain 52, A-6020 Innsbruck, Austria</t>
  </si>
  <si>
    <t>Fujian Normal University; Fujian Normal University; Guizhou Minzu University; National Taiwan University; University of Innsbruck</t>
  </si>
  <si>
    <t>Shen, CC (corresponding author), Natl Taiwan Univ, Dept Geosci, High Precis Mass Spectrometry &amp; Environm Change L, Taipei 106, Taiwan.;Jiang, XY (corresponding author), Fujian Normal Univ, Coll Geog Sci, Fuzhou 350007, Peoples R China.</t>
  </si>
  <si>
    <t>xyjiang@fjnu.edu.cn; river@ntu.edu.tw</t>
  </si>
  <si>
    <t>lin, ke/GZM-8300-2022; Shen, Chuan-Chou/JCE-1989-2023; Shen, Chuan-Chou/H-9642-2013</t>
  </si>
  <si>
    <t>Shen, Chuan-Chou/0000-0003-2833-2771; Shen, Chuan-Chou/0000-0003-2833-2771; Jiang, Xiuyang/0000-0001-9617-0431; Hu, Hsun-Ming/0000-0002-9204-8874</t>
  </si>
  <si>
    <t>National Natural Science Foundation of China [41372189, U1405231, 41463014]; Taiwan ROC MOST [103-2119-M-002-022, 104-2119-M-002-003]; National Taiwan University [105R7625]</t>
  </si>
  <si>
    <t>National Natural Science Foundation of China(National Natural Science Foundation of China (NSFC)); Taiwan ROC MOST; National Taiwan University(National Taiwan University)</t>
  </si>
  <si>
    <t>Authors would like to thank K. Lin for her assistance in the laboratory. Reviews by several anonymous reviewers greatly improved this manuscript. This study was supported by the National Natural Science Foundation of China (41372189, U1405231 to X.J. and 41463014 to Y.H.). Funding was also provided by grants from Taiwan ROC MOST (103-2119-M-002-022 and 104-2119-M-002-003 to C.-C.S.) and the National Taiwan University (105R7625 to C.-C.S.).</t>
  </si>
  <si>
    <t>10.1016/j.quascirev.2016.05.003</t>
  </si>
  <si>
    <t>DP7ID</t>
  </si>
  <si>
    <t>WOS:000378671500001</t>
  </si>
  <si>
    <t>Kääb, A; Winsvold, SH; Altena, B; Nuth, C; Nagler, T; Wuite, J</t>
  </si>
  <si>
    <t>Kaab, Andreas; Winsvold, Solveig H.; Altena, Bas; Nuth, Christopher; Nagler, Thomas; Wuite, Jan</t>
  </si>
  <si>
    <t>Glacier Remote Sensing Using Sentinel-2. Part I: Radiometric and Geometric Performance, and Application to Ice Velocity</t>
  </si>
  <si>
    <t>Sentinel-2; Landsat; ortho-rectification; geo-location; ice velocity; Aletsch Glacier; Fox Glacier; Jakobshavn Isbree; Antarctic Peninsula</t>
  </si>
  <si>
    <t>LANDSAT DATA; SATELLITE; MISSION; PERMAFROST; INVENTORY; PENINSULA; ACCURACY; IMAGERY; AREA</t>
  </si>
  <si>
    <t>With its temporal resolution of 10 days (five days with two satellites, and significantly more at high latitudes), its swath width of 290 km, and its 10 m and 20 m spatial resolution bands from the visible to the shortwave infrared, the European Sentinel-2 satellites have significant potential for glacier remote sensing, in particular mapping of glacier outlines and facies, and velocity measurements. Testing Level 1C commissioning and ramp-up phase data for initial sensor quality experiences, we find a high radiometric performance, but with slight striping effects under certain conditions. Through co-registration of repeat Sentinal-2 data we also find lateral offset patterns and noise on the order of a few metres. Neither of these issues will complicate most typical glaciological applications. Absolute geo-location of the data investigated was on the order of one pixel at the time of writing. The most severe geometric problem stems from vertical errors of the DEM used for ortho-rectifying Sentinel-2 data. These errors propagate into locally varying lateral offsets in the images, up to several pixels with respect to other georeferenced data, or between Sentinel-2 data from different orbits. Finally, we characterize the potential and limitations of tracking glacier flow from repeat Sentinel-2 data using a set of typical glaciers in different environments: Aletsch Glacier, Swiss Alps; Fox Glacier, New Zealand; Jakobshavn Isbree, Greenland; Antarctic Peninsula at the Larsen C ice shelf.</t>
  </si>
  <si>
    <t>[Kaab, Andreas; Winsvold, Solveig H.; Altena, Bas; Nuth, Christopher] Univ Oslo, Dept Geosci, POB 1047, N-0316 Oslo, Norway; [Nagler, Thomas; Wuite, Jan] ENVEO, ICT Technol Pk,Technikerstr 21a, A-6020 Innsbruck, Austria</t>
  </si>
  <si>
    <t>University of Oslo</t>
  </si>
  <si>
    <t>Kääb, A (corresponding author), Univ Oslo, Dept Geosci, POB 1047, N-0316 Oslo, Norway.</t>
  </si>
  <si>
    <t>kaeaeb@geo.uio.no; s.h.winsvold@geo.uio.no; bas.altena@geo.uio.no; chris.nuth@geo.uio.no; thomas.nagler@enveo.at; Jan.Wuite@enveo.at</t>
  </si>
  <si>
    <t>Kääb, Andreas/AAG-8769-2020; Altena, Bas/I-2849-2019</t>
  </si>
  <si>
    <t>Kääb, Andreas/0000-0002-6017-6564; Altena, Bas/0000-0001-9025-0326; Wuite, Jan/0000-0001-9333-1586; Nuth, Christopher/0000-0002-1063-2832</t>
  </si>
  <si>
    <t>European Research Council under European Union/ERC [320816]; ESA [4000109873/14/I-NB]; Norwegian Space Centre [NIT.06.15.5]</t>
  </si>
  <si>
    <t>European Research Council under European Union/ERC(European Research Council (ERC)); ESA(European Space Agency); Norwegian Space Centre</t>
  </si>
  <si>
    <t>The study was in parts funded by the European Research Council under the European Union's Seventh Framework Programme (FP/2007-2013)/ERC grant agreement No. 320816, the ESA project Glaciers_cci (4000109873/14/I-NB) and by the Norwegian Space Centre contract NIT.06.15.5. We are very grateful to ESA for provision of the Copernicus Sentinel-2 data through the Sentinel Science Hub and Sentinel-2 Expert Users Data Hub, the USGS for provision of the Landsat data through EarthExplorer, the Norwegian mapping agency for provision of their DEM, and Swisstopo for provision of their swissimage25.</t>
  </si>
  <si>
    <t>10.3390/rs8070598</t>
  </si>
  <si>
    <t>DU5AR</t>
  </si>
  <si>
    <t>WOS:000382224800068</t>
  </si>
  <si>
    <t>Kern, S; Ozsoy-Çiçek, B; Worby, AP</t>
  </si>
  <si>
    <t>Kern, Stefan; Ozsoy-Cicek, Burcu; Worby, Anthony P.</t>
  </si>
  <si>
    <t>Antarctic Sea-Ice Thickness Retrieval from ICESat: Inter-Comparison of Different Approaches</t>
  </si>
  <si>
    <t>sea ice; snow satellite remote sensing; Antarctic; laser altimetry; microwave radiometry; inter-comparison</t>
  </si>
  <si>
    <t>WEDDELL SEA; SNOW DEPTH; SSM/I; FREEBOARD; BELLINGSHAUSEN; VARIABILITY; ALTIMETRY; ROSS</t>
  </si>
  <si>
    <t>Accurate circum-Antarctic sea-ice thickness is urgently required to better understand the different sea-ice cover evolution in both polar regions. Satellite radar and laser altimetry are currently the most promising tools for sea-ice thickness retrieval. We present qualitative inter-comparisons of winter and spring circum-Antarctic sea-ice thickness computed with different approaches from Ice Cloud and land Elevation Satellite (ICESat) laser altimeter total (sea ice plus snow) freeboard estimates. We find that approach A, which assumes total freeboard equals snow depth, and approach B, which uses empirical linear relationships between freeboard and thickness, provide the lowest sea-ice thickness and the smallest winter-to-spring increase in seasonal average modal and mean sea-ice thickness: A: 0.0 m and 0.04 m, B: 0.17 and 0.16 m, respectively. Approach C uses contemporary snow depth from satellite microwave radiometry, and we derive comparably large sea-ice thickness. Here we observe an unrealistically large winter-to-spring increase in seasonal average modal and mean sea-ice thickness of 0.68 m and 0.65 m, respectively, which we attribute to biases in the snow depth. We present a conceptually new approach D. It assumes that the two-layer system (sea ice, snow) can be represented by one layer. This layer has a modified density, which takes into account the influence of the snow on sea-ice buoyancy. With approach D we obtain thickness values and a winter-to-spring increase in average modal and mean sea-ice thickness of 0.17 m and 0.23 m, respectively, which lay between those of approaches B and C. We discuss retrieval uncertainty, systematic uncertainty sources, and the impact of grid resolution. We find that sea-ice thickness obtained with approaches C and D agrees best with independent sea-ice thickness information-if we take into account the potential bias of in situ and ship-based observations.</t>
  </si>
  <si>
    <t>[Kern, Stefan] Univ Hamburg, Ctr Earth Syst Res &amp; Sustainabil CEN, ICDC, D-20144 Hamburg, Germany; [Ozsoy-Cicek, Burcu] Istanbul Tech Univ, Maritime Fac, Polar Res Ctr PolReC, TR-34940 Istanbul, Turkey; [Worby, Anthony P.] Univ Tasmania, ACE CRC, Hobart, Tas 7000, Australia</t>
  </si>
  <si>
    <t>University of Hamburg; Istanbul Technical University; University of Tasmania</t>
  </si>
  <si>
    <t>Kern, S (corresponding author), Univ Hamburg, Ctr Earth Syst Res &amp; Sustainabil CEN, ICDC, D-20144 Hamburg, Germany.</t>
  </si>
  <si>
    <t>stefan.kern@uni-hamburg.de; burcu.ozsoycicek@gmail.com; tony.worby@acecrc.org.au</t>
  </si>
  <si>
    <t>Ozsoy, Burcu/AAH-5348-2020; Worby, Anthony P/A-2373-2012</t>
  </si>
  <si>
    <t>Ozsoy, Burcu/0000-0003-4320-1796; Kern, Stefan/0000-0001-7281-3746</t>
  </si>
  <si>
    <t>Center of Excellence for Climate System Analysis and Prediction (CliSAP); Antarctic Climate and Ecosystems Cooperative Research Centre (ACE CRC); International Space Science Institute (ISSI), Bern, Switzerland [245]</t>
  </si>
  <si>
    <t>Center of Excellence for Climate System Analysis and Prediction (CliSAP); Antarctic Climate and Ecosystems Cooperative Research Centre (ACE CRC)(Australian GovernmentDepartment of Industry, Innovation and ScienceCooperative Research Centres (CRC) Programme); International Space Science Institute (ISSI), Bern, Switzerland</t>
  </si>
  <si>
    <t>The work was carried out within the ESA Climate Change Initiative Sea Ice (SICCI) project as an activity of the Integrated Climate Data Center (ICDC) at the Center for Earth System Research and Sustainability (CEN). Stefan Kern acknowledges support given by the Center of Excellence for Climate System Analysis and Prediction (CliSAP). Burcu Ozsoy-Cicek appreciates support given by the Istanbul Technical University (ITU) in the field of polar research, which greatly helped to conduct this study and to realize a recent Turkish research cruise into the Antarctic. This research was supported by the Antarctic Climate and Ecosystems Cooperative Research Centre (ACE CRC). The authors acknowledge support from the International Space Science Institute (ISSI), Bern, Switzerland, under project No. 245: Heil, P., and S. Kern, Towards an integrated retrieval of Antarctic sea ice volume. The authors thank four reviewers for their very helpful comments.</t>
  </si>
  <si>
    <t>10.3390/rs8070538</t>
  </si>
  <si>
    <t>WOS:000382224800008</t>
  </si>
  <si>
    <t>Ryan, MT; Newnham, RM; Dunbar, GB; Vandergoes, MJ; Rees, ABH; Neil, H; Callard, SL; Alloway, BV; Bostock, H; Hua, Q; Anderson, BM</t>
  </si>
  <si>
    <t>Ryan, Matthew T.; Newnham, Rewi M.; Dunbar, Gavin B.; Vandergoes, Marcus J.; Rees, Andrew B. H.; Neil, Helen; Callard, S. Louise; Alloway, Brent V.; Bostock, Helen; Hua, Quan; Anderson, Brian M.</t>
  </si>
  <si>
    <t>Exploring the source-to-sink residence time of terrestrial pollen deposited offshore Westland, New Zealand</t>
  </si>
  <si>
    <t>Pollen residence time; Land-sea correlation; Westland; New Zealand; Late Pleistocene</t>
  </si>
  <si>
    <t>LAST GLACIAL MAXIMUM; KA ORUANUI ERUPTION; SOUTHWEST PACIFIC; SURFACE SEDIMENTS; KAWAKAWA TEPHRA; NORTH-ISLAND; MARINE; CLIMATE; RADIOCARBON; VEGETATION</t>
  </si>
  <si>
    <t>The occurrence of terrestrial palynomorphs in Quaternary marine sedimentary sequences allows for direct land sea correlations and provides a means for transferring Marine Isotope Stage chronologies to terrestrial records that extend beyond the range of radiocarbon dating. Both of these important applications require an implicit assumption that the lag between pollen release and final deposition on the seafloor - here referred to as source-to-sink residence time - is negligible in relation to the chronological resolution of the sedimentary sequence. Most studies implicitly assume zero lag, and where studies do take palynomorph residence time into account, its magnitude is rarely quantified. In Westland, New Zealand, fluvial transport is the main source of delivery of terrestrial pollen offshore to the adjacent East Tasman Sea. We radiocarbon-dated organic matter carried and deposited by contemporary Westland rivers that drain catchments with varying degrees of disturbance. The ages obtained ranged widely from essentially modern (i.e., -57 +/- 22 cal yr BP) to 3583 +/- 188 cal yr BP, suggesting that precisely constraining the residence time in this region is unlikely to be achieved. We also compared the timing of four palynomorph events characterising Westland's late Pleistocene, along with the well-dated Kawakawa/Oruanui Tephra (KOT), between marine core MD06-2991 and four terrestrial records from Westland. Critically, all palynomorph events and the KOT are chronologically indistinguishable with respect to the independently dated marine and terrestrial records, supporting the general principle of transferring the marine chronology onto the terrestrial records in this setting. In other regions, particularly those lacking the high soil production and erosion rates that characterise Westland, we suggest that similar tests of marine residence time should be conducted before assumptions of zero or negligible lag are invoked. (C) 2016 Elsevier B.V. All rights reserved.</t>
  </si>
  <si>
    <t>[Ryan, Matthew T.; Newnham, Rewi M.; Rees, Andrew B. H.] Victoria Univ Wellington, Sch Geog Environm &amp; Earth Sci, POB 600, Wellington, New Zealand; [Ryan, Matthew T.; Dunbar, Gavin B.; Alloway, Brent V.; Anderson, Brian M.] Victoria Univ Wellington, Antarctic Res Ctr, POB 600, Wellington, New Zealand; [Vandergoes, Marcus J.] GNS Sci Ltd, 1 Fairway Dr, Lower Hutt, New Zealand; [Neil, Helen; Bostock, Helen] NIWA Ltd, Private Bag 14-901, Wellington, New Zealand; [Callard, S. Louise] Univ Durham, Dept Geog, Durham, England; [Hua, Quan] Australian Nucl Sci &amp; Technol Org, Locked Bag 2001, Kirrawee Dc, NSW 2232, Australia</t>
  </si>
  <si>
    <t>Victoria University Wellington; Victoria University Wellington; National Institute of Water &amp; Atmospheric Research (NIWA) - New Zealand; Durham University; Australian Nuclear Science &amp; Technology Organisation</t>
  </si>
  <si>
    <t>Ryan, MT (corresponding author), Victoria Univ Wellington, Sch Geog Environm &amp; Earth Sci, POB 600, Wellington, New Zealand.;Ryan, MT (corresponding author), Victoria Univ Wellington, Antarctic Res Ctr, POB 600, Wellington, New Zealand.</t>
  </si>
  <si>
    <t>Bostock, Helen/A-6834-2013; Hua, Quan/F-9593-2014; Rees, Andrew/Q-1417-2017</t>
  </si>
  <si>
    <t>Bostock, Helen/0000-0002-8903-8958; Rees, Andrew/0000-0003-4026-7765</t>
  </si>
  <si>
    <t>Australian Institute of Nuclear Science and Engineering (AINSE) [ALNGRA1116, ALNGRA10524]; NIWA core funding under Marine Physical Resources and Processes Programme; Victoria University of Wellington; GNS Global Change Through Time programme [540GCT41]; NIWA under the Environmental Information Research Programme 1 [2013/14 SCI]; NIWA; Meridian Energy and NZX</t>
  </si>
  <si>
    <t>Australian Institute of Nuclear Science and Engineering (AINSE); NIWA core funding under Marine Physical Resources and Processes Programme; Victoria University of Wellington; GNS Global Change Through Time programme; NIWA under the Environmental Information Research Programme 1; NIWA; Meridian Energy and NZX</t>
  </si>
  <si>
    <t>We acknowledge the officers and crew from the R.V. Marion Dufresne MATACORE 152 cruise for the collection of the MD06-2991 core used in this study. We thank Christopher Bronk Ramsey for his advice on OxCal v4.2.4. Support for this research came from the Australian Institute of Nuclear Science and Engineering (AINSE) Award Nos. ALNGRA1116 and ALNGRA10524. Radiocarbon dates on the MD06-2991 core were also funded by NIWA core funding under Marine Physical Resources and Processes Programme. M.T. Ryan was funded through Victoria University of Wellington and GNS Global Change Through Time programme (540GCT41). Stage flow data for the Arawata, Haast and Hokitika sites was funded by NIWA under the Environmental Information Research Programme 1 (2013/14 SCI). Stage flow data for the Whataroa River was funded by NIWA, Meridian Energy and NZX. The manuscript benefited from constructive comments by Dr. Bill McLea, Dr. Christine Prior, Professor Euan Smith and Dr. Katie Collins.</t>
  </si>
  <si>
    <t>10.1016/j.revpalbo.2016.03.005</t>
  </si>
  <si>
    <t>DO4BV</t>
  </si>
  <si>
    <t>WOS:000377727700004</t>
  </si>
  <si>
    <t>Hoffman, JI; Kowalski, GJ; Klimova, A; Eberhart-Phillips, LJ; Staniland, IJ; Baylis, AMM</t>
  </si>
  <si>
    <t>Hoffman, J. I.; Kowalski, G. J.; Klimova, A.; Eberhart-Phillips, L. J.; Staniland, I. J.; Baylis, A. M. M.</t>
  </si>
  <si>
    <t>Population structure and historical demography of South American sea lions provide insights into the catastrophic decline of a marine mammal population</t>
  </si>
  <si>
    <t>population structure; anthropogenic exploitation; historical demography; phylogeography; pinniped</t>
  </si>
  <si>
    <t>OTARIA-FLAVESCENS; FUR-SEAL; MICROSATELLITE LOCI; MITOCHONDRIAL-DNA; GENETIC DIVERSITY; MAXIMUM-LIKELIHOOD; ALLELE; CONSERVATION; MUTATION; SIZE</t>
  </si>
  <si>
    <t>Understanding the causes of population decline is crucial for conservation management. We therefore used genetic analysis both to provide baseline data on population structure and to evaluate hypotheses for the catastrophic decline of the South American sea lion (Otaria flavescens) at the Falkland Islands (Malvinas) in the South Atlantic. We genotyped 259 animals from 23 colonies across the Falklands at 281 bp of the mitochondrial hypervariable region and 22 microsatellites. A weak signature of population structure was detected, genetic diversity was moderately high in comparison with other pinniped species, and no evidence was found for the decline being associated with a strong demographic bottleneck. By combining our mitochondrial data with published sequences from Argentina, Brazil, Chile and Peru, we also uncovered strong maternally directed population structure across the geographical range of the species. In particular, very few shared haplotypes were found between the Falklands and South America, and this was reflected in correspondingly low migration rate estimates. These findings do not support the prominent hypothesis that the decline was caused by migration to Argentina, where large-scale commercial harvesting operations claimed over half a million animals. Thus, our study not only provides baseline data for conservation management but also reveals the potential for genetic studies to shed light upon long-standing questions pertaining to the history and fate of natural populations.</t>
  </si>
  <si>
    <t>[Hoffman, J. I.; Kowalski, G. J.; Eberhart-Phillips, L. J.] Univ Bielefeld, Dept Anim Behav, Postfach 100131, D-33501 Bielefeld, Germany; [Kowalski, G. J.] Univ Potsdam, Inst Biochem &amp; Biol, Anim Ecol Grp, Maulbeerallee 1, D-14469 Potsdam, Germany; [Klimova, A.] Ctr Invest Biol Noroeste Baja Calif Sur, La Paz, Mexico; [Staniland, I. J.] British Antarctic Survey, Nat Environm Res Council, Madingley Rd, Cambridge CB3 0ET, England; [Baylis, A. M. M.] Macquarie Univ, Dept Biol Sci, Sydney, NSW 2109, Australia</t>
  </si>
  <si>
    <t>University of Bielefeld; University of Potsdam; UK Research &amp; Innovation (UKRI); Natural Environment Research Council (NERC); NERC British Antarctic Survey; Macquarie University</t>
  </si>
  <si>
    <t>j_i_hoffman@hotmail.com</t>
  </si>
  <si>
    <t>Staniland, Iain/I-4725-2012; Baylis, Alastair/H-9471-2019; Eberhart-Hertel, Luke/H-7894-2019; Hoffman, Joseph/K-7725-2012</t>
  </si>
  <si>
    <t>Staniland, Iain/0000-0003-2736-9134; Baylis, Alastair/0000-0002-5167-0472; Eberhart-Hertel, Luke/0000-0001-7311-6088; Kowalski, Gabriele Joanna/0000-0003-1495-2507; Hoffman, Joseph/0000-0001-5895-8949</t>
  </si>
  <si>
    <t>Marie Curie FP7-Reintegration-Grant within the 7th European Community Framework Programme [PCIG-GA-2011-303618]; Shackleton Scholarship Fund (Centenary Award); Rufford Small Grants; Sea World and Busch Gardens Conservation Fund; Joint Nature Conservation Council; National Geographic; Winifred Violet Scott; Falkland Islands Government; NERC [bas0100035] Funding Source: UKRI; Natural Environment Research Council [bas0100035] Funding Source: researchfish</t>
  </si>
  <si>
    <t>Marie Curie FP7-Reintegration-Grant within the 7th European Community Framework Programme(European Union (EU)); Shackleton Scholarship Fund (Centenary Award); Rufford Small Grants; Sea World and Busch Gardens Conservation Fund; Joint Nature Conservation Council; National Geographic(National Geographic Society); Winifred Violet Scott; Falkland Islands Government; NERC(UK Research &amp; Innovation (UKRI)Natural Environment Research Council (NERC)); Natural Environment Research Council(UK Research &amp; Innovation (UKRI)Natural Environment Research Council (NERC))</t>
  </si>
  <si>
    <t>The genetic work was funded by a Marie Curie FP7-Reintegration-Grant within the 7th European Community Framework Programme (PCIG-GA-2011-303618). Fieldwork was funded by the Shackleton Scholarship Fund (Centenary Award), Rufford Small Grants, Sea World and Busch Gardens Conservation Fund, Joint Nature Conservation Council, National Geographic, Winifred Violet Scott and the Falkland Islands Government.</t>
  </si>
  <si>
    <t>10.1098/rsos.160291</t>
  </si>
  <si>
    <t>WOS:000384409400019</t>
  </si>
  <si>
    <t>Liu, EJ; Oliva, M; Antoniades, D; Giralt, S; Granados, I; Pla-Rabes, S; Toro, M; Geyer, A</t>
  </si>
  <si>
    <t>Liu, E. J.; Oliva, M.; Antoniades, D.; Giralt, S.; Granados, I.; Pla-Rabes, S.; Toro, M.; Geyer, A.</t>
  </si>
  <si>
    <t>Expanding the tephrostratigraphical framework for the South Shetland Islands, Antarctica, by combining compositional and textural tephra characterisation</t>
  </si>
  <si>
    <t>SEDIMENTARY GEOLOGY</t>
  </si>
  <si>
    <t>Tephrostratigraphy; Volcanology; Lake sediments; Antarctica; Livingston Island; Deception Island</t>
  </si>
  <si>
    <t>LIVINGSTON ISLAND; BYERS PENINSULA; LAKE-SEDIMENTS; VOLCANIC ASH; DECEPTION ISLAND; ERUPTIVE UNITS; TEPHROCHRONOLOGY; FRAGMENTATION; DEPOSITION; IDENTIFICATION</t>
  </si>
  <si>
    <t>Tephra layers preserved in lake sedimentary sequences provide valuable isochrons with which to synchronise palaeoclimatic records. However, in regions where tephra inputs are dominated by a single volcanic source, overlapping chemical compositions can preclude unambiguous correlation of tephra layers. In this study, we characterise multiple visible (macrotephra) layers within sedimentary sequences from three lakes in Byers Peninsula, Antarctica. By combining compositional analyses with additional constraints from textural componentry, we identify three distinct tephra isochrons-T1, T2, and T3-each with distinct textural properties. The relative proportion of glassy compared to crystal-rich grains varies from similar to 50% (T3) to similar to 3% (T1) of the total sample. Although the proportion of dense to vesicular grains differs only slightly between all sampled tephra layers, the dominant vesicle shape varies from spherical (T3) to irregular and polylobate (T1/T2). These textural differences can be related to variations in the eruptive processes occurring at the Deception Island source volcano. This study highlights the efficacy of a correlative approach based on both chemical and physical tephra properties for deconvolving the tephra stratigraphy in regions where chemical compositions are non-unique. (C) 2015 Elsevier B.V. All rights reserved.</t>
  </si>
  <si>
    <t>[Liu, E. J.] Univ Bristol, Dept Earth Sci, Wills Mem Bldg, Bristol BS8 1RJ, Avon, England; [Oliva, M.] Univ Lisbon, Ctr Geog Studies, Inst Geog &amp; Spatial Planning, P-1699 Lisbon, Portugal; [Antoniades, D.] Univ Laval, Dept Geog, Quebec City, PQ, Canada; [Antoniades, D.] Univ Laval, Ctr Etud Nord, Quebec City, PQ, Canada; [Giralt, S.; Geyer, A.] ICTJA CSIC, Inst Earth Sci Jaume Almera, Lluis Sole i Sabaris S-N, Barcelona 08028, Spain; [Granados, I.] Parque Nacl Sierra Guadarrama, Ctr Invest Seguimiento &amp; Evaluac, Rascafria, Madrid, Spain; [Pla-Rabes, S.] Ctr Ecol Res &amp; Forestry Applicat CREAF CSIC, Cerdanyola Del Valles, Catalonia, Spain; [Toro, M.] Ctr Hydrog Studies CEDEX, Madrid, Spain</t>
  </si>
  <si>
    <t>University of Bristol; Universidade de Lisboa; Laval University; Laval University; Consejo Superior de Investigaciones Cientificas (CSIC); CSIC - Geociencias Barcelona (GEO3BCN); Centro de Investigacion Ecologica y Aplicaciones Forestales (CREAF-CERCA)</t>
  </si>
  <si>
    <t>Liu, EJ (corresponding author), Univ Bristol, Dept Earth Sci, Wills Mem Bldg, Bristol BS8 1RJ, Avon, England.</t>
  </si>
  <si>
    <t>emma.liu@bristol.ac.uk</t>
  </si>
  <si>
    <t>Granados, Ignacio/A-3737-2013; Giralt, Santiago/G-4823-2011; Geyer, Adelina/C-9490-2011; Giralt, Santiago/AAA-8585-2020; Pla-Rabes, Sergi/J-9209-2012; Geyer, Adelina/A-6624-2012; Oliva, Marc/K-5423-2014</t>
  </si>
  <si>
    <t>Granados, Ignacio/0000-0002-8669-6613; Giralt, Santiago/0000-0001-8570-7838; Giralt, Santiago/0000-0001-8570-7838; Pla-Rabes, Sergi/0000-0003-3532-9466; Antoniades, Dermot/0000-0001-6629-4839; Geyer, Adelina/0000-0002-8803-6504; Nicholson, Emma/0000-0003-1749-9285; Toro Velasco, Manuel/0000-0002-4860-7229; Oliva, Marc/0000-0001-6521-6388</t>
  </si>
  <si>
    <t>Portuguese Science Foundation; Portuguese Polar Programme; AXA Research Fund; University of Bristol postgraduate scholarship; Education and Culture Ministry (Spain) [POL2006-06635/CGL]; Juan de la Cierva Grant [JCI-2010-06092]; Ramon y Cajal contract [RYC-2012-11024]; MICINN [CTM2011-13578-E]</t>
  </si>
  <si>
    <t>Portuguese Science Foundation(Fundacao para a Ciencia e a Tecnologia (FCT)); Portuguese Polar Programme; AXA Research Fund(AXA Research Fund); University of Bristol postgraduate scholarship; Education and Culture Ministry (Spain); Juan de la Cierva Grant; Ramon y Cajal contract(Spanish Government); MICINN(Spanish Government)</t>
  </si>
  <si>
    <t>The authors acknowledge financial assistance from the Portuguese Science Foundation through the project HOLOANTAR (Holocene environmental change in the Maritime Antarctic. Interactions between permafrost and the lacustrine environment), the Portuguese Polar Programme, and the AXA Research Fund. EJL acknowledges support from a University of Bristol postgraduate scholarship. Field work in Limnopolar Lake was supported by grant POL2006-06635/CGL from the Education and Culture Ministry (Spain) in the framework of the International Polar Year 2007-09 activities. AG is grateful for her Juan de la Cierva Grant (JCI-2010-06092) and Ramon y Cajal contract (RYC-2012-11024). Part of this research was supported by the MICINN grant CTM2011-13578-E. The authors wish to thank K. Fontijn, D. Lowe and J. Knight for their highly constructive reviews that helped to improve this manuscript.</t>
  </si>
  <si>
    <t>0037-0738</t>
  </si>
  <si>
    <t>1879-0968</t>
  </si>
  <si>
    <t>SEDIMENT GEOL</t>
  </si>
  <si>
    <t>Sediment. Geol.</t>
  </si>
  <si>
    <t>10.1016/j.sedgeo.2015.08.002</t>
  </si>
  <si>
    <t>DP4BD</t>
  </si>
  <si>
    <t>WOS:000378439500007</t>
  </si>
  <si>
    <t>Gayen, B; Griffiths, RW; Kerr, RC</t>
  </si>
  <si>
    <t>Gayen, Bishakhdatta; Griffiths, Ross W.; Kerr, Ross C.</t>
  </si>
  <si>
    <t>Simulation of convection at a vertical ice face dissolving into saline water</t>
  </si>
  <si>
    <t>JOURNAL OF FLUID MECHANICS</t>
  </si>
  <si>
    <t>geophysical and geological flows; turbulence simulation; turbulent convection</t>
  </si>
  <si>
    <t>VIGOROUS COMPOSITIONAL CONVECTION; BOUNDARY-LAYER; SURFACE; SHELF; TEMPERATURE; TRANSPORT; DRIVEN</t>
  </si>
  <si>
    <t>We investigate the convection and dissolution rate generated when a wall of ice dissolves into seawater under Antarctic Ocean conditions. In direct numerical simulations three coupled interface equations are used to solve for interface temperature, salinity and ablation velocity, along with the boundary layer flow and transport. The main focus is on ambient water temperatures between -1 degrees C and and salinities around 35 parts per thousand, where diffusion of sail to the ice water interface depresses the freezing point and enhances heat diffusion to the ice. We show that fluxes of both heat and salt to the interface are significant in governing the dissolution of ice, and the ablation velocity agrees well with experiments and a recent theoretical prediction. The same turbulent flow dynamics and ablation rate are expected to apply at any depth in a deeper ocean water column (after choosing the relevant pressure coefficient for the liquidus temperature). At Grashof numbers currently accessible by direct numerical simulation, turbulence is generated both directly from buoyancy flux and from shear production in the buoyancy-driven boundary layer flow, whereas shear production by the convective flow is expected to be more important at geophysical scales. The momentum balance in the boundary layer is dominated by buoyancy forcing and wall stress, with the latter characterised by a large drag coefficient.</t>
  </si>
  <si>
    <t>[Gayen, Bishakhdatta; Griffiths, Ross W.; Kerr, Ross C.] Australian Natl Univ, Res Sch Earth Sci, GPO Box 4, Canberra, ACT 2601, Australia</t>
  </si>
  <si>
    <t>Gayen, B (corresponding author), Australian Natl Univ, Res Sch Earth Sci, GPO Box 4, Canberra, ACT 2601, Australia.</t>
  </si>
  <si>
    <t>bishakhdatta.gayen@anu.edu.cn</t>
  </si>
  <si>
    <t>Gayen, Bishakhdatta/Y-4300-2019; Kerr, Ross/H-8315-2014; griffiths, ross/E-6121-2010</t>
  </si>
  <si>
    <t>Gayen, Bishakhdatta/0000-0001-6543-2590; Kerr, Ross/0000-0002-8022-1326; griffiths, ross/0000-0002-5291-1178</t>
  </si>
  <si>
    <t>Australian Government; Australian Research Council [DP120102772, DP120102744]; ARC DECRA Fellowship [DE140100089]; Australian Research Council [DE140100089] Funding Source: Australian Research Council</t>
  </si>
  <si>
    <t>Australian Government(Australian Government); Australian Research Council(Australian Research Council); ARC DECRA Fellowship(Australian Research Council); Australian Research Council(Australian Research Council)</t>
  </si>
  <si>
    <t>Computations were carried out using the Australian National Computational Infrastructure, through the National Computational Merit Allocation Scheme supported by the Australian Government. This work was supported by Australian Research Council grants DP120102772 and DP120102744. B.G. was supported by ARC DECRA Fellowship DE140100089.</t>
  </si>
  <si>
    <t>0022-1120</t>
  </si>
  <si>
    <t>1469-7645</t>
  </si>
  <si>
    <t>J FLUID MECH</t>
  </si>
  <si>
    <t>J. Fluid Mech.</t>
  </si>
  <si>
    <t>10.1017/jfm.2016.315</t>
  </si>
  <si>
    <t>DO0CQ</t>
  </si>
  <si>
    <t>WOS:000377447400015</t>
  </si>
  <si>
    <t>Ramudu, E; Hirsh, BH; Olson, P; Gnanadesikan, A</t>
  </si>
  <si>
    <t>Ramudu, Eshwan; Hirsh, Benjamin Henry; Olson, Peter; Gnanadesikan, Anand</t>
  </si>
  <si>
    <t>Turbulent heat exchange between water and ice at an evolving ice-water interface</t>
  </si>
  <si>
    <t>ocean processes; solidification/melting; turbulent boundary layers</t>
  </si>
  <si>
    <t>PINE ISLAND GLACIER; VERTICAL SOLID-SURFACE; NATURAL-CONVECTION; MASS-TRANSFER; SHELF; BENEATH; MODEL; CIRCULATION; SOLIDIFICATION; DRIVEN</t>
  </si>
  <si>
    <t>We conduct laboratory experiments on the time evolution of an ice layer cooled from below and subjected to a turbulent shear flow of warm water from above. Our study is motivated by observations of warm water intrusion into the ocean cavity under Antarctic ice shelves, accelerating the melting of their basal surfaces. The strength of the applied turbulent shear flow in our experiments is represented in terms of its Reynolds number Re, which is varied over the range 2.0 x 10(3) &lt;= Re &lt;= 1.0 x 10(4). Depending on the water temperature, partial transient melting of the ice occurs at the lower end of this range of Re and complete transient melting of the ice occurs at the higher end. Following these episodes of transient melting, the ice reforms at a rate that is independent of Re. We tit our experimental measurements of ice thickness and temperature to a one-dimensional model for the evolution of the ice thickness in which the turbulent heat transfer is parameterized in terms of the friction velocity of the shear flow. Applying our model to field measurements at a site under the Antarctic Pinc Island Glacier ice shelf yields a predicted melt rate that exceeds present-day observations.</t>
  </si>
  <si>
    <t>[Ramudu, Eshwan; Hirsh, Benjamin Henry; Olson, Peter; Gnanadesikan, Anand] Johns Hopkins Univ, Dept Earth &amp; Planetary Sci, Baltimore, MD 21218 USA</t>
  </si>
  <si>
    <t>Ramudu, E (corresponding author), Johns Hopkins Univ, Dept Earth &amp; Planetary Sci, Baltimore, MD 21218 USA.</t>
  </si>
  <si>
    <t>eramudu@jhu.edu</t>
  </si>
  <si>
    <t>Gnanadesikan, Anand/A-2397-2008</t>
  </si>
  <si>
    <t>Gnanadesikan, Anand/0000-0001-5784-1116; Ramudu, Eshwan/0000-0001-5517-9560</t>
  </si>
  <si>
    <t>NSF [EAR-110371]</t>
  </si>
  <si>
    <t>We thank Y. Li and H. Chen for help in conducting the PIV measurements. We also thank X. I. A. Yang for helpful discussion. The experiments were financially supported by NSF grant EAR-110371.</t>
  </si>
  <si>
    <t>10.1017/jfm.2016.321</t>
  </si>
  <si>
    <t>WOS:000377447400026</t>
  </si>
  <si>
    <t>Winter, W</t>
  </si>
  <si>
    <t>Winter, Walter</t>
  </si>
  <si>
    <t>Atmospheric neutrino oscillations for Earth tomography</t>
  </si>
  <si>
    <t>NUCLEAR PHYSICS B</t>
  </si>
  <si>
    <t>ABSORPTION TOMOGRAPHY; PARAMETRIC-RESONANCE; DENSITY; MATTER; SOLAR; ENHANCEMENT; SIMULATION</t>
  </si>
  <si>
    <t>Modern proposed atmospheric neutrino oscillation experiments, such as PINGU in the Antarctic ice or ORCA in Mediterranean sea water, aim for precision measurements of the oscillation parameters including the ordering of the neutrino masses. They can, however, go far beyond that: Since neutrino oscillations are affected by the coherent forward scattering with matter, neutrinos can provide a new view on the interior of the earth. We show that the proposed atmospheric oscillation experiments can measure the lower mantle density of the earth with a precision at the level of a few percent, including the uncertainties of the oscillation parameters and correlations among different density layers. While the earth's core is, in principle, accessible by the angular resolution, new technology would be required to extract degeneracy-free information. (C) 2016 The Author. Published by Elsevier B.V. This is an open access article under the CC BY license (http://creativecommons.org/licenses/by/4.0/). Funded by SCOAP(3).</t>
  </si>
  <si>
    <t>[Winter, Walter] Deutsch Elekt Synchrotron DESY, Platanenallee 6, D-15738 Zeuthen, Germany</t>
  </si>
  <si>
    <t>Helmholtz Association; Deutsches Elektronen-Synchrotron (DESY)</t>
  </si>
  <si>
    <t>Winter, W (corresponding author), Deutsch Elekt Synchrotron DESY, Platanenallee 6, D-15738 Zeuthen, Germany.</t>
  </si>
  <si>
    <t>walter.winter@desy.de</t>
  </si>
  <si>
    <t>Winter, Walter/0000-0001-7062-0289</t>
  </si>
  <si>
    <t>European Research Council (ERC) under the European Union [646623]; European Research Council (ERC) [646623] Funding Source: European Research Council (ERC)</t>
  </si>
  <si>
    <t>European Research Council (ERC) under the European Union(European Research Council (ERC)); European Research Council (ERC)(European Research Council (ERC)Spanish Government)</t>
  </si>
  <si>
    <t>This project has received funding from the European Research Council (ERC) under the European Union's Horizon 2020 research and innovation programme (Grant No. 646623).</t>
  </si>
  <si>
    <t>0550-3213</t>
  </si>
  <si>
    <t>1873-1562</t>
  </si>
  <si>
    <t>NUCL PHYS B</t>
  </si>
  <si>
    <t>Nucl. Phys. B</t>
  </si>
  <si>
    <t>10.1016/j.nuclphysb.2016.03.033</t>
  </si>
  <si>
    <t>Physics, Particles &amp; Fields</t>
  </si>
  <si>
    <t>DN8MU</t>
  </si>
  <si>
    <t>WOS:000377334000017</t>
  </si>
  <si>
    <t>Roscales, JL; González-Solís, J; Zango, L; Ryan, PG; Jiménez, B</t>
  </si>
  <si>
    <t>Roscales, Jose L.; Gonzalez-Solis, Jacob; Zango, Laura; Ryan, Peter G.; Jimenez, Begotia</t>
  </si>
  <si>
    <t>Latitudinal exposure to DDTs, HCB, PCBs, PBDEs and DP in giant petrels (Macronectes spp.) across the Southern Ocean</t>
  </si>
  <si>
    <t>ENVIRONMENTAL RESEARCH</t>
  </si>
  <si>
    <t>POPs; Antarctica; Seabirds; Stable isotopes; Long-range transport</t>
  </si>
  <si>
    <t>POLYBROMINATED DIPHENYL ETHERS; PERSISTENT ORGANIC POLLUTANTS; STABLE-ISOTOPE SIGNATURES; LONG-RANGE TRANSPORT; KING GEORGE ISLAND; ORGANOCHLORINE CONTAMINANTS; POLYCHLORINATED-BIPHENYLS; GLOBAL ENVIRONMENT; MELTING GLACIERS; TROPHIC POSITION</t>
  </si>
  <si>
    <t>Studies on Persistent Organic Pollutants (POPs) in Antarctic wildlife are scarce, and usually limited to a single locality. As a result, wildlife exposure to POPs across the Southern Ocean is poorly understood. In this study, we report the differential exposure of the major southern ocean scavengers, the giant petrels, to POPs across a wide latitudinal gradient. Selected POPs (PCBs, HCB, DDTs, PBDEs) and related compounds, such as Dechlorane Plus (DP), were analyzed in plasma of southern giant petrels (Macronectes giganteus) breeding on Livingston (62 degrees S 61 degrees W, Antarctica), Marion (46 degrees S 37 degrees E, sub-Antarctic), and Gough (40 degrees S 10 degrees W, cool temperate) islands. Northern giant petrels (Macronectes halli) from Marion Island were also studied. Stable isotope ratios of C and N (delta C-13 and delta N-15) were used as dietary tracers of the marine habitat and trophic level, respectively. Breeding locality was a major factor explaining petrel exposure to POPs compared with species and sex. Significant relationships between delta C-13 values and POP burdens, at both inter- and intra-population levels, support latitudinal variations in feeding grounds as a key factor in explaining petrel pollutant burdens. Overall, pollutant levels in giant petrels decreased significantly with latitude, but the relative abundance (%) of the more volatile POPs increased towards Antarctica. DP was found at negligible levels compared with legacy POPs in Antarctic seabirds. Spatial POP patterns found in giant petrels match those predicted by global distribution models, and reinforce the hypothesis of atmospheric long-range transport as the main source of POPs in Antarctica. Our results confirm that wildlife movements out of the polar region markedly increase their exposure to POPs. Therefore, strategies for Antarctic wildlife conservation should consider spatial heterogeneity in exposure to marine pollution. Of particular relevance is the need to clarify the exposure of Antarctic predators to emerging contaminants that are not yet globally regulated. (C) 2016 Elsevier Inc. All rights reserved.</t>
  </si>
  <si>
    <t>[Roscales, Jose L.; Jimenez, Begotia] CSIC, Dept Instrumental Anal &amp; Environm Chem, Inst Organ Chem, IQOG, Juan Cierva 3, Madrid 28006, Spain; [Gonzalez-Solis, Jacob; Zango, Laura] Univ Barcelona, Inst Recerca Biodiversitat IRBio, Av Diagonal 643, E-08028 Barcelona, Spain; [Gonzalez-Solis, Jacob; Zango, Laura] Univ Barcelona, Dept Anim Biol, Av Diagonal 643, E-08028 Barcelona, Spain; [Ryan, Peter G.] Univ Cape Town, Percy Fitzpatrick Inst, DST NRF Ctr Excellence, ZA-7701 Rondebosch, South Africa</t>
  </si>
  <si>
    <t>Consejo Superior de Investigaciones Cientificas (CSIC); CSIC - Instituto de Quimica Organica General (IQOG); University of Barcelona; University of Barcelona; University of Cape Town; National Research Foundation - South Africa</t>
  </si>
  <si>
    <t>Roscales, JL (corresponding author), CSIC, Dept Instrumental Anal &amp; Environm Chem, Inst Organ Chem, IQOG, Juan Cierva 3, Madrid 28006, Spain.</t>
  </si>
  <si>
    <t>jloscales@iqog.csic.es</t>
  </si>
  <si>
    <t>Jiménez, Begoña/C-6324-2012; González-Solís, Jacob/AAB-1161-2019; Gonzalez-Solis, Jacob/C-3942-2008; Roscales, Jose/H-6716-2015</t>
  </si>
  <si>
    <t>Jiménez, Begoña/0000-0002-2401-4648; Gonzalez-Solis, Jacob/0000-0002-8691-9397; Roscales, Jose/0000-0002-0446-6911; Zango, Laura/0000-0003-0909-2493</t>
  </si>
  <si>
    <t>CSIC; MAGRAMA [EG042010, 14CAES001]; South African Department of Environment Affairs, through the South African National Antarctic Programme; Ministerio de Educacion y Ciencia [POL2006-06635]; Ministerio de Ciencia e Innovacion from the Spanish Governament [CGL2006-01315/BOS, CGL2009-11278/BOS]</t>
  </si>
  <si>
    <t>CSIC; MAGRAMA; South African Department of Environment Affairs, through the South African National Antarctic Programme; Ministerio de Educacion y Ciencia(Spanish Government); Ministerio de Ciencia e Innovacion from the Spanish Governament</t>
  </si>
  <si>
    <t>CSIC and MAGRAMA (projects EG042010 and 14CAES001) are acknowledged for financial support. Roscales, J.L., acknowledges his contract under project 14CAES001. Logistical support and financial funding during field work was provided by the South African Department of Environment Affairs, through the South African National Antarctic Programme, and Ministerio de Educacion y Ciencia (POL2006-06635) and Ministerio de Ciencia e Innovacion from the Spanish Governament (CGL2006-01315/BOS, CGL2009-11278/BOS).</t>
  </si>
  <si>
    <t>0013-9351</t>
  </si>
  <si>
    <t>1096-0953</t>
  </si>
  <si>
    <t>ENVIRON RES</t>
  </si>
  <si>
    <t>Environ. Res.</t>
  </si>
  <si>
    <t>10.1016/j.envres.2016.04.005</t>
  </si>
  <si>
    <t>Environmental Sciences; Public, Environmental &amp; Occupational Health</t>
  </si>
  <si>
    <t>Environmental Sciences &amp; Ecology; Public, Environmental &amp; Occupational Health</t>
  </si>
  <si>
    <t>DM9VC</t>
  </si>
  <si>
    <t>WOS:000376712800030</t>
  </si>
  <si>
    <t>Becagli, S; Lazzara, L; Marchese, C; Dayan, U; Ascanius, SE; Cacciani, M; Caiazzo, L; Di Biagio, C; Di Iorio, T; di Sarra, A; Eriksen, P; Fani, F; Giardi, F; Meloni, D; Muscari, G; Pace, G; Severi, M; Traversi, R; Udisti, R</t>
  </si>
  <si>
    <t>Becagli, S.; Lazzara, L.; Marchese, C.; Dayan, U.; Ascanius, S. E.; Cacciani, M.; Caiazzo, L.; Di Biagio, C.; Di Iorio, T.; di Sarra, A.; Eriksen, P.; Fani, F.; Giardi, F.; Meloni, D.; Muscari, G.; Pace, G.; Severi, M.; Traversi, R.; Udisti, R.</t>
  </si>
  <si>
    <t>Relationships linking primary production, sea ice melting, and biogenic aerosol in the Arctic</t>
  </si>
  <si>
    <t>MSA; Primary production; Arctic; Marginal sea ice; Sea ice melting; Chlorophyll</t>
  </si>
  <si>
    <t>NORTH WATER POLYNYA; TERRA-NOVA BAY; DIMETHYL SULFIDE; OCEANIC PHYTOPLANKTON; METHANESULFONIC-ACID; BARENTS SEA; ATMOSPHERIC SULFUR; SOLAR-RADIATION; CHLOROPHYLL-A; ROSS SEA</t>
  </si>
  <si>
    <t>This study examines the relationships linking methanesulfonic acid (MSA, arising from the atmospheric oxidation of the biogenic dimethylsulfide, DMS) in atmospheric aerosol, satellite-derived chlorophyll a (Chl-a), and oceanic primary production (PP), also as a function of sea ice melting (SIM) and extension of the ice free area in the marginal ice zone (IF-MIZ) in the Arctic. MSA was determined in PM10 samples collected over the period 2010-2012 at two Arctic sites, Ny Alesund (78.9 degrees N, 11.9 degrees E), Svalbard islands, and Thule Air Base (76.5 degrees N, 68.8 degrees W), Greenland. PP is calculated by means of a bio-optical, physiologically based, semi-analytical model in the potential source areas located in the surrounding oceanic regions (Barents and Greenland Seas for Ny Alesund, and Baffin Bay for Thule). Chl-a peaks in May in the Barents sea and in the Baffin Bay, and has maxima in June in the Greenland sea; PP follows the same seasonal pattern of Chl-a, although the differences in absolute values of PP in the three seas during the blooms are less marked than for Chl-a. MSA shows a better correlation with PP than with Chl-a, besides, the source intensity (expressed by PP) is able to explain more than 30% of the MSA variability at the two sites; the other factors explaining the MSA variability are taxonomic differences in the phytoplanktonic assemblages, and transport processes from the DMS source areas to the sampling sites. The taxonomic differences are also evident from the slopes of the correlation plots between MSA and PP: similar slopes (in the range 34.2-36.2 ng m(-3) of MSA/(gC m(-2) d(-1))) are found for the correlation between MSA at Ny Alesund and PP in Barents Sea, and between MSA at Thule and PP in the Baffin Bay; conversely, the slope of the correlation between MSA at Ny Alesund and PP in the Greenland Sea in summer is smaller (16.7 ng m(-3) of MSA/(gC m(-2) d(-1))). This is due to the fact that DMS emission from the Barents Sea and Baffin Bay is mainly related to the MIZ diatoms, which are prolific DMS producers, whereas in the Greenland Sea the DMS peak is related to an offshore pelagic bloom where low-DMS producer species are present. The sea ice dynamic plays a key role in determining MSA concentration in the Arctic, and a good correlation between MSA and SIM (slope = 39 ng m(-3) of MSA/10(6) km(2) SIM) and between MSA and IF-MIZ (slope = 56 ng m(-3) of MSA/10(6) km(2) IF-MIZ) is found for the cases attributable to bloomings of diatoms in the MIZ. Such relationships are calculated by combining the data sets from the two sites and suggest that PP is related to sea ice melting and to the extension of marginal sea ice areas, and that these factors are the main drivers for MSA concentrations at the considered Arctic sites. (C) 2016 The Authors. Published by Elsevier Ltd. This is an open access article under the CC BY-NC-ND license.</t>
  </si>
  <si>
    <t>[Becagli, S.; Caiazzo, L.; Giardi, F.; Severi, M.; Traversi, R.; Udisti, R.] Univ Florence, Dept Chem, Via Lastruccia 3, I-50079 Florence, Italy; [Lazzara, L.; Fani, F.] Univ Florence, Dept Biol, Via Madonna del Piano 6, I-50019 Florence, Italy; [Marchese, C.] Univ Quebec, Dept Biol Chim &amp; Geog, 300 Allee Ursulines, Rimouski, PQ G5L 3A1, Canada; [Dayan, U.] Hebrew Univ Jerusalem, Dept Geog, IL-91905 Jerusalem, Israel; [Ascanius, S. E.] Danish Meteorol Isntitute, Qaanaaq, Greenland; [Cacciani, M.] Univ Roma La Sapienza, Dept Phys, Rome, Italy; [Di Biagio, C.; Di Iorio, T.; di Sarra, A.; Meloni, D.; Pace, G.] ENEA, Lab Earth Observat &amp; Anal, I-00123 Rome, Italy; [Di Biagio, C.] Univ Paris Est Creteil, UMR CNRS 7583, LISA, Paris, France; [Di Biagio, C.] Univ Paris Diderot, Inst Pierre Simon Laplace Creteil, Paris, France; [Eriksen, P.] Danish Meteorol Inst, Copenhagen, Denmark; [Muscari, G.] INGV, I-00143 Rome, Italy</t>
  </si>
  <si>
    <t>University of Florence; University of Florence; University of Quebec; Hebrew University of Jerusalem; Sapienza University Rome; Italian National Agency New Technical Energy &amp; Sustainable Economics Development; Universite Paris-Est-Creteil-Val-de-Marne (UPEC); Universite Paris Cite; Universite Paris Cite; Danish Meteorological Institute DMI; Istituto Nazionale Geofisica e Vulcanologia (INGV)</t>
  </si>
  <si>
    <t>Becagli, S (corresponding author), Univ Florence, Dept Chem, Via Lastruccia 3, I-50079 Florence, Italy.</t>
  </si>
  <si>
    <t>silvia.becagli@unifi.it</t>
  </si>
  <si>
    <t>Giardi, Fabio/AAP-1091-2020; Marchese, Christian/HJA-2658-2022; Becagli, Silvia/GNW-2665-2022; Dayan, Uri/D-4855-2014; Meloni, Daniela/AAB-2217-2022; Lazzara, Luigi Carlo/C-6838-2012; Di Iorio, Tatiana/O-8700-2015; Caiazzo, Laura/AAT-1502-2020; Severi, Mirko/J-2508-2012; di Sarra, Alcide/J-1491-2016</t>
  </si>
  <si>
    <t>Giardi, Fabio/0000-0003-0291-7800; Marchese, Christian/0000-0002-2414-9251; Lazzara, Luigi Carlo/0000-0002-1351-9683; Di Iorio, Tatiana/0000-0001-8872-8917; Caiazzo, Laura/0000-0001-7932-2499; Di Biagio, Claudia/0000-0001-8273-6211; Muscari, Giovanni/0000-0001-6326-2612; Meloni, Daniela/0000-0002-2171-1296; Severi, Mirko/0000-0003-1511-6762; di Sarra, Alcide/0000-0002-2405-2898</t>
  </si>
  <si>
    <t>Italian Ministry for University and Research (MIUR) [2007L8Y4NB, 20092C7KRC]; Italian Antarctic Programme; MIUR [2009/A3.04, 2013/0.03]; Progetto Premiale ARCA</t>
  </si>
  <si>
    <t>Italian Ministry for University and Research (MIUR)(Ministry of Education, Universities and Research (MIUR)); Italian Antarctic Programme; MIUR(Ministry of Education, Universities and Research (MIUR)); Progetto Premiale ARCA</t>
  </si>
  <si>
    <t>Measurements at Ny Alesund and Thule were partially supported by projects PRIN 2007 2007L8Y4NB (Dirigibile Italia) and PRIN 2009 20092C7KRC (Arctica), both funded by the Italian Ministry for University and Research (MIUR). Measurements at Thule were also partly supported by the Italian Antarctic Programme, also funded by MIUR, through Projects 2009/A3.04 and 2013/0.03. This study has been also partially supported by Progetto Premiale ARCA.</t>
  </si>
  <si>
    <t>10.1016/j.atmosenv.2016.04.002</t>
  </si>
  <si>
    <t>DN1DS</t>
  </si>
  <si>
    <t>WOS:000376807100001</t>
  </si>
  <si>
    <t>Rontani, JF; Galeron, MA</t>
  </si>
  <si>
    <t>Rontani, Jean-Francois; Galeron, Marie-Aimee</t>
  </si>
  <si>
    <t>Autoxidation of chlorophyll phytyl side chain in senescent phototrophic organisms: A potential source of isophytol in the environment</t>
  </si>
  <si>
    <t>ORGANIC GEOCHEMISTRY</t>
  </si>
  <si>
    <t>Isophytol; Chlorophyll phytyl side-chain; Autoxidation; Phytoplankton; Higher plants; Senescence</t>
  </si>
  <si>
    <t>DEGRADATION; SEDIMENTS; MARINE; MATTER</t>
  </si>
  <si>
    <t>In this short paper, it is demonstrated that autoxidation (free radical induced oxidation) of the chlorophyll phytyl side chain in senescent phytoplanktonic cells and higher plants constitutes a potential source of isophytol (3,7,11,15-tetramethylhexadec-1-en-3-ol) in the environment. To explain the formation of this isoprenoid alcohol, mechanisms involving the formation of the precursor 3-peroxy-3,7,11,15-tetramethylhexadec-1-ene are proposed. (C) 2016 Elsevier Ltd. All rights reserved.</t>
  </si>
  <si>
    <t>[Rontani, Jean-Francois; Galeron, Marie-Aimee] Aix Marseille Univ, Univ Toulon, CNRS INSU, IRD,Mediterranean Inst Oceanog MIO UM 110, F-13288 Marseille, France</t>
  </si>
  <si>
    <t>Centre National de la Recherche Scientifique (CNRS); CNRS - National Institute for Earth Sciences &amp; Astronomy (INSU); Aix-Marseille Universite; Institut de Recherche pour le Developpement (IRD)</t>
  </si>
  <si>
    <t>Rontani, JF (corresponding author), Aix Marseille Univ, Univ Toulon, CNRS INSU, IRD,Mediterranean Inst Oceanog MIO UM 110, F-13288 Marseille, France.</t>
  </si>
  <si>
    <t>jean-francois.rontani@mio.osupytheas.fr</t>
  </si>
  <si>
    <t>LEFE-CYBER (Les Enveloppes Fluides et l'Environnement) National Program as part of the MOR-TIMER (reevaluation de la labilite biotique et abiotique de la Matiere Organique Terrestre rejetee par les fleuves et les rIvieres en MER) Research Program</t>
  </si>
  <si>
    <t>The work was supported by the LEFE-CYBER (Les Enveloppes Fluides et l'Environnement) National Program, as part of the MOR-TIMER (reevaluation de la labilite biotique et abiotique de la Matiere Organique Terrestre rejetee par les fleuves et les rIvieres en MER) Research Program. It is part of the transversal research axis DEBAT of the Mediterranean Institute of Oceanography, Marseille, France. We thank G. Masse for the donation of the Antarctic phytoplankton samples. Thanks are due to an anonymous reviewer for useful and constructive comments.</t>
  </si>
  <si>
    <t>0146-6380</t>
  </si>
  <si>
    <t>ORG GEOCHEM</t>
  </si>
  <si>
    <t>Org. Geochem.</t>
  </si>
  <si>
    <t>10.1016/j.orggeochem.2016.03.008</t>
  </si>
  <si>
    <t>DM7IJ</t>
  </si>
  <si>
    <t>WOS:000376532900004</t>
  </si>
  <si>
    <t>Bramley-Alves, J; Wanek, W; Robinson, SA</t>
  </si>
  <si>
    <t>Bramley-Alves, Jessica; Wanek, Wolfgang; Robinson, Sharon A.</t>
  </si>
  <si>
    <t>Moss δ13C: Implications for subantarctic palaeohydrological reconstructions</t>
  </si>
  <si>
    <t>delta C-13; Subantarctic; Cell wall thickness; Climate change; Proxies; Bio-available water</t>
  </si>
  <si>
    <t>CARBON-ISOTOPE DISCRIMINATION; CLIMATE-CHANGE; STABLE CARBON; OXYGEN ISOTOPES; LEAF MORPHOLOGY; ARCTIC CANADA; WATER-CONTENT; PEAT; PHOTOSYNTHESIS; FRACTIONATION</t>
  </si>
  <si>
    <t>Southern Ocean Islands, despite their equitable oceanic climates, have recently experienced a number of pronounced climate variations. Shifts in water availability in this region are of concern; however, methods of measuring water availability are currently inadequate. Recent advances using stable carbon isotopes (delta C-13) in Antarctic mosses to record long-term variations in water availability suggest that this technique might be applicable in other locations where conditions are cold enough to produce meaningful moss growth for reconstructions. Verification of this technique at each new location is essential, however, due to disparity between species and climates. Here, variations in delta C-13(BULK) with growth water availability were measured in three moss species on subantarctic Macquarie Island. We found these subantarctic mosses showed no difference in delta C-13(BULK) signatures between growth water environments and displayed more negative delta C-13(BULK) ranges than those from East Antarctica, suggesting that climatic differences override the microclimate signal. Despite significant differences in leaf cell morphology there was no variation in delta C-13(BULK) between these subantarctic species. It may be that these species are unsuitable as biological proxies due to their growth form being less dense than the turf forming Antarctic species. This underlines the need to carryout preliminary research into moss carbon isotope fractionation for each new region, and for each species, where palaeohydrological reconstructions are planned - a step that is often not given appropriate consideration in palaeo-research. (C) 2016 Elsevier B.V. All rights reserved.</t>
  </si>
  <si>
    <t>[Bramley-Alves, Jessica; Robinson, Sharon A.] Univ Wollongong, Ctr Ecosyst Solut, Wollongong, NSW 2522, Australia; [Wanek, Wolfgang] Univ Vienna, Fac Life Sci, Dept Microbiol &amp; Ecosyst Sci, A-1010 Vienna, Austria</t>
  </si>
  <si>
    <t>University of Wollongong; University of Vienna</t>
  </si>
  <si>
    <t>Bramley-Alves, J (corresponding author), Ctr Urban Ecol &amp; Greenery, Natl Pk Board,1 Cluny Rd, Singapore 259569, Singapore.</t>
  </si>
  <si>
    <t>jba605@gmail.com</t>
  </si>
  <si>
    <t>Wanek, Wolfgang/E-7001-2012; Robinson, Sharon/B-2683-2008</t>
  </si>
  <si>
    <t>Wanek, Wolfgang/0000-0003-2178-8258; Robinson, Sharon/0000-0002-7130-9617; Bramley-Alves, Jessica/0000-0003-2992-0444</t>
  </si>
  <si>
    <t>Australian Research Council [ARC DP110101714]; AAS grants [3129/4046]; Australia Postgraduate Award</t>
  </si>
  <si>
    <t>Australian Research Council(Australian Research Council); AAS grants; Australia Postgraduate Award</t>
  </si>
  <si>
    <t>This research was funded through Australian Research Council (ARC DP110101714) and AAS 3129/4046 grants. JBA held an Australia Postgraduate Award during the time of the study. We thank Dana Bergstrom for facilitating access to Macquarie Island and collecting iButton data, MargareteWatzka for assistance with isotope analysis, and Guy Norton, Jane Wasley, Kris French and anonymous reviewers for improving the manuscript.</t>
  </si>
  <si>
    <t>10.1016/j.palaeo.2016.03.028</t>
  </si>
  <si>
    <t>DM7ML</t>
  </si>
  <si>
    <t>WOS:000376544600003</t>
  </si>
  <si>
    <t>Macelloni, G; Leduc-Leballeur, M; Brogioni, M; Ritz, C; Picard, G</t>
  </si>
  <si>
    <t>Macelloni, Giovanni; Leduc-Leballeur, Marion; Brogioni, Marco; Ritz, Catherine; Picard, Ghislain</t>
  </si>
  <si>
    <t>Analyzing and modeling the SMOS spatial variations in the East Antarctic Plateau</t>
  </si>
  <si>
    <t>Antarctica; SMOS; Microwave emission model; Ice sheet temperature</t>
  </si>
  <si>
    <t>MICROWAVE BRIGHTNESS TEMPERATURE; DOME-C; SNOW ACCUMULATION; EMISSION MODEL; SOIL-MOISTURE; ICE-SHEET; SURFACE; PERFORMANCE; SNOWPACKS; CROCUS</t>
  </si>
  <si>
    <t>The SMOS brightness temperature (T-B) collected on the East Antarctic Plateau revealed spatial signatures at L-band that have never before been observed when only higher-frequency passive microwave observations were available, and this has opened up a new field of research. Because of the much greater penetration depth, modeling the microwave ice sheet emission requires taldng into account not only snow conditions on the surface, but should also include glaciological information. Even if the penetration depth of the L-band is not well known due to the uncertainty on the imaginary part of the ice permittivity, it is likely to be of the order of several hundreds of meters, which means that the temperature of the ice over a depth of nearly 1000 m influences the emission. Over such a depth, the temperature is related to both the surface conditions and to the ice sheet thickness, which in turn depends on the bedrock topography and on other glaciological variables. The present paper aims to provide a thorough theoretical explanation of the observed T-B spatial variation close to the Brewster angle at vertical polarization, in order to limit the effect of surface and vertical density variability in the firn. In order to provide reliable inputs to the microwave emission models used for simulating T-B data, an in-depth analysis of the temperature profiles was performed by means of glaciological models. The comparison between simulated and observed data over three transects totalling 2000 km in East Antarctica pointed out that, whereas the emission models are capable of explaining the T-B spatial variations of several kelvins (0.7 and 2.9 K), they are unable to predict its absolute value correctly. This study also shows that the main limiting factor in simulating low-frequency microwave data is the uncertainty in the currently available imaginary part of the ice permittivity. (C) 2016 Elsevier Inc All rights reserved.</t>
  </si>
  <si>
    <t>[Macelloni, Giovanni; Brogioni, Marco] CNR, Inst Appl Phys Nello Carrara, Via Madonna del Piano 10, I-50019 Sesto Fiorentino, Italy; [Leduc-Leballeur, Marion; Ritz, Catherine; Picard, Ghislain] Univ Grenoble Alpes, LGGE, UMR5183, Grenoble, France; [Leduc-Leballeur, Marion; Ritz, Catherine; Picard, Ghislain] CNRS, LGGE, UMR5183, Grenoble, France</t>
  </si>
  <si>
    <t>Consiglio Nazionale delle Ricerche (CNR); Istituto di Fisica Applicata Nello Carrara (IFAC-CNR); Communaute Universite Grenoble Alpes; Universite Grenoble Alpes (UGA); Communaute Universite Grenoble Alpes; Universite Grenoble Alpes (UGA); Centre National de la Recherche Scientifique (CNRS)</t>
  </si>
  <si>
    <t>Macelloni, G (corresponding author), CNR, Inst Appl Phys Nello Carrara, Via Madonna del Piano 10, I-50019 Sesto Fiorentino, Italy.</t>
  </si>
  <si>
    <t>g.macelloni@ifac.cnr.it; marion.leduc-leballeur@ujf-grenoble.fr; m.brogioni@ifac.cnr.it; catherine.ritz@ujf-grenoble.fr; ghislain.picard@ujf-grenoble.fr</t>
  </si>
  <si>
    <t>Leduc-Leballeur, Marion/AAK-9880-2021; Macelloni, Giovanni/B-7518-2015; Brogioni, Marco/Q-6583-2019; Picard, Ghislain/D-4246-2013</t>
  </si>
  <si>
    <t>Leduc-Leballeur, Marion/0000-0001-7579-7024; Brogioni, Marco/0000-0001-6232-6020; Picard, Ghislain/0000-0003-1475-5853; MACELLONI, GIOVANNI/0000-0002-9738-7939; Ritz, Catherine/0000-0003-0785-8571</t>
  </si>
  <si>
    <t>IPEV project [902, 1110]; CSNA project [2013 AC3.07]; European Space Agency (ESA) [4000105872/12/NL/FF, 4000112262/14/I-NB]</t>
  </si>
  <si>
    <t>IPEV project; CSNA project; European Space Agency (ESA)(European Space Agency)</t>
  </si>
  <si>
    <t>Field measurements around Concordia Station were made possible by the joint French-Italian Concordia Program, which established and currently runs the permanent Concordia station at Dome C that is supported by IPEV (programs 902 and 1110) and CSNA (program 2013 AC3.07) projects. This work was also supported in part by the European Space Agency (ESA contracts 4000105872/12/NL/FF and ESA contract No. 4000112262/14/I-NB).</t>
  </si>
  <si>
    <t>10.1016/j.rse.2016.02.037</t>
  </si>
  <si>
    <t>DN1BJ</t>
  </si>
  <si>
    <t>WOS:000376801000016</t>
  </si>
  <si>
    <t>Martin, MJ</t>
  </si>
  <si>
    <t>Martin, Matthew J.</t>
  </si>
  <si>
    <t>Suitability of satellite sea surface salinity data for use in assessing and correcting ocean forecasts</t>
  </si>
  <si>
    <t>Sea surface salinity; ocean forecasting; SMOS; Argo</t>
  </si>
  <si>
    <t>L-BAND; SMOS; AQUARIUS; TEMPERATURE; VALIDATION; SYSTEM; IMPACT; RAIN</t>
  </si>
  <si>
    <t>Near-surface salinity data from the Forecasting Ocean Assimilation Model (FOAM) system are used to understand various characteristics of satellite sea surface salinity (SSS) data from SMOS. The errors in the model fields are first estimated by comparing them to near-surface Argo salinity measurements, with RMS errors of less than 0.2 pss over most of the global oceans, except for regions of high variability in SSS such as boundary current regions and areas of large precipitation or river run-off. Regional biases are generally less than 0.05 pss but some regions such as the Antarctic Circumpolar Current and the region to the north of the Gulf Stream extension have larger biases. Various different processing versions of the SMOS data are assessed, including different temporal and spatial averaging, and the daily 1 degrees resolution SMOS differences to FOAM are approximately 3-10 times larger than Argo FOAM differences. The spatial information in the SMOS data is also assessed by comparing spatial gradients in the satellite SSS data with those calculated from other datasets including satellite sea surface temperature (SST) and satellite altimeter sea surface height (SSH) data, as well as with the model's gradients. The SMOS data contain information about the underlying ocean dynamics in the summer months, in agreement with the SSH data, which are not present in the satellite SST data or in the model's SSS fields. This demonstrates that the data contains useful information which could be used to correct the model through data assimilation. Crown Copyright (C) 2016 Published by Elsevier Inc. All rights reserved.</t>
  </si>
  <si>
    <t>[Martin, Matthew J.] Met Off, Exeter, Devon, England</t>
  </si>
  <si>
    <t>Met Office - UK</t>
  </si>
  <si>
    <t>Martin, MJ (corresponding author), Met Off, Exeter, Devon, England.</t>
  </si>
  <si>
    <t>matthew.martin@metoffice.gov.uk</t>
  </si>
  <si>
    <t>Martin, Matthew/0000-0003-0293-3106</t>
  </si>
  <si>
    <t>10.1016/j.rse.2016.02.004</t>
  </si>
  <si>
    <t>WOS:000376801000024</t>
  </si>
  <si>
    <t>Ward, TM; Burnell, OW; Ivey, A; Sexton, SC; Carroll, J; Keane, J; Lyle, JM</t>
  </si>
  <si>
    <t>Ward, Tim M.; Burnell, Owen W.; Ivey, Alex; Sexton, Stuart C.; Carroll, Jonathan; Keane, John; Lyle, Jeremy M.</t>
  </si>
  <si>
    <t>Spawning biomass of jack mackerel (Trachurus declivis) off eastern Australia: Critical knowledge for managing a controversial fishery</t>
  </si>
  <si>
    <t>Jack mackerel; Trachurus declivis; Daily Egg Production Method; Spawning biomass; Small Pelagic Fishery; Eastern Australia; Tasmania; Factory trawler</t>
  </si>
  <si>
    <t>EGG-PRODUCTION METHOD; BATCH FECUNDITY; HORSE MACKEREL; STOCK ASSESSMENT; FREQUENCY; TASMANIA; GROWTH</t>
  </si>
  <si>
    <t>Jack mackerel (Trachurus declivis) is a key target species of the Australian Small Pelagic Fishery. The fishery was subject to extensive public scrutiny following an attempt to introduce a large factory-trawler in 2012. One of the concerns raised related to the reliability and age of estimates of the spawning biomass of jack mackerel. This study reports on the first dedicated application of the Daily Egg Production Method (DEPM) to jack mackerel. Large numbers of samples of eggs and adults were collected concurrently from the key spawning area off eastern Australia during what has been previously identified as the main spawning period. This study established an effective adult sampling method and provides the first estimates for this species of adult reproductive parameters required for application of the DEPM. Estimates of all DEPM parameters, except batch fecundity, were based on relatively large sample sizes. The spawning biomass of jack mackerel off eastern Australia during January 2014 was estimated to be approximately 157,805 t (95% CI = 59,570-358,731 t). Sensitivity analyses indicate this estimate is robust to likely uncertainty in estimates of key parameters. Future research should focus on elucidating the size-fecundity relationship and spatial, temporal and size-related variations in spawning fraction. (C) 2016 Elsevier B.V. All rights reserved.</t>
  </si>
  <si>
    <t>[Ward, Tim M.; Burnell, Owen W.; Ivey, Alex; Sexton, Stuart C.; Carroll, Jonathan] South Australian Res &amp; Dev Inst, POB 120, Henley Beach, SA 5022, Australia; [Sexton, Stuart C.] Flinders Univ S Australia, Sch Biol Sci, GPO Box 2100, Adelaide, SA 5001, Australia; [Keane, John; Lyle, Jeremy M.] Univ Tasmania, IMAS, Fisheries Aquaculture &amp; Coasts Ctr, Private Bag 49, Hobart, Tas 7001, Australia</t>
  </si>
  <si>
    <t>South Australian Research &amp; Development Institute (SARDI); Flinders University South Australia; University of Tasmania</t>
  </si>
  <si>
    <t>Ward, TM (corresponding author), South Australian Res &amp; Dev Inst, POB 120, Henley Beach, SA 5022, Australia.</t>
  </si>
  <si>
    <t>Tim.Ward@sa.gov.au</t>
  </si>
  <si>
    <t>WARD, Timothy Mark/KDN-7596-2024; Carroll, Jay D/K-2720-2012; Lyle, Jeremy/J-7170-2014</t>
  </si>
  <si>
    <t>WARD, Timothy Mark/0000-0002-9003-2772; Lyle, Jeremy/0000-0001-9670-5854; Carroll, Jonathan/0000-0002-1404-5264; Keane, John Patrick/0000-0001-8950-5176</t>
  </si>
  <si>
    <t>Fisheries Research and Development Corporation (FRDC) [2013/053]</t>
  </si>
  <si>
    <t>Fisheries Research and Development Corporation (FRDC)(Fisheries R&amp;D Corp)</t>
  </si>
  <si>
    <t>The Fisheries Research and Development Corporation (FRDC) provided funding for this project (Project No: 2013/053). The South Australian Research and Development Institute (SARDI) and Institute of Marine and Antarctic studies provided in-kind support. Mr. Crispian Ashby's assistance with organising the surveys is gratefully acknowledged. We thank the masters, crews, owners and staff of the Dell Richey II and FV Western Alliance for their professional and cheerful assistance. The efforts of Mr. Stuart Richey and Mr. David Guillot in ensuring the success of the surveys are recognised with gratitude. Mr. Matt Lloyd, Mr Graham Hooper and Mr. Lorenzo Andreacchio from the (SARDI) helped collect plankton samples from the Dell Richey II. Ms. Kylie Tonon from the Australian Fisheries Management Authority assisted with collection of adult samples from the FV Western Alliance. Mr. Lorenzo Andreacchio, Mr. Josh Fredberg and Mr. Damian Matthews (SARDI) helped to sort the plankton samples and identify eggs and larvae. Dr. Chris Leigh (University of Adelaide) did the histology. Dr. Adrian Linnane, Dr. Stephen Mayfield (SARDI) and Professor Gavin Begg (SARDI Aquatic Sciences) and four external reviewers provided useful comments on draft manuscripts.</t>
  </si>
  <si>
    <t>10.1016/j.fishres.2016.02.005</t>
  </si>
  <si>
    <t>DL3FA</t>
  </si>
  <si>
    <t>WOS:000375518400002</t>
  </si>
  <si>
    <t>Nie, YG; Xu, LQ; Liu, XD; Emslie, SD</t>
  </si>
  <si>
    <t>Nie, Yaguang; Xu, Liqiang; Liu, Xiaodong; Emslie, Steven D.</t>
  </si>
  <si>
    <t>Radionuclides in ornithogenic sediments as evidence for recent warming in the Ross Sea region, Antarctica</t>
  </si>
  <si>
    <t>Radionuclides; Pb-210 dating; Pb-210 and Cs-137 flux; Ornithogenic sediments; Climate warming; Ross Sea region</t>
  </si>
  <si>
    <t>KING-GEORGE ISLAND; CLIMATE-CHANGE; SNOW ACCUMULATION; LAKE-SEDIMENTS; ICE-SHEET; CS-137; SURFACE; PB-210; AM-241; DEPOSITION</t>
  </si>
  <si>
    <t>Radionuclides including Pb-210, Ra-226 and Cs-137 were analyzed in eight ornithogenic sediment profiles from McMurdo Sound, Ross Sea region, East Antarctica. Equilibration between Pb-210 and Ra-226 were reached in all eight profiles, enabling the determination of chronology within the past two centuries through the Constant Rate of Supply (CRS) model. Calculated fluxes of both Pb-210 and Cs-137 varied drastically among four of the profiles (MB4, MB6, CC and CL2), probably due to differences in their sedimentary environments. In addition, we found the flux data exhibiting a clear decreasing gradient in accordance with their average deposition rate, which was in turn related to the specific location of the profiles. We believe this phenomenon may correspond to global warming of the last century, since warming-induced surface runoff would bring more inflow water and detritus to the coring sites, thus enhancing the difference among the profiles. To verify this hypothesis, the deposition rate against age of the sediments was calculated based on their determined chronology, which showed ascending trends in all four profiles. The significant increase in deposition rates over the last century is probably attributable to recent warming, implying a potential utilization of radionuclides as environmental indicators in this region. (C) 2016 Elsevier B.V. All rights reserved.</t>
  </si>
  <si>
    <t>[Nie, Yaguang; Liu, Xiaodong] Univ Sci &amp; Technol China, Sch Earth &amp; Space Sci, Inst Polar Environm, Hefei 230026, Peoples R China; [Nie, Yaguang] Chinese Acad Sci, Hefei Inst Phys Sci, Key Lab Environm Toxicol &amp; Pollut Control Technol, Key Lab Ion Beam Bioengn, Hefei 230031, Anhui, Peoples R China; [Xu, Liqiang] Hefei Univ Technol, Sch Resources &amp; Environm Engn, Hefei 230009, Anhui, Peoples R China; [Emslie, Steven D.] Univ N Carolina, Dept Biol &amp; Marine Biol, 601 S Coll Rd, Wilmington, NC 28403 USA</t>
  </si>
  <si>
    <t>Chinese Academy of Sciences; University of Science &amp; Technology of China, CAS; Chinese Academy of Sciences; Hefei Institutes of Physical Science, CAS; Hefei University of Technology; University of North Carolina; University of North Carolina Wilmington</t>
  </si>
  <si>
    <t>Liu, XD (corresponding author), Univ Sci &amp; Technol China, Sch Earth &amp; Space Sci, Inst Polar Environm, Hefei 230026, Peoples R China.</t>
  </si>
  <si>
    <t>ycx@ustc.edu.cn</t>
  </si>
  <si>
    <t>Xu, Liqiang/AGX-6674-2022</t>
  </si>
  <si>
    <t>Chinese Arctic and Antarctic Administration of the State Oceanic Administration; National Natural Science Foundation of China [41576183, 41376124]; NSF [ANT 0739575]</t>
  </si>
  <si>
    <t>Chinese Arctic and Antarctic Administration of the State Oceanic Administration; National Natural Science Foundation of China(National Natural Science Foundation of China (NSFC)); NSF(National Science Foundation (NSF))</t>
  </si>
  <si>
    <t>We would like to thank the Chinese Arctic and Antarctic Administration of the State Oceanic Administration for project support. We also thank the United States Antarctic Program (USAP), Raytheon Polar Services, and in particular J. Smykla, E. Gruber and L. Coats for their valuable assistance in the field. This study was supported by the National Natural Science Foundation of China (Grant Nos. 41576183 and 41376124) and NSF Grant ANT 0739575.</t>
  </si>
  <si>
    <t>10.1016/j.scitotenv.2016.03.046</t>
  </si>
  <si>
    <t>DK7VZ</t>
  </si>
  <si>
    <t>WOS:000375136200026</t>
  </si>
  <si>
    <t>Kuleshov, Y; Choy, S; Fu, EF; Chane-Ming, F; Liou, YA; Pavelyev, AG</t>
  </si>
  <si>
    <t>Kuleshov, Yuriy; Choy, Suelynn; Fu, Erjiang Frank; Chane-Ming, Fabrice; Liou, Yuei-An; Pavelyev, Alexander G.</t>
  </si>
  <si>
    <t>Analysis of meteorological variables in the Australasian region using ground- and space-based GPS techniques</t>
  </si>
  <si>
    <t>Temperature; Moisture; Remote sensing; Climate; Meteorology</t>
  </si>
  <si>
    <t>PRECIPITABLE WATER-VAPOR; RADIO OCCULTATION; TEMPERATURE PROFILES; CLIMATE VARIABILITY; TROPICS; SURFACE; SYSTEM; ERRORS; EVENT</t>
  </si>
  <si>
    <t>Results of analysis of meteorological variables (temperature and moisture) in the Australasian region using the global positioning system (GPS) radio occultation (RO) and GPS ground-based observations verified with in situ radiosonde (RS) data are presented. The potential of using ground-based GPS observations for retrieving column integrated precipitable water vapour (PWV) over the Australian continent has been demonstrated using the Australian ground-based GPS reference stations network. Using data from the 15 ground-based GPS stations, the state of the atmosphere over Victoria during a significant weather event, the March 2010 Melbourne storm, has been investigated, and it has been shown that the GPS observations has potential for monitoring the movement of a weather front that has sharp moisture contrast. Temperature and moisture variability in the atmosphere over various climatic regions (the Indian and the Pacific Oceans, the Antarctic and Australia) has been examined using satellite-based GPS RO and in situ RS observations. Investigating recent atmospheric temperature trends over Antarctica, the time series of the collocated GPS RO and RS data were examined, and strong cooling in the lower stratosphere and warming through the troposphere over Antarctica has been identified, in agreement with outputs of climate models. With further expansion of the Global Navigation Satellite Systems (GNSS) system, it is expected that GNSS satellite- and ground-based measurements would be able to provide an order of magnitude larger amount of data which in turn could significantly advance weather forecasting services, climate monitoring and analysis in the Australasian region. Crown Copyright (C) 2016 Published by Elsevier B.V. All rights reserved.</t>
  </si>
  <si>
    <t>[Kuleshov, Yuriy; Fu, Erjiang Frank] Bur Meteorol, GPO Box 1289, Melbourne, Vic 3001, Australia; [Kuleshov, Yuriy; Choy, Suelynn] RMIT Univ, Sch Sci, Melbourne, Vic, Australia; [Kuleshov, Yuriy] Swinburne Univ, Fac Sci Engn &amp; Technol, Melbourne, Vic, Australia; [Kuleshov, Yuriy] Univ Melbourne, Sch Math &amp; Stat, Melbourne, Vic, Australia; [Chane-Ming, Fabrice] Univ la Reunion, Lab Atmosphere &amp; Cyclones, UMR 8105, UMR CNRS Meteo France Univ, St Denis, Reunion, France; [Liou, Yuei-An] Natl Cent Univ, CSRSR, Jhongli, Taiwan; [Pavelyev, Alexander G.] Russian Acad Sci, Kotelnikov Inst Radio Engn &amp; Elect, Fryazino, Russia</t>
  </si>
  <si>
    <t>Bureau of Meteorology - Australia; Melbourne Genomics Health Alliance; Royal Melbourne Institute of Technology (RMIT); Swinburne University of Technology; Melbourne Genomics Health Alliance; Melbourne Genomics Health Alliance; University of Melbourne; University of La Reunion; Centre National de la Recherche Scientifique (CNRS); CNRS - National Institute for Earth Sciences &amp; Astronomy (INSU); Meteo France; National Central University; Russian Academy of Sciences; Kotelnikov Institute of Radioengineering &amp; Electronics</t>
  </si>
  <si>
    <t>Kuleshov, Y (corresponding author), Bur Meteorol, GPO Box 1289, Melbourne, Vic 3001, Australia.</t>
  </si>
  <si>
    <t>y.kuleshov@bom.gov.au</t>
  </si>
  <si>
    <t>Liou, Yuei-An/L-8116-2013; Choy, Suelynn/R-5975-2019</t>
  </si>
  <si>
    <t>Liou, Yuei-An/0000-0002-8100-5529; Choy, Suelynn/0000-0003-3519-1479</t>
  </si>
  <si>
    <t>RMIT Foundation; Malcolm Moore Industry Research Grant French StraDyVariUS [ANR-13-BS06-0011-01]; Taiwan NSC [102-2111-M-008-027, NSC 102-2221-E-008-034]</t>
  </si>
  <si>
    <t>RMIT Foundation; Malcolm Moore Industry Research Grant French StraDyVariUS; Taiwan NSC(Ministry of Science and Technology, Taiwan)</t>
  </si>
  <si>
    <t>This work was partially supported by the RMIT Foundation and the Malcolm Moore Industry Research Grant French StraDyVariUS ANR-13-BS06-0011-01 grant, and Taiwan NSC 102-2111-M-008-027 and NSC 102-2221-E-008-034 grants.</t>
  </si>
  <si>
    <t>10.1016/j.atmosres.2016.02.021</t>
  </si>
  <si>
    <t>DK0TM</t>
  </si>
  <si>
    <t>WOS:000374625100023</t>
  </si>
  <si>
    <t>Barkaszi, I; Takács, E; Czigler, I; Balázs, L</t>
  </si>
  <si>
    <t>Barkaszi, Iren; Takacs, Endre; Czigler, Istvan; Balazs, Laszlo</t>
  </si>
  <si>
    <t>Extreme Environment Effects on Cognitive Functions: A Longitudinal Study in High Altitude in Antarctica</t>
  </si>
  <si>
    <t>FRONTIERS IN HUMAN NEUROSCIENCE</t>
  </si>
  <si>
    <t>event-related potentials (ERP); cognitive functions; extreme environment; Antarctica; long-term isolation; hypoxia; sunshine duration; successful adaptation</t>
  </si>
  <si>
    <t>CHRONIC HYPOBARIC HYPOXIA; EVENT-RELATED POTENTIALS; TOTAL SLEEP-DEPRIVATION; AUDITORY REACTION-TIME; MENTAL FATIGUE; RESPONSE-INHIBITION; PERFORMANCE; CONFLICT; COMPONENTS; EXPOSURE</t>
  </si>
  <si>
    <t>This paper focuses on the impact of long-term Antarctic conditions on cognitive processes. Behavioral responses and event-related potentials were recorded during an auditory distraction task and an attention network paradigm. Participants were members of the over-wintering crew at Concordia Antarctic Research Station. Due to the reduced partial pressure of oxygen this environment caused moderate hypoxia. Beyond the hypoxia, the fluctuation of sunshine duration, isolation and confinement were the main stress factors of this environment. We compared 6 measurement periods completed during the campaign. Behavioral responses and N1/MMN (mismatch negativity), N1, N2, P3, RON (reorientation negativity) event-related potential components have been analyzed. Reaction time decreased in both tasks in response to repeated testing during the course of mission. The alerting effect increased, the inhibition effect decreased and the orienting effect did not change in the ANT task. Contrary to our expectations the N2, P3, RON components related to the attentional functions did not show any significant changes. Changes attributable to early stages of information processing were observed in the ANT task (N1 component) but not in the distraction task (N1/MMN). The reaction time decrements and the N1 amplitude reduction in ANT task could be attributed to sustained effect of practice. We conclude that the Antarctic conditions had no negative impacts on cognitive activity despite the presence of numerous stressors.</t>
  </si>
  <si>
    <t>[Barkaszi, Iren; Takacs, Endre; Czigler, Istvan; Balazs, Laszlo] Hungarian Acad Sci, Res Ctr Nat Sci, Inst Cognit Neurosci &amp; Psychol, Environm Adaptat &amp; Sapce Res Grp, Budapest, Hungary; [Barkaszi, Iren] Debrecen Univ, Inst Psychol, Dept Expt Psychol, Debrecen, Hungary; [Takacs, Endre; Czigler, Istvan] Eotvos Lorand Univ, Fac Educ &amp; Psychol, Budapest, Hungary</t>
  </si>
  <si>
    <t>Hungarian Research Network; HUN-REN Research Centre for Natural Sciences; Hungarian Academy of Sciences; Hungarian Research Network; HUN-REN Research Centre for Natural Sciences; University of Debrecen; Eotvos Lorand University</t>
  </si>
  <si>
    <t>Barkaszi, I (corresponding author), Hungarian Acad Sci, Res Ctr Nat Sci, Inst Cognit Neurosci &amp; Psychol, Environm Adaptat &amp; Sapce Res Grp, Budapest, Hungary.;Barkaszi, I (corresponding author), Debrecen Univ, Inst Psychol, Dept Expt Psychol, Debrecen, Hungary.</t>
  </si>
  <si>
    <t>barkaszi.iren@ttk.mta.hu</t>
  </si>
  <si>
    <t>Balázs, László/A-2688-2010; Barkaszi, Irén/IWM-6093-2023; Czigler, Istvan/IUO-4630-2023</t>
  </si>
  <si>
    <t>Balázs, László/0000-0002-6701-973X; Takacs, Endre/0000-0002-3990-0159; Czigler, Istvan/0000-0003-1661-3808; Barkaszi, Iren/0000-0001-6573-6877</t>
  </si>
  <si>
    <t>European Space Agency (ESA); Institute Polaire Paul Emile Victor (IPEV); Programma Nazionale Ricerche in Antartide (PNRA); ESA-PECS [4000103377]</t>
  </si>
  <si>
    <t>European Space Agency (ESA)(European Space Agency); Institute Polaire Paul Emile Victor (IPEV); Programma Nazionale Ricerche in Antartide (PNRA); ESA-PECS(European Space Agency)</t>
  </si>
  <si>
    <t>Life science research at Concordia Antarctic Station is supported by the European Space Agency (ESA), the Institute Polaire Paul Emile Victor (IPEV) and Programma Nazionale Ricerche in Antartide (PNRA). The work reported in this article was funded by ESA-PECS No. 4000103377.</t>
  </si>
  <si>
    <t>1662-5161</t>
  </si>
  <si>
    <t>FRONT HUM NEUROSCI</t>
  </si>
  <si>
    <t>Front. Hum. Neurosci.</t>
  </si>
  <si>
    <t>JUN 30</t>
  </si>
  <si>
    <t>10.3389/fnhum.2016.00331</t>
  </si>
  <si>
    <t>Neurosciences; Psychology</t>
  </si>
  <si>
    <t>Neurosciences &amp; Neurology; Psychology</t>
  </si>
  <si>
    <t>DQ2BD</t>
  </si>
  <si>
    <t>WOS:000379004600001</t>
  </si>
  <si>
    <t>Valdés-Pineda, R; Valdés, JB; Diaz, HF; Pizarro-Tapia, R</t>
  </si>
  <si>
    <t>Valdes-Pineda, Rodrigo; Valdes, Juan B.; Diaz, Henry F.; Pizarro-Tapia, Roberto</t>
  </si>
  <si>
    <t>Analysis of spatio-temporal changes in annual and seasonal precipitation variability in South America-Chile and related ocean-atmosphere circulation patterns</t>
  </si>
  <si>
    <t>precipitation in Chile; annual and seasonal variability; EOF analysis; climate indices</t>
  </si>
  <si>
    <t>SEA-SURFACE TEMPERATURE; RAINFALL VARIABILITY; DROUGHT INDEX; WEST-COAST; CLIMATE; OSCILLATION; ENSO; PREDICTABILITY; ALTIPLANO; EVENTS</t>
  </si>
  <si>
    <t>Establishing relationships between coupled ocean-atmospheric patterns and precipitation accumulation is important to describe and predict spatio-temporal variability on annual or seasonal scales, and also to evaluate how this variability is influenced by global warming. The objective of this study was to examine the leading modes of interannual and seasonal (summer, autumn, winter, and spring) precipitation variability in South America-Chile, and their significant relationship to seasonally aggregated gridded data and climatic indices. Applying exhaustive data quality control measures to data from 238 rain gauges with different lengths of records between 1893 and 2013, a new data set was created with the objective of obtaining reliable records for further analysis. A comprehensive analysis through empirical orthogonal functions (EOF) allowed for determination of the leading modes of annual and seasonal precipitation and their main spatial patterns for the whole country. The percentage of explained variance in the relationship between seasonally aggregated indices and the leading modes of precipitation confirmed that most of the interannual and winter precipitation variability in Chile is linked to the seasonal aggregation of El Nino Southern Oscillation (ENSO). The leading modes of summer, autumn, and spring precipitation were mostly linked to seasonal aggregations of the Madden and Julian Oscillation (MJO), and the Antarctic Oscillation (AAO).</t>
  </si>
  <si>
    <t>[Valdes-Pineda, Rodrigo; Valdes, Juan B.] Univ Arizona, Dept Hydrol &amp; Water Resources, JW Harshbarger Bldg,1133 James E Rogers Way 122, Tucson, AZ 85721 USA; [Valdes-Pineda, Rodrigo; Pizarro-Tapia, Roberto] Univ Talca, Technol Ctr Environm Hydrol, Talca, Chile; [Diaz, Henry F.] Univ Colorado, CIRES, Boulder, CO 80309 USA; [Diaz, Henry F.] NOAA, Boulder, CO USA</t>
  </si>
  <si>
    <t>University of Arizona; Universidad de Talca; University of Colorado System; University of Colorado Boulder; National Oceanic Atmospheric Admin (NOAA) - USA</t>
  </si>
  <si>
    <t>Valdés-Pineda, R (corresponding author), Univ Arizona, Dept Hydrol &amp; Water Resources, JW Harshbarger Bldg,1133 James E Rogers Way 122, Tucson, AZ 85721 USA.</t>
  </si>
  <si>
    <t>10.1002/joc.4532</t>
  </si>
  <si>
    <t>DP8UK</t>
  </si>
  <si>
    <t>WOS:000378773200012</t>
  </si>
  <si>
    <t>Westoby, MJ; Dunning, SA; Woodward, J; Hein, AS; Marrero, SM; Winters, K; Sugden, DE</t>
  </si>
  <si>
    <t>Westoby, Matthew J.; Dunning, Stuart A.; Woodward, John; Hein, Andrew S.; Marrero, Shasta M.; Winters, Kate; Sugden, David E.</t>
  </si>
  <si>
    <t>Interannual surface evolution of an Antarctic blue-ice moraine using multi-temporal DEMs</t>
  </si>
  <si>
    <t>EARTH SURFACE DYNAMICS</t>
  </si>
  <si>
    <t>STRUCTURE-FROM-MOTION; UNMANNED AERIAL VEHICLE; DIGITAL PHOTOGRAMMETRY; TOPOGRAPHIC SURVEYS; LASER SCANNER; GLACIER; CLIMATE; DEPOSITION; ELEVATION; LANDFORMS</t>
  </si>
  <si>
    <t>Multi-temporal and fine-resolution topographic data products are increasingly used to quantify surface elevation change in glacial environments. In this study, we employ 3-D digital elevation model (DEM) differencing to quantify the topographic evolution of a blue-ice moraine complex in front of Patriot Hills, Heritage Range, Antarctica. Terrestrial laser scanning (TLS) was used to acquire multiple topographic datasets of the moraine surface at the beginning and end of the austral summer season in 2012/2013 and during a resurvey field campaign in 2014. A complementary topographic dataset was acquired at the end of season 1 through the application of structure from motion with multi-view stereo (SfM-MVS) photogrammetry to a set of aerial photographs acquired from an unmanned aerial vehicle (UAV). Three-dimensional cloud-to-cloud differencing was undertaken using the Multiscale Model to Model Cloud Comparison (M3C2) algorithm. DEM differencing revealed net uplift and lateral movement of the moraine crests within season 1 (mean uplift - 0.10 m) and surface lowering of a similar magnitude in some inter-moraine depressions and close to the current ice margin, although we are unable to validate the latter. Our results indicate net uplift across the site between seasons 1 and 2 (mean 0.07 m). This research demonstrates that it is possible to detect dynamic surface topographical change across glacial moraines over short (annual to intra-annual) timescales through the acquisition and differencing of fine-resolution topographic datasets. Such data offer new opportunities to understand the process linkages between surface ablation, ice flow and debris supply within moraine ice.</t>
  </si>
  <si>
    <t>[Westoby, Matthew J.; Woodward, John; Winters, Kate] Northumbria Univ, Dept Geog Engn &amp; Environm, Newcastle Upon Tyne, Tyne &amp; Wear, England; [Dunning, Stuart A.] Northumbria Univ, Sch Geog Polit &amp; Sociol, Newcastle Upon Tyne, Tyne &amp; Wear, England; [Hein, Andrew S.; Marrero, Shasta M.; Sugden, David E.] Univ Edinburgh, Sch Geosci, Edinburgh, Midlothian, Scotland</t>
  </si>
  <si>
    <t>Northumbria University; Northumbria University; Newcastle University - UK; University of Edinburgh</t>
  </si>
  <si>
    <t>Westoby, MJ (corresponding author), Northumbria Univ, Dept Geog Engn &amp; Environm, Newcastle Upon Tyne, Tyne &amp; Wear, England.</t>
  </si>
  <si>
    <t>matt.westoby@northumbria.ac.uk</t>
  </si>
  <si>
    <t>Hein, Andrew/JWO-3756-2024; Woodward, John/I-1046-2013; Westoby, Matthew/JNE-9260-2023; Dunning, Stuart/A-1820-2010; Westoby, Matthew/D-3880-2016</t>
  </si>
  <si>
    <t>Winter, Kate/0000-0003-2389-8637; Marrero, Shasta/0000-0003-2917-0292; Woodward, John/0000-0002-4980-4080; Dunning, Stuart/0000-0002-2310-7367; Westoby, Matthew/0000-0002-2070-5580</t>
  </si>
  <si>
    <t>UK Natural Environment Research Council [NE/I027576/1, NE/I025840/1, NE/I024194/1, NE/I025263/1]; Natural Environment Research Council [NE/I025263/1, NE/I027576/1, NE/I024194/1, NE/I025840/1] Funding Source: researchfish; NERC [NE/I025263/1, NE/I024194/1, NE/I027576/1, NE/I025840/1] Funding Source: UKRI</t>
  </si>
  <si>
    <t>The research was funded by the UK Natural Environment Research Council (Research Grants NE/I027576/1, NE/I025840/1, NE/I024194/1, NE/I025263/1). We thank the British Antarctic Survey for logistical support. We thank the reviewers for their constructive comments on the manuscript.</t>
  </si>
  <si>
    <t>2196-6311</t>
  </si>
  <si>
    <t>2196-632X</t>
  </si>
  <si>
    <t>EARTH SURF DYNAM</t>
  </si>
  <si>
    <t>Earth Surf. Dyn.</t>
  </si>
  <si>
    <t>10.5194/esurf-4-515-2016</t>
  </si>
  <si>
    <t>VB9OD</t>
  </si>
  <si>
    <t>WOS:000424333800001</t>
  </si>
  <si>
    <t>Cheng, H; Edwards, RL; Sinha, A; Spotl, C; Yi, L; Chen, ST; Kelly, M; Kathayat, G; Wang, XF; Li, XL; Kong, XG; Wang, YJ; Ning, YF; Zhang, HW</t>
  </si>
  <si>
    <t>Cheng, Hai; Edwards, R. Lawrence; Sinha, Ashish; Spotl, Christoph; Yi, Liang; Chen, Shitao; Kelly, Megan; Kathayat, Gayatri; Wang, Xianfeng; Li, Xianglei; Kong, Xinggong; Wang, Yongjin; Ning, Youfeng; Zhang, Haiwei</t>
  </si>
  <si>
    <t>The Asian monsoon over the past 640,000 years and ice age terminations</t>
  </si>
  <si>
    <t>MILLENNIAL-SCALE; CLIMATE VARIABILITY; HIGH-RESOLUTION; OCEAN CIRCULATION; NORTH-ATLANTIC; GLACIAL CYCLES; DONGGE CAVE; RECORD; HOLOCENE; TRANSITIONS</t>
  </si>
  <si>
    <t>Oxygen isotope records from Chinese caves characterize changes in both the Asian monsoon and global climate. Here, using our new speleothem data, we extend the Chinese record to cover the full uranium/thorium dating range, that is, the past 640,000 years. The record's length and temporal precision allow us to test the idea that insolation changes caused by the Earth's precession drove the terminations of each of the last seven ice ages as well as the millennia-long intervals of reduced monsoon rainfall associated with each of the terminations. On the basis of our record's timing, the terminations are separated by four or five precession cycles, supporting the idea that the '100,000-year' ice age cycle is an average of discrete numbers of precession cycles. Furthermore, the suborbital component of monsoon rainfall variability exhibits power in both the precession and obliquity bands, and is nearly in anti-phase with summer boreal insolation. These observations indicate that insolation, in part, sets the pace of the occurrence of millennial-scale events, including those associated with terminations and 'unfinished terminations'.</t>
  </si>
  <si>
    <t>[Cheng, Hai; Kathayat, Gayatri; Li, Xianglei; Ning, Youfeng; Zhang, Haiwei] Xi An Jiao Tong Univ, Inst Global Environm Change, Xian 710049, Peoples R China; [Cheng, Hai; Edwards, R. Lawrence; Kelly, Megan] Univ Minnesota, Dept Earth Sci, Minneapolis, MN 55455 USA; [Sinha, Ashish] Calif State Univ Dominguez Hills, Dept Earth Sci, Carson, CA 90747 USA; [Spotl, Christoph] Univ Innsbruck, Inst Geol, A-6020 Innsbruck, Austria; [Yi, Liang] Tongji Univ, State Key Lab Marine Geol, Shanghai 200092, Peoples R China; [Chen, Shitao; Kong, Xinggong; Wang, Yongjin] Nanjing Normal Univ, Coll Geog Sci, Nanjing 210023, Peoples R China; [Wang, Xianfeng] Nanyang Technol Univ, Earth Observ Singapore, Singapore 639798, Singapore</t>
  </si>
  <si>
    <t>Xi'an Jiaotong University; University of Minnesota System; University of Minnesota Twin Cities; California State University System; California State University Dominguez Hills; University of Innsbruck; Tongji University; Nanjing Normal University; Nanyang Technological University</t>
  </si>
  <si>
    <t>Cheng, H (corresponding author), Xi An Jiao Tong Univ, Inst Global Environm Change, Xian 710049, Peoples R China.;Cheng, H; Edwards, RL (corresponding author), Univ Minnesota, Dept Earth Sci, Minneapolis, MN 55455 USA.</t>
  </si>
  <si>
    <t>cheng021@mail.xjtu.edu.cn; edwar001@umn.edu</t>
  </si>
  <si>
    <t>Edwards, Richard/JAX-3732-2023; Yi, Liang/AAM-9737-2020; CHENG, HAI/H-3413-2017; Edwards, R. Lawrence/I-3124-2014; Wang, Xianfeng/F-1233-2014</t>
  </si>
  <si>
    <t>Yi, Liang/0000-0003-3377-8591; CHENG, HAI/0000-0002-5305-9458; Kathayat, Gayatri/0000-0001-9333-9385; Zhang, Haiwei/0000-0002-0855-1283; Wang, Xianfeng/0000-0002-8614-5627; Li, Xianglei/0000-0002-8464-9020</t>
  </si>
  <si>
    <t>China grant NBRP [2013CB955902]; China grant NSFC [41230524, 4157020432, 41561144003]; US NSF [0502535, 1103404, 0823554, 1003690, 1137693, 1317693]; Singapore grant [NRF-NRFF2011-08]; Div Atmospheric &amp; Geospace Sciences; Directorate For Geosciences [0823554, 1103403, 1003690] Funding Source: National Science Foundation; Division Of Earth Sciences; Directorate For Geosciences [1337693] Funding Source: National Science Foundation</t>
  </si>
  <si>
    <t>China grant NBRP; China grant NSFC(National Natural Science Foundation of China (NSFC)); US NSF(National Science Foundation (NSF)); Singapore grant; Div Atmospheric &amp; Geospace Sciences; Directorate For Geosciences(National Science Foundation (NSF)NSF - Directorate for Geosciences (GEO)); Division Of Earth Sciences; Directorate For Geosciences(National Science Foundation (NSF)NSF - Directorate for Geosciences (GEO))</t>
  </si>
  <si>
    <t>This work was supported by China grants NBRP 2013CB955902, NSFC 41230524, 4157020432 and 41561144003, US NSF grants 0502535, 1103404, 0823554, 1003690, 1137693 and 1317693 and Singapore grant NRF-NRFF2011-08. We thank M. Siddall for help with analysis of the millennial-scale variability of the Antarctic temperature record and A. P. Roberts for converting the ice core chronology.</t>
  </si>
  <si>
    <t>10.1038/nature18591</t>
  </si>
  <si>
    <t>DP7JV</t>
  </si>
  <si>
    <t>WOS:000378676000027</t>
  </si>
  <si>
    <t>Bruce, NL; Martin, MB; Hadfield, KA; Nowak, BF</t>
  </si>
  <si>
    <t>Bruce, Niel L.; Martin, Melissa B.; Hadfield, Kerry A.; Nowak, Barbara F.</t>
  </si>
  <si>
    <t>Redescription of the fish parasitic tongue biter Cymothoa rhina Schioedte &amp; Meinert, 1884 (Crustacea: Isopoda: Cymothoidae) from Singapore</t>
  </si>
  <si>
    <t>RAFFLES BULLETIN OF ZOOLOGY</t>
  </si>
  <si>
    <t>Isopoda; Cymothoidae; taxonomy; Cymothoa; fish parasites; Singapore</t>
  </si>
  <si>
    <t>BASS DICENTRARCHUS-LABRAX; 1ST RECORD; NORTHERN</t>
  </si>
  <si>
    <t>Cymothoa rhina Schioedte &amp; Meinert, 1884 is redescribed from specimens collected in Singapore, the female of which is designated as neotype. Adult female Cymothoa rhina can be identified by the acute anterior margin of the cephalon, anterolateral projections on pereonite 1 extending anteriorly along half the length of the cephalon, pleotelson posterior margin subtruncate (rounded in the male), and pereopod 7 ischium inferior margin with a bulbous protrusion and the basis with a distinct carina (weak in the male). Cymothoa rhina is known only from the Philippines, Guam and now Singapore, from Lutjanidae hosts.</t>
  </si>
  <si>
    <t>[Bruce, Niel L.; Martin, Melissa B.] Queensland Museum, Museum Trop Queensland, 70-102 Flinders St, Townsville, Qld 4810, Australia; [Bruce, Niel L.; Hadfield, Kerry A.] North West Univ, Water Res Grp Ecol, Unit Environm Sci &amp; Management, Private Bag X6001, ZA-2520 Potchefstroom, South Africa; [Martin, Melissa B.; Nowak, Barbara F.] Univ Launceston, Inst Marine &amp; Antarctic Studies, Launceston, Tas 7250, Australia; [Martin, Melissa B.] Univ Malaysia Terengganu, Sch Marine Sci &amp; Environm, Kuala Terengganu 21030, Malaysia</t>
  </si>
  <si>
    <t>Queensland Museum; North West University - South Africa; Universiti Malaysia Terengganu</t>
  </si>
  <si>
    <t>Bruce, NL (corresponding author), Queensland Museum, Museum Trop Queensland, 70-102 Flinders St, Townsville, Qld 4810, Australia.;Bruce, NL (corresponding author), North West Univ, Water Res Grp Ecol, Unit Environm Sci &amp; Management, Private Bag X6001, ZA-2520 Potchefstroom, South Africa.</t>
  </si>
  <si>
    <t>niel.bruce@qm.qld.gov.au; mbmartin@utas.edu.au; 24492280@nwu.ac.za; bnowak@utas.edu.au</t>
  </si>
  <si>
    <t>Martin, Melissa Beata/H-8941-2019; Malherbe, Kerry/AAD-8019-2019; Nowak, Barbara/J-7261-2014</t>
  </si>
  <si>
    <t>Malherbe, Kerry/0000-0003-1308-6360; MARTIN, MELISSA BEATA/0000-0003-2605-9898</t>
  </si>
  <si>
    <t>Public Service Department of the Malaysian Government</t>
  </si>
  <si>
    <t>The Singapore Strait marine biodiversity workshop was held on St. John's Island, Singapore from 20 May to 7 June 2013, and was organised by the National Parks Board and National University of Singapore. The workshop, as part of the Comprehensive Marine Biodiversity Survey (CMBS) benefited greatly from generous contributions provided by Asia Pacific Breweries Singapore, Care-for-Nature Trust Fund, Keppel Care Foundation, Shell Companies in Singapore and The Air Liquide Group. The authors thank Kristin Pietratus and Michael Turkay (Senckenberg Research Institute and Museum, Frankfurt), Charles Fransen (National Museum of Natural History (NNM) - Naturalis, Leiden), Oliver Coleman (Museum fur Naturkunde, Berlin) and Jorgen Olesen (Zoologisk Museum, Copenhagen) for information pertaining to the possible fate of the type material. MBM thanks the Public Service Department of the Malaysian Government for their generosity in awarding the senior author a postgraduate scholarship and the Museum of Tropical Queensland-Queensland Museum for the use of their facilities and collections. NLB thanks Tan Koh Siang and Peter K.L. Ng for the opportunity to participate in the two workshops, and for the excellent organisation of these workshops; Helen Wong for excellent logistic and fieldwork support; and Daisuke Uyeno (University of the Ryukyus) for providing parasitic isopods during the course of the workshops. We particularly thank Jeff Johnson (Queensland Museum, Brisbane) for his patience in providing the authors with assistance in tracking down historic fish literature.</t>
  </si>
  <si>
    <t>NATL UNIV SINGAPOIRE, FAC SCIENCE,LEE KONG CHIAN NATURAL HISTORY MUSEUM</t>
  </si>
  <si>
    <t>Singapore</t>
  </si>
  <si>
    <t>2 Conservatory Drive, Singapore, SINGAPORE</t>
  </si>
  <si>
    <t>0217-2445</t>
  </si>
  <si>
    <t>2345-7600</t>
  </si>
  <si>
    <t>RAFFLES B ZOOL</t>
  </si>
  <si>
    <t>Raffles Bull. Zool.</t>
  </si>
  <si>
    <t>JUN 29</t>
  </si>
  <si>
    <t>EJ4VJ</t>
  </si>
  <si>
    <t>WOS:000393214800014</t>
  </si>
  <si>
    <t>Spanbauer, TL; Allen, CR; Angeler, DG; Eason, T; Fritz, SC; Garmestani, AS; Nash, KL; Stone, JR; Stow, CA; Sundstrom, SM</t>
  </si>
  <si>
    <t>Spanbauer, Trisha L.; Allen, Craig R.; Angeler, David G.; Eason, Tarsha; Fritz, Sherilyn C.; Garmestani, Ahjond S.; Nash, Kirsty L.; Stone, Jeffery R.; Stow, Craig A.; Sundstrom, Shana M.</t>
  </si>
  <si>
    <t>Body size distributions signal a regime shift in a lake ecosystem</t>
  </si>
  <si>
    <t>PROCEEDINGS OF THE ROYAL SOCIETY B-BIOLOGICAL SCIENCES</t>
  </si>
  <si>
    <t>palaeoecology; regime shift; climate change; thresholds; body size; resilience</t>
  </si>
  <si>
    <t>HABITAT STRUCTURE; DISCONTINUITIES; ORGANIZATION; RESILIENCE; PATTERNS; DROUGHT; ECOLOGY; DIATOM; TIME</t>
  </si>
  <si>
    <t>Communities of organisms, from mammals to microorganisms, have discontinuous distributions of body size. This pattern of size structuring is a conservative trait of community organization and is a product of processes that occur at multiple spatial and temporal scales. In this study, we assessed whether body size patterns serve as an indicator of a threshold between alternative regimes. Over the past 7000 years, the biological communities of Foy Lake (Montana, USA) have undergone a major regime shift owing to climate change. We used a palaeoecological record of diatom communities to estimate diatom sizes, and then analysed the discontinuous distribution of organism sizes over time. We used Bayesian classification and regression tree models to determine that all time intervals exhibited aggregations of sizes separated by gaps in the distribution and found a significant change in diatom body size distributions approximately 150 years before the identified ecosystem regime shift. We suggest that discontinuity analysis is a useful addition to the suite of tools for the detection of early warning signals of regime shifts.</t>
  </si>
  <si>
    <t>[Spanbauer, Trisha L.] US EPA, Natl Res Council, Cincinnati, OH 45268 USA; [Eason, Tarsha; Garmestani, Ahjond S.] US EPA, Off Res &amp; Dev, Natl Risk Management Res Lab, Cincinnati, OH 45268 USA; [Spanbauer, Trisha L.; Fritz, Sherilyn C.] Univ Nebraska, Dept Earth &amp; Atmospher Sci, Lincoln, NE 68588 USA; [Spanbauer, Trisha L.; Fritz, Sherilyn C.] Univ Nebraska, Sch Biol Sci, Lincoln, NE 68588 USA; [Allen, Craig R.] Univ Nebraska, US Geol Survey, Nebraska Cooperat Fish &amp; Wildlife Res Unit, Sch Nat Resources, Lincoln, NE 68583 USA; [Sundstrom, Shana M.] Univ Nebraska, Nebraska Cooperat Fish &amp; Wildlife Res Unit, Sch Nat Resources, Lincoln, NE 68583 USA; [Angeler, David G.] Swedish Univ Agr Sci, Dept Aquat Sci &amp; Assessment, POB 7050, S-75007 Uppsala, Sweden; [Nash, Kirsty L.] James Cook Univ, Australian Res Council, Ctr Excellence Coral Reef Studies, Townsville, Qld 4811, Australia; [Nash, Kirsty L.] Univ Tasmania, Inst Marine &amp; Antarctic Studies, Ctr Marine Socioecol, Hobart, Tas 7000, Australia; [Stone, Jeffery R.] Indiana State Univ, Dept Earth &amp; Environm Syst, Terre Haute, IN 47809 USA; [Stow, Craig A.] NOAA, Great Lakes Environm Res Lab, Ann Arbor, MI 48108 USA</t>
  </si>
  <si>
    <t>United States Environmental Protection Agency; National Academies of Sciences, Engineering &amp; Medicine; United States Environmental Protection Agency; University of Nebraska System; University of Nebraska Lincoln; University of Nebraska System; University of Nebraska Lincoln; University of Nebraska System; University of Nebraska Lincoln; United States Department of the Interior; United States Geological Survey; University of Nebraska System; University of Nebraska Lincoln; Swedish University of Agricultural Sciences; James Cook University; University of Tasmania; Indiana State University; National Oceanic Atmospheric Admin (NOAA) - USA</t>
  </si>
  <si>
    <t>Spanbauer, TL (corresponding author), US EPA, Natl Res Council, Cincinnati, OH 45268 USA.;Spanbauer, TL (corresponding author), Univ Nebraska, Dept Earth &amp; Atmospher Sci, Lincoln, NE 68588 USA.;Spanbauer, TL (corresponding author), Univ Nebraska, Sch Biol Sci, Lincoln, NE 68588 USA.</t>
  </si>
  <si>
    <t>spanbauer.trisha@epa.gov</t>
  </si>
  <si>
    <t>Garmestani, Ahjond/AAJ-3695-2020; Allen, Craig R/J-4464-2012; Stow, Craig/AAG-8109-2020; Nash, Kirsty L/B-5456-2015; Spanbauer, Trisha/P-6916-2019</t>
  </si>
  <si>
    <t>Garmestani, Ahjond/0000-0001-5678-7293; Nash, Kirsty L/0000-0003-0976-3197; Eason, Tarsha/0000-0001-9881-3293; Spanbauer, Trisha/0000-0002-4014-4995; Stone, Jeffery/0000-0002-1313-0643; Stow, Craig/0000-0001-6171-7855; Sundstrom, Shana/0000-0003-0823-8008</t>
  </si>
  <si>
    <t>United States Geological Survey's John Wesley Powell Center for Analysis and Synthesis; August T. Larsson Foundation of the Swedish University of Agricultural Sciences; NSF's Integrative Graduate Education and Research Traineeship (IGERT) programme (NSF) [0903469]; NSF's Sedimentary Geology and Palaeobiology programme (NSF) [1251678]; Swedish Research Council VR [2014-5828]; Swedish Research Council Formas [2014-1193]; University of Nebraska; National Research Council; Direct For Education and Human Resources; Division Of Graduate Education [0903469] Funding Source: National Science Foundation; Directorate For Geosciences; Division Of Earth Sciences [1251581, 1251678] Funding Source: National Science Foundation</t>
  </si>
  <si>
    <t>United States Geological Survey's John Wesley Powell Center for Analysis and Synthesis; August T. Larsson Foundation of the Swedish University of Agricultural Sciences; NSF's Integrative Graduate Education and Research Traineeship (IGERT) programme (NSF); NSF's Sedimentary Geology and Palaeobiology programme (NSF)(National Science Foundation (NSF)); Swedish Research Council VR(Swedish Research Council); Swedish Research Council Formas(Swedish Research Council Formas); University of Nebraska; National Research Council; Direct For Education and Human Resources; Division Of Graduate Education(National Science Foundation (NSF)NSF - Directorate for STEM Education (EDU)); Directorate For Geosciences; Division Of Earth Sciences(National Science Foundation (NSF)NSF - Directorate for Geosciences (GEO))</t>
  </si>
  <si>
    <t>This manuscript was conceived at the Managing for Resilience Working Group, funded by the United States Geological Survey's John Wesley Powell Center for Analysis and Synthesis. This work was supported, in part, by the August T. Larsson Foundation of the Swedish University of Agricultural Sciences, the NSF's Integrative Graduate Education and Research Traineeship (IGERT) programme (NSF no. 0903469), the Sedimentary Geology and Palaeobiology programme (NSF no. 1251678), the Swedish Research Councils VR (2014-5828) and Formas (2014-1193). A University of Nebraska Presidential Graduate Fellowship and a National Research Council Research Associateship also provided support for this project.</t>
  </si>
  <si>
    <t>0962-8452</t>
  </si>
  <si>
    <t>1471-2954</t>
  </si>
  <si>
    <t>P ROY SOC B-BIOL SCI</t>
  </si>
  <si>
    <t>Proc. R. Soc. B-Biol. Sci.</t>
  </si>
  <si>
    <t>10.1098/rspb.2016.0249</t>
  </si>
  <si>
    <t>DT1MR</t>
  </si>
  <si>
    <t>WOS:000381247300017</t>
  </si>
  <si>
    <t>Trebilco, R; Dulvy, NK; Anderson, SC; Salomon, AK</t>
  </si>
  <si>
    <t>Trebilco, Rowan; Dulvy, Nicholas K.; Anderson, Sean C.; Salomon, Anne K.</t>
  </si>
  <si>
    <t>The paradox of inverted biomass pyramids in kelp forest fish communities</t>
  </si>
  <si>
    <t>ecosystem baseline; fractionation; habitat complexity; species interaction; size spectra; stable isotope analysis</t>
  </si>
  <si>
    <t>PREY SIZE RELATIONSHIPS; BODY-SIZE; COPPER ROCKFISH; FOOD WEBS; ABUNDANCE; ECOLOGY; DISTRIBUTIONS; DELTA-N-15; DYNAMICS; PATTERNS</t>
  </si>
  <si>
    <t>Theory predicts that bottom-heavy biomass pyramids or 'stacks' should predominate in real-world communities if trophic-level increases with body size (mean predator-to-prey mass ratio (PPMR) more than 1). However, recent research suggests that inverted biomass pyramids (IBPs) characterize relatively pristine reef fish communities. Here, we estimated the slope of a kelp forest fish community biomass spectrum from underwater visual surveys. The observed biomass spectrum slope is strongly positive, reflecting an IBP. This is incongruous with theory because this steep positive slope would only be expected if trophic position decreased with increasing body size (consumer-to-resource mass ratio, less than 1). We then used delta N-15 signatures of fish muscle tissue to quantify the relationship between trophic position and body size and instead detected strong evidence for the opposite, with PPMR 1650 (50% credible interval 280-12 000). The natural history of kelp forest reef fishes suggests that this paradox could arise from energetic subsidies in the form of movement of mobile consumers across habitats, and from seasonally pulsed production inputs at small body sizes. There were four to five times more biomass at large body sizes (1-2 kg) than would be expected in a closed steady-state community providing a measure of the magnitude of subsidies.</t>
  </si>
  <si>
    <t>[Trebilco, Rowan; Dulvy, Nicholas K.; Anderson, Sean C.] Simon Fraser Univ, Earth Ocean Res Grp, Biol Sci, 8888 Univ Dr, Burnaby, BC V5A 1S6, Canada; [Salomon, Anne K.] Simon Fraser Univ, Sch Resource &amp; Environm Management, 8888 Univ Dr, Burnaby, BC V5A 1S6, Canada; [Trebilco, Rowan] Univ Tasmania, Antarctic Climate &amp; Ecosyst Cooperat Res Ctr, Private Bag 80, Hobart, Tas 7001, Australia</t>
  </si>
  <si>
    <t>Simon Fraser University; Simon Fraser University; University of Tasmania; Antarctic Climate &amp; Ecosystems Cooperative Research Centre (ACE CRC)</t>
  </si>
  <si>
    <t>Trebilco, R (corresponding author), Simon Fraser Univ, Earth Ocean Res Grp, Biol Sci, 8888 Univ Dr, Burnaby, BC V5A 1S6, Canada.;Trebilco, R (corresponding author), Univ Tasmania, Antarctic Climate &amp; Ecosyst Cooperat Res Ctr, Private Bag 80, Hobart, Tas 7001, Australia.</t>
  </si>
  <si>
    <t>rowan.trebilco@utas.edu.au</t>
  </si>
  <si>
    <t>Dulvy, Nicholas/I-2895-2012; Anderson, Sean C./AFN-3267-2022; Trebilco, Rowan/I-5311-2012</t>
  </si>
  <si>
    <t>Dulvy, Nicholas/0000-0002-4295-9725; Anderson, Sean C./0000-0001-9563-1937; Trebilco, Rowan/0000-0001-9712-8016</t>
  </si>
  <si>
    <t>NSERC; J. Abbott/M. Fretwell Graduate Fellowship; SFU; Garfield Weston Foundation/B.C. Packers Ltd.; NSERC Canada Research Chairs program; Parks Canada</t>
  </si>
  <si>
    <t>NSERC(Natural Sciences and Engineering Research Council of Canada (NSERC)); J. Abbott/M. Fretwell Graduate Fellowship; SFU; Garfield Weston Foundation/B.C. Packers Ltd.; NSERC Canada Research Chairs program(Natural Sciences and Engineering Research Council of Canada (NSERC)); Parks Canada</t>
  </si>
  <si>
    <t>R.T. was supported by an NSERC Vanier Canada Graduate Scholarship, the J. Abbott/M. Fretwell Graduate Fellowship, and an SFU Graduate Fellowship. S.C.A. was supported by the Garfield Weston Foundation/B.C. Packers Ltd. Graduate Fellowship and an SFU Graduate Fellowship. This research was supported by NSERC Discovery grants to N.K.D. and A.K.S., the NSERC Canada Research Chairs program (N.K.D.) and a Parks Canada Contribution Agreement to A.K.S.</t>
  </si>
  <si>
    <t>10.1098/rspb.2016.0816</t>
  </si>
  <si>
    <t>WOS:000381247300022</t>
  </si>
  <si>
    <t>Hu, YA; Ghigliotti, L; Vacchi, M; Pisano, E; Detrich, HW; Albertson, RC</t>
  </si>
  <si>
    <t>Hu, Yinan; Ghigliotti, Laura; Vacchi, Marino; Pisano, Eva; Detrich, H. William, III; Albertson, R. Craig</t>
  </si>
  <si>
    <t>Evolution in an extreme environment: developmental biases and phenotypic integration in the adaptive radiation of antarctic notothenioids</t>
  </si>
  <si>
    <t>Notothenioid; Adaptive radiation; Integration; Evolvability; Channichthyidae</t>
  </si>
  <si>
    <t>BRANCHIAL ARCH MUTANTS; R PACKAGE; ROSS SEA; MORPHOLOGICAL INTEGRATION; FEEDING-HABITS; ZEBRAFISH; JAW; FISHES; SHAPE; EVOLVABILITY</t>
  </si>
  <si>
    <t>Background: Over the past 40 million years water temperatures have dramatically dropped in the Southern Ocean, which has led to the local extinction of most nearshore fish lineages. The evolution of antifreeze glycoproteins in notothenioids, however, enabled these ancestrally benthic fishes to survive and adapt as temperatures reached the freezing point of seawater (-1.86 circle C). Antarctic notothenioids now represent the primary teleost lineage in the Southern Ocean and are of fundamental importance to the local ecosystem. The radiation of notothenioids has been fostered by the evolution of secondary pelagicism, the invasion of pelagic habitats, as the group diversified to fill newly available foraging niches in the water column. While elaborate craniofacial modifications have accompanied this adaptive radiation, little is known about how these morphological changes have contributed to the evolutionary success of notothenioids. Results: We used a 3D-morphometrics approach to investigate patterns of morphological variation in the craniofacial skeleton among notothenioids, and show that variation in head shape is best explained by divergent selection with respect to foraging niche. We document further an accelerated rate of morphological evolution in the icefish family Channichthyidae, and show that their rapid diversification was accompanied by the evolution of relatively high levels of morphological integration. Whereas most studies suggest that extensive integration should constrain phenotypic evolution, icefish stand out as a rare example of increased integration possibly facilitating evolutionary potential. Finally, we show that the unique feeding apparatus in notothenioids in general, and icefish in particular, can be traced to shifts in early developmental patterning mechanisms and ongoing growth of the pharyngeal skeleton. Conclusion: Our work suggests that ecological opportunity is a major factor driving craniofacial variation in this group. Further, the observation that closely related lineages can differ dramatically in integration suggests that this trait can evolve quickly. We propose that the evolution of high levels of phenotypic integration in icefishes may be considered a key innovation that facilitated their morphological evolution and subsequent ecological expansion.</t>
  </si>
  <si>
    <t>[Hu, Yinan] Univ Massachusetts, Grad Program Organism &amp; Evolutionary Biol, Amherst, MA 01003 USA; [Albertson, R. Craig] Univ Massachusetts, Dept Biol, Amherst, MA 01003 USA; [Hu, Yinan] Univ Rhode Isl, Dept Biol Sci, Kingston, RI 02881 USA; [Ghigliotti, Laura; Vacchi, Marino] CNR, Inst Marine Sci ISMAR, Via De Marini 6, I-16149 Genoa, Italy; [Pisano, Eva] Univ Genoa, Dept Earth Environm &amp; Life Sci DISTAV, Viale Benedetto XV 5, I-16132 Genoa, Italy; [Detrich, H. William, III] Northeastern Univ, Ctr Marine Sci, Dept Marine &amp; Environm Sci, Nahant, MA 01908 USA</t>
  </si>
  <si>
    <t>University of Massachusetts System; University of Massachusetts Amherst; University of Massachusetts System; University of Massachusetts Amherst; University of Rhode Island; Consiglio Nazionale delle Ricerche (CNR); Istituto di Scienze Marine (ISMAR-CNR); University of Genoa; Northeastern University</t>
  </si>
  <si>
    <t>Hu, YA (corresponding author), Univ Massachusetts, Grad Program Organism &amp; Evolutionary Biol, Amherst, MA 01003 USA.;Albertson, RC (corresponding author), Univ Massachusetts, Dept Biol, Amherst, MA 01003 USA.;Hu, YA (corresponding author), Univ Rhode Isl, Dept Biol Sci, Kingston, RI 02881 USA.</t>
  </si>
  <si>
    <t>yinan_hu@uri.edu; albertson@bio.umass.edu</t>
  </si>
  <si>
    <t>Hu, Yinan/I-5322-2019; Ghigliotti, Laura/J-3076-2012; Ghigliotti, Laura/AAN-6843-2021</t>
  </si>
  <si>
    <t>Hu, Yinan/0000-0002-9304-519X; Ghigliotti, Laura/0000-0003-2139-1381</t>
  </si>
  <si>
    <t>National Science Foundation [PLR-1247510, PLR-1444167]; Organismic and Evolutionary Biology Program; Biology Department at the University of Massachusetts, Amherst; Office of Polar Programs (OPP); Directorate For Geosciences [1247510, 1444167] Funding Source: National Science Foundation</t>
  </si>
  <si>
    <t>National Science Foundation(National Science Foundation (NSF)); Organismic and Evolutionary Biology Program; Biology Department at the University of Massachusetts, Amherst; Office of Polar Programs (OPP); Directorate For Geosciences(National Science Foundation (NSF)NSF - Directorate for Geosciences (GEO))</t>
  </si>
  <si>
    <t>This work was supported by the National Science Foundation [PLR-1247510 and PLR-1444167 to H.W.D.], and through institutional funds from the Organismic and Evolutionary Biology Program and Biology Department at the University of Massachusetts, Amherst to Y.H and R.C.A., respectively. The Italian Antarctic programme (PNRA) supported the activity at Terra Nova Bay (Ross Sea).</t>
  </si>
  <si>
    <t>10.1186/s12862-016-0704-2</t>
  </si>
  <si>
    <t>DP7JR</t>
  </si>
  <si>
    <t>WOS:000378675500002</t>
  </si>
  <si>
    <t>Cimino, MA; Lynch, HJ; Saba, VS; Oliver, MJ</t>
  </si>
  <si>
    <t>Cimino, Megan A.; Lynch, Heather J.; Saba, Vincent S.; Oliver, Matthew J.</t>
  </si>
  <si>
    <t>Projected asymmetric response of Adelie penguins to Antarctic climate change</t>
  </si>
  <si>
    <t>SEA-ICE; PENINSULA; VARIABILITY; COLONIES; TRENDS</t>
  </si>
  <si>
    <t>The contribution of climate change to shifts in a species' geographic distribution is a critical and often unresolved ecological question. Climate change in Antarctica is asymmetric, with cooling in parts of the continent and warming along the West Antarctic Peninsula (WAP). The Adelie penguin (Pygoscelis adeliae) is a circumpolar meso-predator exposed to the full range of Antarctic climate and is undergoing dramatic population shifts coincident with climate change. We used true presence-absence data on Adelie penguin breeding colonies to estimate past and future changes in habitat suitability during the chick-rearing period based on historic satellite observations and future climate model projections. During the contemporary period, declining Adelie penguin populations experienced more years with warm sea surface temperature compared to populations that are increasing. Based on this relationship, we project that one-third of current Adelie penguin colonies, representing similar to 20% of their current population, may be in decline by 2060. However, climate model projections suggest refugia may exist in continental Antarctica beyond 2099, buffering species-wide declines. Climate change impacts on penguins in the Antarctic will likely be highly site specific based on regional climate trends, and a southward contraction in the range of Adelie penguins is likely over the next century.</t>
  </si>
  <si>
    <t>[Cimino, Megan A.; Oliver, Matthew J.] Univ Delaware, Coll Earth Ocean &amp; Environm, 700 Pilottown Rd, Lewes, DE 19958 USA; [Lynch, Heather J.] SUNY Stony Brook, 113 Life Sci Bldg, Stony Brook, NY 11794 USA; [Saba, Vincent S.] NOAA, Natl Marine Fisheries Serv, Northeast Fisheries Sci Ctr, Geophys Fluid Dynam Lab, Princeton Univ Forrestal Campus,201 Forrestal Rd, Princeton, NJ 08540 USA</t>
  </si>
  <si>
    <t>University of Delaware; State University of New York (SUNY) System; State University of New York (SUNY) Stony Brook; Princeton University; National Oceanic Atmospheric Admin (NOAA) - USA</t>
  </si>
  <si>
    <t>Cimino, MA (corresponding author), Univ Delaware, Coll Earth Ocean &amp; Environm, 700 Pilottown Rd, Lewes, DE 19958 USA.</t>
  </si>
  <si>
    <t>mcimino@udel.edu</t>
  </si>
  <si>
    <t>Saba, Vincent/A-3799-2010</t>
  </si>
  <si>
    <t>Saba, Vincent/0000-0002-2974-4826</t>
  </si>
  <si>
    <t>NASA Biodiversity Program [NNX09AK24G]; NSF Office of Polar Programs; Geography and Spatial Sciences [1255058]; NASA [NNX09AK24G, 114034] Funding Source: Federal RePORTER</t>
  </si>
  <si>
    <t>NASA Biodiversity Program(National Aeronautics &amp; Space Administration (NASA)); NSF Office of Polar Programs(National Science Foundation (NSF)); Geography and Spatial Sciences; NASA(National Aeronautics &amp; Space Administration (NASA))</t>
  </si>
  <si>
    <t>This work was funded by the NASA Biodiversity Program (NNX09AK24G to M.O.). H.L. acknowledges support from the NSF Office of Polar Programs and Geography and Spatial Sciences (Award No. 1255058). We thank James Scott and Michael Alexander for providing IPCC model simulations.</t>
  </si>
  <si>
    <t>10.1038/srep28785</t>
  </si>
  <si>
    <t>DP9FV</t>
  </si>
  <si>
    <t>WOS:000378803000001</t>
  </si>
  <si>
    <t>Zhang, XY; Thompson, AF; Flexas, MM; Roquet, F; Bornemann, H</t>
  </si>
  <si>
    <t>Zhang, Xiyue; Thompson, Andrew F.; Flexas, Mar M.; Roquet, Fabien; Bornemann, Horst</t>
  </si>
  <si>
    <t>Circulation and meltwater distribution in the Bellingshausen Sea: From shelf break to coast</t>
  </si>
  <si>
    <t>CIRCUMPOLAR DEEP-WATER; BOTTOM WATER; ICE-SHEET; GLACIAL MELTWATER; AMUNDSEN; INFLOW; COMPILATION; VARIABILITY</t>
  </si>
  <si>
    <t>West Antarctic ice shelves have thinned dramatically over recent decades. Oceanographic measurements that explore connections between offshore warming and transport across a continental shelf with variable bathymetry toward ice shelves are needed to constrain future changes in melt rates. Six years of seal-acquired observations provide extensive hydrographic coverage in the Bellingshausen Sea, where ship-based measurements are scarce. Warm but modified Circumpolar Deep Water floods the shelf and establishes a cyclonic circulation within the Belgica Trough with flow extending toward the coast along the eastern boundaries and returning to the shelf break along western boundaries. These boundary currents are the primary water mass pathways that carry heat toward the coast and advect ice shelf meltwater offshore. The modified Circumpolar Deep Water and meltwater mixtures shoal and thin as they approach the continental slope before flowing westward at the shelf break, suggesting the presence of the Antarctic Slope Current. Constraining meltwater pathways is a key step in monitoring the stability of the West Antarctic Ice Sheet.</t>
  </si>
  <si>
    <t>[Zhang, Xiyue; Thompson, Andrew F.] CALTECH, Environm Sci &amp; Engn, Pasadena, CA 91125 USA; [Flexas, Mar M.] CALTECH, Jet Prop Lab, Pasadena, CA USA; [Roquet, Fabien] Stockholm Univ, Dept Meteorol, Stockholm, Sweden; [Bornemann, Horst] Helmholtz Zentrum Polar &amp; Meeresforsch, Alfred Wegener Inst, Bremerhaven, Germany</t>
  </si>
  <si>
    <t>California Institute of Technology; National Aeronautics &amp; Space Administration (NASA); NASA Jet Propulsion Laboratory (JPL); California Institute of Technology; Stockholm University; Helmholtz Association; Alfred Wegener Institute, Helmholtz Centre for Polar &amp; Marine Research</t>
  </si>
  <si>
    <t>Zhang, XY (corresponding author), CALTECH, Environm Sci &amp; Engn, Pasadena, CA 91125 USA.</t>
  </si>
  <si>
    <t>xiyue@caltech.edu</t>
  </si>
  <si>
    <t>Flexas, Mar/GOV-3308-2022; Roquet, Fabien/D-4848-2013; Roquet, Fabien/N-3221-2019</t>
  </si>
  <si>
    <t>Roquet, Fabien/0000-0003-1124-4564; Flexas, Mar/0000-0002-0617-3004</t>
  </si>
  <si>
    <t>NSF [OPP-1246460]; NASA Postdoctoral Program; NASA; Office of Polar Programs (OPP); Directorate For Geosciences [1246460] Funding Source: National Science Foundation</t>
  </si>
  <si>
    <t>NSF(National Science Foundation (NSF)); NASA Postdoctoral Program(National Aeronautics &amp; Space Administration (NASA)); NASA(National Aeronautics &amp; Space Administration (NASA)); Office of Polar Programs (OPP); Directorate For Geosciences(National Science Foundation (NSF)NSF - Directorate for Geosciences (GEO))</t>
  </si>
  <si>
    <t>The MEOP consortium coordinates several seal-tagging national programs to provide a comprehensive oceanographic coverage in Polar Regions (http://www.meop.net/). Bellingshausen Sea data were produced with support from the Alfred Wegener Institute Helmholtz Centre for Polar and Marine Research (GER), the Instituto Antartico Argentino (ARG), the National Oceanographic Partnership Program (USA), and the Brazilian National Research Council (BRA). Data and information can be accessed at www.coriolis.eu.org with details in the supporting information. We would like to thank the anonymous reviewers for their constructive comments. A.F.T. acknowledges support by NSF award OPP-1246460. M.M.F. is supported by the NASA Postdoctoral Program administered by Oak Ridge Associated Universities. This research was in part carried out at the Jet Propulsion Laboratory, California Institute of Technology, under a contract with NASA.</t>
  </si>
  <si>
    <t>JUN 28</t>
  </si>
  <si>
    <t>10.1002/2016GL068998</t>
  </si>
  <si>
    <t>DS6RN</t>
  </si>
  <si>
    <t>WOS:000380910100059</t>
  </si>
  <si>
    <t>Kotovitch, M; Moreau, S; Zhou, JY; Vancoppenolle, M; Dieckmann, GS; Evers, KU; Van der Linden, F; Thomas, DN; Tison, JL; Delille, B</t>
  </si>
  <si>
    <t>Kotovitch, Marie; Moreau, Sebastien; Zhou, Jiayun; Vancoppenolle, Martin; Dieckmann, Gerhard S.; Evers, Karl-Ulrich; Van der Linden, Fanny; Thomas, David N.; Tison, Jean-Louis; Delille, Bruno</t>
  </si>
  <si>
    <t>Air-ice carbon pathways inferred from a sea ice tank experiment</t>
  </si>
  <si>
    <t>SEAWATER-DERIVED BRINES; DISSOCIATION-CONSTANTS; SUBZERO TEMPERATURES; GRAVITY DRAINAGE; INORGANIC CARBON; PARTIAL-PRESSURE; GAS-EXCHANGE; WIND-SPEED; CO2; IKAITE</t>
  </si>
  <si>
    <t>Given rapid sea ice changes in the Arctic Ocean in the context of climate warming, better constraints on the role of sea ice in CO2 cycling are needed to assess the capacity of polar oceans to buffer the rise of atmospheric CO2 concentration. Air-ice CO2 fluxes were measured continuously using automated chambers from the initial freezing of a sea ice cover until its decay during the INTERICE V experiment at the Hamburg Ship Model Basin. Cooling seawater prior to sea ice formation acted as a sink for atmospheric CO2, but as soon as the first ice crystals started to form, sea ice turned to a source of CO2, which lasted throughout the whole ice growth phase. Once ice decay was initiated by warming the atmosphere, the sea ice shifted back again to a sink of CO2. Direct measurements of outward ice-atmosphere CO2 fluxes were consistent with the depletion of dissolved inorganic carbon in the upper half of sea ice. Combining measured air-ice CO2 fluxes with the partial pressure of CO2 in sea ice, we determined strongly different gas transfer coefficients of CO2 at the air-ice interface between the growth and the decay phases (from 2.5 to 0.4 mol m(-2) d(-1) atm(-1)). A 1D sea ice carbon cycle model including gas physics and carbon biogeochemistry was used in various configurations in order to interpret the observations. All model simulations correctly predicted the sign of the air-ice flux. By contrast, the amplitude of the flux was much more variable between the different simulations. In none of the simulations was the dissolved gas pathway strong enough to explain the large fluxes during ice growth. This pathway weakness is due to an intrinsic limitation of ice-air fluxes of dissolved CO2 by the slow transport of dissolved inorganic carbon in the ice. The best means we found to explain the high air-ice carbon fluxes during ice growth is an intense yet uncertain gas bubble efflux, requiring sufficient bubble nucleation and upwards rise. We therefore call for further investigation of gas bubble nucleation and transport in sea ice.</t>
  </si>
  <si>
    <t>[Kotovitch, Marie; Zhou, Jiayun; Van der Linden, Fanny; Delille, Bruno] Univ Liege, MARE, Unite Oceanog Chim, Liege, Belgium; [Kotovitch, Marie; Zhou, Jiayun; Van der Linden, Fanny; Tison, Jean-Louis] Univ Libre Bruxelles, DSTE, Lab Glaciol, Brussels, Belgium; [Moreau, Sebastien] Univ Tasmania, Inst Marine &amp; Antarctic Studies, Hobart, Tas, Australia; [Zhou, Jiayun] Duke Univ, Nicholas Sch Environm, Div Earth &amp; Ocean Sci, Durham, NC 27708 USA; [Vancoppenolle, Martin] Univ Paris 06, Univ Paris 04, LOCEAN IPSL, CNRS IRD MNHN, F-75252 Paris 05, France; [Dieckmann, Gerhard S.] Helmholtz Ctr Polar &amp; Marine Res, Alfred Wegener Inst, Bremerhaven, Germany; [Evers, Karl-Ulrich] HSVA, Arctic Technol Dept, Hamburg, Germany; [Thomas, David N.] Finnish Environm Inst SYKE, Marine Res Ctr, Helsinki, Finland; [Thomas, David N.] Bangor Univ, Sch Ocean Sci, Menai Bridge, Gwynedd, Wales</t>
  </si>
  <si>
    <t>University of Liege; Universite Libre de Bruxelles; University of Tasmania; Duke University; Sorbonne Universite; Institut de Recherche pour le Developpement (IRD); Museum National d'Histoire Naturelle (MNHN); Helmholtz Association; Alfred Wegener Institute, Helmholtz Centre for Polar &amp; Marine Research; Finnish Environment Institute; Bangor University</t>
  </si>
  <si>
    <t>Kotovitch, M (corresponding author), Univ Liege, MARE, Unite Oceanog Chim, Liege, Belgium.;Kotovitch, M (corresponding author), Univ Libre Bruxelles, DSTE, Lab Glaciol, Brussels, Belgium.</t>
  </si>
  <si>
    <t>Marie.Kotovitch@ulg.ac.be</t>
  </si>
  <si>
    <t>Dieckmann, Gerhard S/B-4307-2010; Vancoppenolle, Martin/B-3750-2011; Thomas, David Neville/B-1448-2010; Vancoppenolle, Martin/AAA-7711-2022; Delille, Bruno/C-3486-2008</t>
  </si>
  <si>
    <t>Vancoppenolle, Martin/0000-0002-7573-8582; Thomas, David Neville/0000-0001-8832-5907; Vancoppenolle, Martin/0000-0002-7573-8582; Moreau, Sebastien/0000-0001-9446-812X; Van der Linden, Fanny/0000-0002-2869-8477; Delille, Bruno/0000-0003-0502-8101</t>
  </si>
  <si>
    <t>10.12952/journal.elementa.000112</t>
  </si>
  <si>
    <t>DR3NU</t>
  </si>
  <si>
    <t>Green Accepted, Green Submitted, Green Published, gold</t>
  </si>
  <si>
    <t>WOS:000379810700001</t>
  </si>
  <si>
    <t>Davey, FJ; Granot, R; Cande, SC; Stock, JM; Selvans, M; Ferraccioli, F</t>
  </si>
  <si>
    <t>Davey, F. J.; Granot, R.; Cande, S. C.; Stock, J. M.; Selvans, M.; Ferraccioli, F.</t>
  </si>
  <si>
    <t>Synchronous oceanic spreading and continental rifting in West Antarctica</t>
  </si>
  <si>
    <t>ROSS SEA; PLATE; PROPAGATION; BOUNDARY; DYNAMICS; PATTERNS; BENEATH; CRUSTAL; SYSTEM; EAST</t>
  </si>
  <si>
    <t>Magnetic anomalies associated with new ocean crust formation in the Adare Basin off north-western Ross Sea (43-26Ma) can be traced directly into the Northern Basin that underlies the adjacent morphological continental shelf, implying a continuity in the emplacement of oceanic crust. Steep gravity gradients along the margins of the Northern Basin, particularly in the east, suggest that little extension and thinning of continental crust occurred before it ruptured and the new oceanic crust formed, unlike most other continental rifts and the Victoria Land Basin further south. A preexisting weak crust and localization of strain by strike-slip faulting are proposed as the factors allowing the rapid rupture of continental crust.</t>
  </si>
  <si>
    <t>[Davey, F. J.] Inst Geol &amp; Nucl Sci, Lower Hutt, New Zealand; [Granot, R.] Ben Gurion Univ Negev, Dept Geol &amp; Environm Sci, Beer Sheva, Israel; [Cande, S. C.] Scripps Inst Oceanog, La Jolla, CA USA; [Stock, J. M.] CALTECH, Seismol Lab, Pasadena, CA 91125 USA; [Selvans, M.] Univ Calif Berkeley, Learning Design Grp, Lawrence Hall Sci, Berkeley, CA 94720 USA; [Ferraccioli, F.] British Antarctic Survey, Cambridge CB3 0ET, England</t>
  </si>
  <si>
    <t>GNS Science - New Zealand; Ben Gurion University; University of California System; University of California San Diego; Scripps Institution of Oceanography; California Institute of Technology; University of California System; University of California Berkeley; UK Research &amp; Innovation (UKRI); Natural Environment Research Council (NERC); NERC British Antarctic Survey</t>
  </si>
  <si>
    <t>Davey, FJ (corresponding author), Inst Geol &amp; Nucl Sci, Lower Hutt, New Zealand.</t>
  </si>
  <si>
    <t>F.Davey@gns.cri.nz</t>
  </si>
  <si>
    <t>Granot, Roi/F-4555-2012; Stock, Joann Miriam/AAN-1526-2021</t>
  </si>
  <si>
    <t>Stock, Joann Miriam/0000-0003-4816-7865; Ferraccioli, Fausto/0000-0002-9347-4736; Granot, Roi/0000-0001-5366-188X</t>
  </si>
  <si>
    <t>NSF [OPP04-40959]; NZGSF; NERC [bas0100029] Funding Source: UKRI; Natural Environment Research Council [bas0100029] Funding Source: researchfish</t>
  </si>
  <si>
    <t>NSF(National Science Foundation (NSF)); NZGSF; NERC(UK Research &amp; Innovation (UKRI)Natural Environment Research Council (NERC)); Natural Environment Research Council(UK Research &amp; Innovation (UKRI)Natural Environment Research Council (NERC))</t>
  </si>
  <si>
    <t>The aeromagnetic map in Figure 2 is available from F.F. and will be submitted to the NERC/BAS Polar Data Centre. Magnetic anomaly picks have been submitted to The Global Seafloor Fabric and Magnetic Lineation Data Base Project, link: http://www.soest.hawaii.edu/PT/GSFML/ML/index.html. The marine gravity data are available from GeoMap App, cruise NBP0701. The seismic data of Brancolini et al., 1989 are also available from the SCAR seismic Data Library System-http://sdls.ogs.trieste.it/. Sonobuoy data from NBP0701 are available from http://web.gps.caltech.edu/similar to clay/Adare_Sonobuoy/Adare_Sonobuoy.html). Adare Basin Sonobuoy data (2007), Sonobuoy Data from the Adare Basin, Antarctica. Caltech. Dataset. doi:10.7909/C37P8W9P. S.C. acknowledges funding from NSF grant OPP04-40959 and F.D. for funding from NZGSF. We acknowledge the critical reviews by John Behrendt and two anonymous reviewers that has greatly improved the paper. F.D. thanks Susan Ellis for advice.</t>
  </si>
  <si>
    <t>10.1002/2016GL069087</t>
  </si>
  <si>
    <t>WOS:000380910100031</t>
  </si>
  <si>
    <t>Pitulko, VV; Pavlova, EY; Basilyan, AE</t>
  </si>
  <si>
    <t>Pitulko, V. V.; Pavlova, E. Y.; Basilyan, A. E.</t>
  </si>
  <si>
    <t>Mass accumulations of mammoth (mammoth 'graveyards') with indications of past human activity in the northern Yana-Indighirka lowland, Arctic Siberia</t>
  </si>
  <si>
    <t>QUATERNARY INTERNATIONAL</t>
  </si>
  <si>
    <t>6th International Conference on Mammoths and their Relatives (ICMR)</t>
  </si>
  <si>
    <t>MAY 05-12, 2014</t>
  </si>
  <si>
    <t>GREECE</t>
  </si>
  <si>
    <t>Late Pleistocene; Arctic Siberia; Accumulations of mammoth; Upper Palaeolithic; Mammoth exploitation; Western Beringia</t>
  </si>
  <si>
    <t>LAST GLACIAL MAXIMUM; PALEOLITHIC SITE; WOOLLY MAMMOTH; RHS SITE; ENVIRONMENT; EXTINCTION; MORAVIA; AREA; AGE</t>
  </si>
  <si>
    <t>In recent years, new accumulations of mammoth faunal remains have been discovered in the northern part of the Yana-Indighirka lowland. Such areas are referred to as mammoth graveyards since the discovery of the Berelekh complex of geoarchaeological locales. It's been determined that all of these locales contain various amounts of evidence of past human activity associated with the use of bone accumulations as a valuable raw material source (mammoth ivory). These locales indicate that humans were widely spread in Arctic Siberia during the Late Pleistocene (MIS 3 and 2). At least some of these sites could have formed as a result of ancient people hunting mammoths. In this article we discuss two newly discovered sites, which currently represent the northernmost evidence of human presence in the Arctic at the end of the Pleistocene. They were found in the Maksunuokha River valley, to the south of the Shirokostan Peninsula. The Urez-22 site (MKR/U22) is located at 71 degrees 42' N and is currently the northernmost Paleolithic site in the world. The Lake Nikita site (NKL) is situated 40 km away from Urez-22, and both sites contain numerous remains of mammoth. The NKL site material represents the earlier of the two ancient human habitation episodes. This site's age is estimated at similar to 13,800 to 13,600 years ago. The NKL site is a complete chronological and cultural duplicate of the Berelekh site, which points to a relatively wide spread of this culture in Northeast Asia. NewWorld implements, similar to those found at the Berelekh site and NKL, are known as the Chindadn points. At this point, they represent the only tangible evidence of the cultural connection between the materials from Northeast Asia and Northwest North America. The age of Urez-22 can be estimated at the time slice of similar to 14,900 to 13,900 years ago. Archaeological material was encountered in redeposited concentrations, created by a low-energy stream. Artifacts from Urez-22 demonstrate the spread of microblade industry, older than the early Holocene, for the first time in the Siberian Arctic. This new material indicates noticeable cultural originality of the region during the Late Paleolithic and promises success in the future search for Paleolithic sites in the Yana-Indighirka lowland. (C) 2015 Elsevier Ltd and INQUA. All rights reserved.</t>
  </si>
  <si>
    <t>[Pitulko, V. V.] Russian Acad Sci, Inst Hist Mat Culture, 18 Dvortsovaya Nab, St Petersburg 191186, Russia; [Pavlova, E. Y.] Arctic &amp; Antarctic Res Inst, 38 Bering St, St Petersburg 199397, Russia; [Basilyan, A. E.] Russian Acad Sci, Inst Geol, 7 Pyzhevsky Pereulok, Moscow 109017, Russia</t>
  </si>
  <si>
    <t>Russian Academy of Sciences; Institute for the History of Material Culture, Russian Academy of Sciences; St. Petersburg Scientific Centre of the Russian Academy of Sciences; Arctic &amp; Antarctic Research Institute; Geological Institute, Russian Academy of Sciences; Russian Academy of Sciences</t>
  </si>
  <si>
    <t>Pitulko, VV (corresponding author), Russian Acad Sci, Inst Hist Mat Culture, 18 Dvortsovaya Nab, St Petersburg 191186, Russia.</t>
  </si>
  <si>
    <t>pitulkov@gmail.com; pavloval@rambler.ru; alexandr.basilyan@gmail.com</t>
  </si>
  <si>
    <t>Nikolskiy, Pavel/JNT-4697-2023; Pitulko, Vladimir/N-4009-2019; Pavlova, Elena/AAA-3291-2019; Pitulko, Vladimir/E-2200-2015</t>
  </si>
  <si>
    <t>Pitulko, Vladimir/0000-0001-5672-2756; Pavlova, Elena/0000-0002-3010-6290</t>
  </si>
  <si>
    <t>Rock Foundation (New York, USA); Russian Academy of Sciences Presidium's fundamental research program [N 33, 1.11]; Russian Foundation for Basic Research [13-06-12044]</t>
  </si>
  <si>
    <t>Rock Foundation (New York, USA); Russian Academy of Sciences Presidium's fundamental research program; Russian Foundation for Basic Research(Russian Foundation for Basic Research (RFBR)Spanish Government)</t>
  </si>
  <si>
    <t>The Maksunuokha valley survey took place in August 2013 as part of the Zhokhov-2000 research project. From 2000, this work has been funded by the Rock Foundation (New York, USA), the Russian Academy of Sciences Presidium's fundamental research program N 33 (project 1.11), the Russian Foundation for Basic Research (project RFFI-ofi-m No13-06-12044). Extended Muksunuokha survey program was made possible by the support from Mr. Frederik Paulsen. We especially thank the Rock Foundation for supporting the radiocarbon dating program for dating the samples from Urez-22 and Nikita Lake exposures. The authors are grateful to V. Gorokhov (village of Yukaghir), I. Sleptsov (village of Kazachye) and D. Fisher (University of Michigan), for providing preliminary information about archaeological finds in the area surrounding the studied sites. During the analysis stages, the authors received help from A.N. Tikhonov (Zoology Institute of the Russian Academy of Sciences, St. Petersburg) for faunal remains identification, E.V. Zharov (Saint Petersburg Clinical Center for Special Medical Care) for CT scanning of the mammoth rib with hunting lesion, and V. V. Ivanova (I.S. Gramberg Institute for Geology and Mineral Resources of the Ocean, St. Petersburg) for preparation of KML files. Special thanks due to N.A. Tsvetkova and A.O. Mashezerskaya (archaeological illustrations), and V.Y. Stegantseva (illustration editing). We also thank the field team members L.V. Kruglov, P.I. Pulmanen, S.O. Remizov, and K.P Filonenko, whose assistance and patience were crucial for the success of the study. Finally, authors are grateful to Natalia Slobodina for her help with the translation of the manuscript.</t>
  </si>
  <si>
    <t>1040-6182</t>
  </si>
  <si>
    <t>1873-4553</t>
  </si>
  <si>
    <t>QUATERN INT</t>
  </si>
  <si>
    <t>Quat. Int.</t>
  </si>
  <si>
    <t>JUN 25</t>
  </si>
  <si>
    <t>10.1016/j.quaint.2015.12.039</t>
  </si>
  <si>
    <t>DM7IH</t>
  </si>
  <si>
    <t>WOS:000376532400016</t>
  </si>
  <si>
    <t>Tatsumi, M; Wright, JT</t>
  </si>
  <si>
    <t>Tatsumi, Masayuki; Wright, Jeffrey T.</t>
  </si>
  <si>
    <t>Understory algae and low light reduce recruitment of the habitat-forming kelp Ecklonia radiata</t>
  </si>
  <si>
    <t>Laminariales; Gametophyte settlement; Sporophyte recruitment; Photosynthetically active radiation; PAR; Recruitment; Understory algae</t>
  </si>
  <si>
    <t>GOAT-ISLAND BAY; MACROCYSTIS-PYRIFERA; LIFE-HISTORY; LAMINARIALES; TEMPERATURE; CANOPY; GROWTH; SHADE; SEDIMENTATION; CONSEQUENCES</t>
  </si>
  <si>
    <t>Kelp forests form important habitat in temperate subtidal regions but are threatened by a range of stressors that impact their abundance. In this study, we determined the effect of understory algae, a potential competitor of kelp, on the recruitment of the Australasian kelp, Ecklonia radiata, via their role in reducing light availability for early life-cycle stages of Ecklonia. A field experiment manipulating the abundance of understory algae showed no recruitment of out-planted microscopic sporophytes or naturally recruiting macroscopic sporophytes with a high (&gt;80%) cover of understory algae. In contrast, both microscopic and macroscopic sporophytes recruited into plots with a medium (40 to 60%) and low (&lt;20%) cover of understory algae. Light appears to be the important mechanism for the inhibition of kelp recruitment because a high cover of understory algae blocks up to 90% of available light for Ecklonia recruits. A laboratory experiment showed that low light (similar to the levels beneath the understory of high-coverage algal canopies) inhibited Ecklonia gametophyte growth and prevented microscopic sporophyte recruitment. Both high light (similar to levels when there is little understory algal canopy) and high zoospore density resulted in high sporophyte recruitment, suggesting important additive effects of those factors. This study indicates that an increase in the cover of understory algae results in low light, which inhibits Ecklonia sporophyte recruitment. The resilience of kelp will be strongly influenced by recruitment, and our results highlight that a decline in kelp canopy cover which leads to an increase in understory algae can ultimately feedback to negatively affect kelp recruitment.</t>
  </si>
  <si>
    <t>[Tatsumi, Masayuki; Wright, Jeffrey T.] Univ Tasmania, Inst Marine &amp; Antarctic Studies, Launceston, Tas 7250, Australia</t>
  </si>
  <si>
    <t>Tatsumi, M (corresponding author), Univ Tasmania, Inst Marine &amp; Antarctic Studies, Launceston, Tas 7250, Australia.</t>
  </si>
  <si>
    <t>masayuki.tatsumi@utas.edu.au</t>
  </si>
  <si>
    <t>Wright, Jeffrey/J-7536-2014</t>
  </si>
  <si>
    <t>Wright, Jeffrey/0000-0002-1085-4582</t>
  </si>
  <si>
    <t>JUN 23</t>
  </si>
  <si>
    <t>10.3354/meps11743</t>
  </si>
  <si>
    <t>DR3OJ</t>
  </si>
  <si>
    <t>WOS:000379812200010</t>
  </si>
  <si>
    <t>Mishra, R; Pandey, DK; Ramesh, P; Clift, PD</t>
  </si>
  <si>
    <t>Mishra, Ravi; Pandey, D. K.; Ramesh, Prerna; Clift, Peter D.</t>
  </si>
  <si>
    <t>Identification of new deep sea sinuous channels in the eastern Arabian Sea</t>
  </si>
  <si>
    <t>SPRINGERPLUS</t>
  </si>
  <si>
    <t>Submarine canyon; Deep sea channel system; Indus Fan; Arabian Sea</t>
  </si>
  <si>
    <t>INDUS FAN; LATE QUATERNARY; SUBMARINE CHANNELS; SEISMIC FACIES; OCEAN-FLOOR; SYSTEM; EVOLUTION; SEDIMENTATION; CANYONS; ARCHITECTURE</t>
  </si>
  <si>
    <t>Deep sea channel systems are recognized in most submarine fans worldwide as well as in the geological record. The Indus Fan is the second largest modern submarine fan, having a well-developed active canyon and deep sea channel system. Previous studies from the upper Indus Fan have reported several active channel systems. In the present study, deep sea channel systems were identified within the middle Indus Fan using high resolution multibeam bathymetric data. Prominent morphological features within the survey block include the Raman Seamount and Laxmi Ridge. The origin of the newly discovered channels in the middle fan has been inferred using medium resolution satellite bathymetry data. Interpretation of new data shows that the highly sinuous deep sea channel systems also extend to the east of Laxmi Ridge, as well as to the west of Laxmi Ridge, as previously reported. A decrease in sinuosity southward can be attributed to the morphological constraints imposed by the elevated features. These findings have significance in determining the pathways for active sediment transport systems, as well as their source characterization. The geometry suggests a series of punctuated avulsion events leading to the present array of disconnected channels. Such channels have affected the Laxmi Basin since the Pliocene and are responsible for reworking older fan sediments, resulting in loss of the original erosional signature supplied from the river mouth. This implies that distal fan sediments have experienced significant signal shredding and may not represent the erosion and weathering conditions within the onshore basin at the time of sedimentation.</t>
  </si>
  <si>
    <t>[Mishra, Ravi] Natl Ctr Antarctic &amp; Ocean Res, IODP India, Vasco Da Gama 403804, Goa, India; [Pandey, D. K.; Ramesh, Prerna] Natl Ctr Antarctic &amp; Ocean Res, Vasco Da Gama 403804, Goa, India; [Clift, Peter D.] Louisiana State Univ, Dept Geol &amp; Geophys, Baton Rouge, LA 70803 USA</t>
  </si>
  <si>
    <t>Ministry of Earth Sciences (MoES) - India; National Centre for Polar and Ocean Research (NCPOR); Ministry of Earth Sciences (MoES) - India; National Centre for Polar and Ocean Research (NCPOR); Louisiana State University System; Louisiana State University</t>
  </si>
  <si>
    <t>Mishra, R (corresponding author), Natl Ctr Antarctic &amp; Ocean Res, IODP India, Vasco Da Gama 403804, Goa, India.</t>
  </si>
  <si>
    <t>ravimishra@ncaor.gov.in</t>
  </si>
  <si>
    <t>Clift, Peter/JWO-3915-2024; Pandey, Dhananjai/S-3843-2019; Clift, Peter D/A-8972-2012</t>
  </si>
  <si>
    <t>Pandey, Dhananjai/0000-0001-6899-8995; Ramesh, Prerna/0000-0001-6894-3951</t>
  </si>
  <si>
    <t>Institute National Centre for Antarctic and Ocean Research, Ministry of Earth Sciences</t>
  </si>
  <si>
    <t>We have utilised our own Institute Research Vessel ORV Sagar Kanya for multibeam survey. The seismic survey is part of my institute survey done in the charted vessel R/V Geo Hindsagar. All financial and other supports are from my Institute National Centre for Antarctic and Ocean Research, Ministry of Earth Sciences.</t>
  </si>
  <si>
    <t>2193-1801</t>
  </si>
  <si>
    <t>SpringerPlus</t>
  </si>
  <si>
    <t>10.1186/s40064-016-2497-6</t>
  </si>
  <si>
    <t>DP4OQ</t>
  </si>
  <si>
    <t>WOS:000378475700004</t>
  </si>
  <si>
    <t>Witze, A</t>
  </si>
  <si>
    <t>Witze, Alexandra</t>
  </si>
  <si>
    <t>Iconic Antarctic lab gets the boot</t>
  </si>
  <si>
    <t>10.1038/nature.2016.20096</t>
  </si>
  <si>
    <t>DP1SS</t>
  </si>
  <si>
    <t>WOS:000378270300010</t>
  </si>
  <si>
    <t>Davidson, AT; McKinlay, J; Westwood, K; Thomson, PG; van den Enden, R; de Salas, M; Wright, S; Johnson, R; Berry, K</t>
  </si>
  <si>
    <t>Davidson, Andrew T.; McKinlay, John; Westwood, Karen; Thomson, Paul G.; van den Enden, Rick; de Salas, Miguel; Wright, Simon; Johnson, Robert; Berry, Kate</t>
  </si>
  <si>
    <t>Enhanced CO2 concentrations change the structure of Antarctic marine microbial communities</t>
  </si>
  <si>
    <t>Ocean acidification; Phytoplankton; Microzooplankton; Bacteria; Community structure; Abundance; Size; Biomass</t>
  </si>
  <si>
    <t>OCEAN ACIDIFICATION; CARBON ACQUISITION; SOUTHERN-OCEAN; ELEVATED CO2; PHYTOPLANKTON GROWTH; SEASONAL-CHANGES; ANNUAL CYCLE; PRYDZ BAY; SEA-ICE; MICROZOOPLANKTON</t>
  </si>
  <si>
    <t>The impacts of anthropogenic enhancement of the partial pressure of carbon dioxide (pCO(2)) on marine organisms remain unclear, especially in Antarctic waters, which are predicted to be amongst the earliest and most severely affected by the consequent changes in ocean chemistry. Marine microbes are the base of the Antarctic food chain, and the nature of their response to elevated pCO(2) is important as they are key determinants of the biogeochemical cycles that affect global climate. We studied the response of a natural community of Antarctic marine microbes from near-shore waters off Davis Station, Antarctica, to pCO(2) ranging from the concentration in the water column at the time the experiment began (ambient, 84 mu atm) to that predicted by the year 2300 (2423 mu atm) using 6 gas-tight, environmentally controlled tanks (minicosms; 650 l) to which CO2-saturated seawater was added. The microbial community showed little difference between 84 and 643 mu atm CO2 (0.2 to 1.7 times present), indicating that they can tolerate the large seasonal range in pCO(2) in Antarctic coastal waters. Concentrations &gt;= 1281 mu atm reduced the accumulation rate of chlorophyll and particulate carbon, changed the microbial community, and enhanced the relative abundance of small phytoplankton. If our results are indicative of the future responses of Antarctic marine microbes, elevated CO2 could profoundly affect the structure and function of the Antarctic food web by reducing the availability of food for higher trophic levels and decreasing the efficiency of the biological pump.</t>
  </si>
  <si>
    <t>[Davidson, Andrew T.; McKinlay, John; Westwood, Karen; van den Enden, Rick; Wright, Simon] Dept Environm &amp; Water Resources, Australian Antarctic Div, Kingston, Tas 7050, Australia; [Davidson, Andrew T.; Westwood, Karen; Wright, Simon] Univ Tasmania, ACE CRC, Private Bag 80, Hobart, Tas 7001, Australia; [Davidson, Andrew T.; Westwood, Karen; Wright, Simon; Johnson, Robert] Univ Tasmania, IMAS, Private Bag 129, Hobart, Tas 7001, Australia; [Thomson, Paul G.] Univ Western Australia, Sch Environm Syst Engn, Mailstop M470,35 Stirling Highway, Crawley, WA 6009, Australia; [Thomson, Paul G.] Univ Western Australia, UWA Oceans Inst, Mailstop M470,35 Stirling Highway, Crawley, WA 6009, Australia; [de Salas, Miguel] Tasmanian Museum &amp; Art Gallery, Tasmanian Herbarium, Coll Rd, Sandy Bay, Tas 7005, Australia; [Berry, Kate] CSIRO Marine &amp; Atmospher Res Labs, CSIRO Marine &amp; Atmospher Res CMAR, Hobart, Tas 7000, Australia</t>
  </si>
  <si>
    <t>Australian Antarctic Division; University of Tasmania; Antarctic Climate &amp; Ecosystems Cooperative Research Centre (ACE CRC); University of Tasmania; University of Western Australia; University of Western Australia; Commonwealth Scientific &amp; Industrial Research Organisation (CSIRO)</t>
  </si>
  <si>
    <t>Davidson, AT (corresponding author), Dept Environm &amp; Water Resources, Australian Antarctic Div, Kingston, Tas 7050, Australia.;Davidson, AT (corresponding author), Univ Tasmania, ACE CRC, Private Bag 80, Hobart, Tas 7001, Australia.;Davidson, AT (corresponding author), Univ Tasmania, IMAS, Private Bag 129, Hobart, Tas 7001, Australia.</t>
  </si>
  <si>
    <t>andrew.davidson@aad.gov.au</t>
  </si>
  <si>
    <t>; Johnson, Robert/E-7321-2012</t>
  </si>
  <si>
    <t>McKinlay, John/0000-0003-4858-2604; Westwood, Karen/0000-0003-1060-7140; Johnson, Robert/0000-0002-5915-5416</t>
  </si>
  <si>
    <t>Australian Antarctic Science at the Australian Antarctic Division (AAD) [AAS 40, 4026]; Australian Government's Cooperative Research Centre's Program through the Antarctic Climate and Ecosystems Cooperative Research Centre (ACE CRC)</t>
  </si>
  <si>
    <t>Australian Antarctic Science at the Australian Antarctic Division (AAD); Australian Government's Cooperative Research Centre's Program through the Antarctic Climate and Ecosystems Cooperative Research Centre (ACE CRC)(Australian GovernmentDepartment of Industry, Innovation and ScienceCooperative Research Centres (CRC) Programme)</t>
  </si>
  <si>
    <t>This work was supported by the Australian Antarctic Science projects AAS 40 and 4026 at the Australian Antarctic Division (AAD) and the Australian Government's Cooperative Research Centre's Program through the Antarctic Climate and Ecosystems Cooperative Research Centre (ACE CRC). We gratefully acknowledge the assistance of AAD technical support in designing and equipping the minicosms and Davis Station expeditioners in the summer of 2008 and 2009 for their support and assistance. The authors acknowledge the facilities, and the scientific and technical assistance of the Australian Microscopy and Microanalysis Facility at the Centre for Microscopy, Characterisation &amp; Analysis, The University of Western Australia, a facility funded by the University, State and Federal Governments</t>
  </si>
  <si>
    <t>10.3354/meps11742</t>
  </si>
  <si>
    <t>WOS:000379812200008</t>
  </si>
  <si>
    <t>Cleary, AC; Durbin, EG; Casas, MC; Zhou, M</t>
  </si>
  <si>
    <t>Cleary, Alison C.; Durbin, Edward G.; Casas, Maria C.; Zhou, Meng</t>
  </si>
  <si>
    <t>Winter distribution and size structure of Antarctic krill Euphausia superba populations in-shore along the West Antarctic Peninsula</t>
  </si>
  <si>
    <t>Euphausiid; Abundance; Diel vertical migration; DVM; WAP; Fjord</t>
  </si>
  <si>
    <t>SUBMARINE CANYONS; MEGANYCTIPHANES-NORVEGICA; SAMPLING ZOOPLANKTON; HUMPBACK WHALES; SOUTHERN-OCEAN; PALMER LTER; BERING-SEA; AGGREGATION; BEHAVIOR; ABUNDANCE</t>
  </si>
  <si>
    <t>Antarctic krill Euphausia superba are a key component of food webs in the maritime West Antarctic Peninsula, and their life history is tied to the seasonal cycles of sea ice and primary production in the region. Previous work has shown a general in-shore migration of krill in winter in this region; however, the very near-shore has not often been sampled as part of these surveys. We investigated distribution, abundance, and size structure of krill in 3 fjordic bays along the peninsula, and in the adjacent Gerlache Strait area using vertically stratified MOCNESS net tows and ADCP acoustic biomass estimates. Krill abundance was high within bays, with net estimated densities exceeding 60 krill m(-3), while acoustic estimates were an order of magnitude higher. Krill within bays were larger than krill in the Gerlache Strait. Within bays, krill aggregations were observed near the seafloor during the day with aggregations extending to the sediment interface, and exhibited diel vertical migration higher into the water column at night. We suggest these high winter krill abundances within fjords are indicative of an active seasonal migration by krill in the peninsula region. Potential drivers for such a migration include reduced advective losses and costs, and availability of sediment food resources within fjords. Seasonally near-shore krill may also affect stock and recruitment assessments and may have implications for managing the krill fishery in this area.</t>
  </si>
  <si>
    <t>[Cleary, Alison C.; Durbin, Edward G.; Casas, Maria C.] Univ Rhode Isl, Grad Sch Oceanog, Narragansett, RI 02882 USA; [Cleary, Alison C.] Univ Ctr Svalbard, Dept Arctic Biol, N-9171 Longyearbyen, Norway; [Cleary, Alison C.] Marine Biol Assoc UK, Plymouth PL1 2PB, Devon, England; [Zhou, Meng] Univ Massachusetts, Dept Environm Earth &amp; Ocean Sci, Boston, MA 02125 USA</t>
  </si>
  <si>
    <t>University of Rhode Island; University Centre Svalbard (UNIS); Marine Biological Association United Kingdom; University of Massachusetts System; University of Massachusetts Boston</t>
  </si>
  <si>
    <t>Cleary, AC (corresponding author), Univ Rhode Isl, Grad Sch Oceanog, Narragansett, RI 02882 USA.;Cleary, AC (corresponding author), Univ Ctr Svalbard, Dept Arctic Biol, N-9171 Longyearbyen, Norway.;Cleary, AC (corresponding author), Marine Biol Assoc UK, Plymouth PL1 2PB, Devon, England.</t>
  </si>
  <si>
    <t>alison_cleary@my.uri.edu</t>
  </si>
  <si>
    <t>National Science Foundation Office of Polar Programs [ANT-1142107]; Office of Polar Programs (OPP); Directorate For Geosciences [1142107, 1142082]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</si>
  <si>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t>
  </si>
  <si>
    <t>Many thanks to Iain McCoy and Michelle Dennis for assistance with sample collection at sea and to David Gleeson for laboratory assistance. Thanks to the technicians, command, and crew of NBP1304. This research was supported by National Science Foundation Office of Polar Programs grant #ANT-1142107 to E.G.D and M.Z.</t>
  </si>
  <si>
    <t>10.3354/meps11772</t>
  </si>
  <si>
    <t>Bronze, Green Submitted, Green Accepted</t>
  </si>
  <si>
    <t>WOS:000379812200009</t>
  </si>
  <si>
    <t>Domnik, NJ; Polymeropoulos, ET; Elliott, NG; Frappell, PB; Fisher, JT</t>
  </si>
  <si>
    <t>Domnik, Nicolle J.; Polymeropoulos, Elias T.; Elliott, Nicholas G.; Frappell, Peter B.; Fisher, John T.</t>
  </si>
  <si>
    <t>Automated Non-invasive Video-Microscopy of Oyster Spat Heart Rate during Acute Temperature Change: Impact of Acclimation Temperature</t>
  </si>
  <si>
    <t>FRONTIERS IN PHYSIOLOGY</t>
  </si>
  <si>
    <t>oyster; oyster spat; video microscopy; acclimation temperature; heart rate; heart rate variability; aquaculture</t>
  </si>
  <si>
    <t>MUSSEL MYTILUS-EDULIS; RATE-VARIABILITY; CARDIAC ACTIVITY; SHORT-TERM; GROWTH; HYPOXIA; RESPONSES; APLYSIA; FOOD; HRV</t>
  </si>
  <si>
    <t>We developed an automated, non-invasive method to detect real-time cardiac contraction in post-larval (1.1-1.7 mm length), juvenile oysters (i.e., oyster spat) via a fiber-optic trans-illumination system. The system is housed within a temperature-controlled chamber and video microscopy imaging of the heart was coupled with video edge-detection to measure cardiac contraction, inter-beat interval, and heart rate (HR). We used the method to address the hypothesis that cool acclimation (10 degrees C vs. 22 degrees C-T-a10 or T-a22 respectively; each n = 8) would preserve cardiac phenotype (assessed via HR variability, HRV analysis and maintained cardiac activity) during acute temperature changes. The temperature ramp (TR) protocol comprised 2 degrees C steps (10 min/experimental temperature, T-exp) from 22 degrees C to 10 degrees C to 22 degrees C. HR was related to Texp in both acclimation groups. Spat became asystolic at low temperatures, particularly T-a22 spat (T-a22: 8/8 vs. T-a10 : 3/8 asystolic at T-exp = 10 degrees C). The rate of HR decrease during cooling was less in T-a10 vs. T-a22 spat when asystole was included in analysis (P = 0.026). Time-domain HRV was inversely related to temperature and elevated in T-a10 vs. T-a22 spat (P &lt; 0.001), whereas a lack of defined peaks in spectral density precluded frequency-domain analysis. Application of the method during an acute cooling challenge revealed that cool temperature acclimation preserved active cardiac contraction in oyster spat and increased time-domain HRV responses, whereas warm acclimation enhanced asystole. These physiologic changes highlight the need for studies of mechanisms, and have translational potential for oyster aquaculture practices.</t>
  </si>
  <si>
    <t>[Domnik, Nicolle J.; Fisher, John T.] Queens Univ, Biomed &amp; Mol Sci, Kingston, ON, Canada; [Polymeropoulos, Elias T.] Univ Tasmania, Inst Marine &amp; Antarctic Studies, Hobart, Tas, Australia; [Elliott, Nicholas G.] CSIRO, Agr Flagship, Hobart, Tas, Australia; [Frappell, Peter B.] Univ Tasmania, Zool, Hobart, Tas, Australia; [Fisher, John T.] Queens Univ, Med, Div Respirol, Kingston, ON, Canada</t>
  </si>
  <si>
    <t>Queens University - Canada; University of Tasmania; Commonwealth Scientific &amp; Industrial Research Organisation (CSIRO); University of Tasmania; Queens University - Canada</t>
  </si>
  <si>
    <t>Domnik, NJ (corresponding author), Queens Univ, Biomed &amp; Mol Sci, Kingston, ON, Canada.</t>
  </si>
  <si>
    <t>n.j.domnik@queensu.ca</t>
  </si>
  <si>
    <t>Polymeropoulos, Elias T/E-9883-2013; Domnik, Nicolle/AAQ-6204-2020; Domnik, Nicolle/AAT-8803-2020</t>
  </si>
  <si>
    <t>Domnik, Nicolle/0000-0001-6883-4720; Domnik, Nicolle/0000-0001-6883-4720; Polymeropoulos, Elias Theodor/0000-0002-4816-6005</t>
  </si>
  <si>
    <t>National Science and Engineering Research Council, Canada-ND; Canadian Institutes for Health Research [CIHR-MOP 81211-JF]; Commonwealth Science and industry Research Organization: Agriculture Flagship (Australia NE)</t>
  </si>
  <si>
    <t>National Science and Engineering Research Council, Canada-ND; Canadian Institutes for Health Research(Canadian Institutes of Health Research (CIHR)); Commonwealth Science and industry Research Organization: Agriculture Flagship (Australia NE)</t>
  </si>
  <si>
    <t>Michael Smith Foreign Study Supplement (National Science and Engineering Research Council, Canada-ND), Canadian Institutes for Health Research (CIHR-MOP 81211-JF), and Commonwealth Science and industry Research Organization: Agriculture Flagship (Australia NE).</t>
  </si>
  <si>
    <t>1664-042X</t>
  </si>
  <si>
    <t>FRONT PHYSIOL</t>
  </si>
  <si>
    <t>Front. Physiol.</t>
  </si>
  <si>
    <t>JUN 22</t>
  </si>
  <si>
    <t>10.3389/fphys.2016.00236</t>
  </si>
  <si>
    <t>DP5JD</t>
  </si>
  <si>
    <t>WOS:000378531200001</t>
  </si>
  <si>
    <t>De Michelis, P; Consolini, G; Tozzi, R; Marcucci, MF</t>
  </si>
  <si>
    <t>De Michelis, Paola; Consolini, Giuseppe; Tozzi, Roberta; Marcucci, Maria Federica</t>
  </si>
  <si>
    <t>Observations of high-latitude geomagnetic field fluctuations during St. Patrick's Day storm: Swarm and SuperDARN measurements</t>
  </si>
  <si>
    <t>EARTH PLANETS AND SPACE</t>
  </si>
  <si>
    <t>High-latitude phenomena; Solar wind-magnetosphere interactions; Ionospheric turbulence; Swarm magnetic measurements</t>
  </si>
  <si>
    <t>INTERPLANETARY MAGNETIC-FIELD; HF RADAR OBSERVATIONS; IONOSPHERIC IRREGULARITIES; PLASMA TURBULENCE; CONVECTION; VELOCITY; CRITICALITY; DEPENDENCE; DYNAMICS; NETWORK</t>
  </si>
  <si>
    <t>The aim of this work is to study the properties of the magnetic field's fluctuations produced by ionospheric and magnetospheric electric currents during the St. Patrick's Day geomagnetic storm (17 March 2015). We analyse the scaling features of the external contribution to the horizontal geomagnetic field recorded simultaneously by the three satellites of the Swarm constellation during a period of 13 days (13-25 March 2015). We examine the different latitudinal structure of the geomagnetic field fluctuations and analyse the dynamical changes in the magnetic field scaling features during the development of the geomagnetic storm. Analysis reveals consistent patterns in the scaling properties of magnetic fluctuations and striking changes between the situation before the storm, during the main phase and recovery phase. We discuss these dynamical changes in relation to those of the overall ionospheric polar convection and potential structures as reconstructed using SuperDARN data. Our findings suggest that distinct turbulent regimes characterised the mesoscale magnetic field's fluctuations and that some factors, which are known to influence large-scale fluctuations, have also an influence on mesoscale fluctuations. The obtained results are an example of the capability of geomagnetic field fluctuations data to provide new insights about ionospheric dynamics and ionosphere-magnetosphere coupling. At the same time, these results could open doors for development of new applications where the dynamical changes in the scaling features of the magnetic fluctuations are used as local indicators of magnetospheric conditions.</t>
  </si>
  <si>
    <t>[De Michelis, Paola; Tozzi, Roberta] Ist Nazl Geofis &amp; Vulcanol Roma, Via Vigna Murata 605, I-00143 Rome, Italy; [Consolini, Giuseppe; Marcucci, Maria Federica] INAF Ist Astrofis &amp; Planetol Spaziali, Via Fosso Cavaliere 100, I-00133 Rome, Italy</t>
  </si>
  <si>
    <t>Istituto Nazionale Geofisica e Vulcanologia (INGV); Istituto Nazionale Astrofisica (INAF)</t>
  </si>
  <si>
    <t>De Michelis, P (corresponding author), Ist Nazl Geofis &amp; Vulcanol Roma, Via Vigna Murata 605, I-00143 Rome, Italy.</t>
  </si>
  <si>
    <t>paola.demichelis@ingv.it</t>
  </si>
  <si>
    <t>Tozzi, Roberta/ABP-8925-2022; Marcucci, Maria federica/HNJ-5276-2023</t>
  </si>
  <si>
    <t>Tozzi, Roberta/0000-0002-1836-4078; Marcucci, Maria Federica/0000-0002-5002-6060; CONSOLINI, Giuseppe/0000-0002-3403-647X</t>
  </si>
  <si>
    <t>Italian National Program for Antarctic Research (PNRA) Research Project [2013/AC3.08]; European Space Agency</t>
  </si>
  <si>
    <t>Italian National Program for Antarctic Research (PNRA) Research Project; European Space Agency(European Space Agency)</t>
  </si>
  <si>
    <t>This work is supported by the Italian National Program for Antarctic Research (PNRA) Research Project 2013/AC3.08. The results presented in this paper rely on data collected by the three satellites of the Swarm constellation and SuperDARN data. We thank the European Space Agency that supports the Swarm mission and the national scientific funding agencies of Australia, Canada, China, France, Italy, Japan, South Africa, UK and USA that funded the radars of the SuperDARN network. The authors also acknowledge the use of the SuperDARN software and web tools made available at Virginia Tech. The authors kindly acknowledge N. Papitashvili and J. King at the National Space Science Data Center of the Goddard Space Flight Center for the use permission of 1-min OMNI data and the NASA CDAWeb team for making these data available. The authors are also grateful to authors of CHAOS-5 model for making it available.</t>
  </si>
  <si>
    <t>1880-5981</t>
  </si>
  <si>
    <t>EARTH PLANETS SPACE</t>
  </si>
  <si>
    <t>Earth Planets Space</t>
  </si>
  <si>
    <t>JUN 21</t>
  </si>
  <si>
    <t>10.1186/s40623-016-0476-3</t>
  </si>
  <si>
    <t>DQ5ZT</t>
  </si>
  <si>
    <t>WOS:000379284500001</t>
  </si>
  <si>
    <t>Ndungu, K; Zurbrick, CM; Stammerjohn, S; Seyermann, S; Sherrell, RM; Flegal, AR</t>
  </si>
  <si>
    <t>Ndungu, Kuria; Zurbrick, Cheryl M.; Stammerjohn, Sharon; Seyermann, Silke; Sherrell, Robert M.; Flegal, A. Russell</t>
  </si>
  <si>
    <t>Lead Sources to the Amundsen Sea, West Antarctica</t>
  </si>
  <si>
    <t>NORTH-ATLANTIC OCEAN; PINE ISLAND GLACIER; ANTHROPOGENIC LEAD; ATMOSPHERIC LEAD; WEDDELL SEA; TRACE-METAL; ICE-SHELF; SOUTHERN-HEMISPHERE; MASS-SPECTROMETRY; GREENLAND ICE</t>
  </si>
  <si>
    <t>The global prevalence of industrial lead (Pb) contamination was exemplified decades ago by the predominance of anthropogenic Pb in samples of Antarctic surface ice and in Southern Ocean surface waters. Decreases in environmental Pb contamination corresponding with the near-global phase-out of leaded automobile gasoline beginning in the 1970s have since been observed. Measurements of Pb concentration in snow and ice core samples from Antarctica show that recent fluxes of industrial Pb to Antarctica have similarly declined. Here, we present measurements of Pb concentrations and isotopic compositions in seawater and surface sediments from the Amundsen Sea continental shelf including the Amundsen Sea Polynya. Both sets of measurements show that most (similar to 60-95%) of the Pb at our sites, at the time of sampling, is natural in source: that is, derived from the weathering of Antarctic continental rocks. These fluxes of natural Pb then become resuspension or from the transport of sediment-laden glacial melt waters entrained into polynya waters either from sediment to the polynya.</t>
  </si>
  <si>
    <t>[Ndungu, Kuria] Norwegian Inst Water Res NIVA, N-0349 Oslo, Norway; [Zurbrick, Cheryl M.] MIT, Dept Earth Atmospher &amp; Planetary Sci, Cambridge, MA 01239 USA; [Stammerjohn, Sharon] Univ Colorado, Inst Arctic &amp; Alpine Res, Boulder, CO 80303 USA; [Seyermann, Silke; Sherrell, Robert M.] Rutgers State Univ, Dept Marine &amp; Coastal Sci, New Brunswick, NJ 08901 USA; [Sherrell, Robert M.] Rutgers State Univ, Dept Earth &amp; Planetary Sci, Piscataway, NJ 08854 USA; [Flegal, A. Russell] Univ Calif Santa Cruz, WIGS Lab, Environm Toxicol, Santa Cruz, CA 95064 USA</t>
  </si>
  <si>
    <t>Norwegian Institute for Water Research (NIVA); Massachusetts Institute of Technology (MIT); University of Colorado System; University of Colorado Boulder; Rutgers University System; Rutgers University New Brunswick; Rutgers University System; Rutgers University New Brunswick; University of California System; University of California Santa Cruz</t>
  </si>
  <si>
    <t>Ndungu, K (corresponding author), Norwegian Inst Water Res NIVA, N-0349 Oslo, Norway.</t>
  </si>
  <si>
    <t>kuria.ndungu@niva.no</t>
  </si>
  <si>
    <t>ndungu, kuria/A-1639-2010</t>
  </si>
  <si>
    <t>Severmann, Silke/0000-0002-6578-2993; STAMMERJOHN, SHARON/0000-0002-1697-8244</t>
  </si>
  <si>
    <t>NSF Office of Polar Programs, Antarctic Organisms and Ecosystems [ANT-0838975, ANT-0838995]; Division of Ocean Sciences [OCE-1234213]; Swedish Polar Research Secretariat; Swedish Research Council; NSF Graduate Research Fellowship Program; Ivar Bendixsons stipend fund</t>
  </si>
  <si>
    <t>NSF Office of Polar Programs, Antarctic Organisms and Ecosystems; Division of Ocean Sciences(National Science Foundation (NSF)NSF - Directorate for Geosciences (GEO)); Swedish Polar Research Secretariat; Swedish Research Council(Swedish Research Council); NSF Graduate Research Fellowship Program(National Science Foundation (NSF)); Ivar Bendixsons stipend fund</t>
  </si>
  <si>
    <t>We thank the Captain and crew of the RVIB Nathaniel B. Palmer, Chief Scientist P.L. Yager, and the rest of the ASPIRE 2010/11 cruise participants for assistance with the sampling. We are especially grateful to Maria Lagerstrom for help with water sampling as well as to Dan Powers and Sandy Aylesworth for deployment of the Smith-Mac sediment grab. The ASPIRE cruise was supported financially by NSF Office of Polar Programs, Antarctic Organisms and Ecosystems (ANT-0838975 to S.S. and ANT-0838995 to R.M.S) and Division of Ocean Sciences (OCE-1234213 to A.R.F.), the Swedish Polar Research Secretariat, and the Swedish Research Council. Additional financial support came from the NSF Graduate Research Fellowship Program to C.M.Z and an Ivar Bendixsons stipend fund to K.N. Oden Southern Ocean, SWEDARP 2010/11, was organized by the Swedish Polar Research Secretariat and National Science Foundation Office of Polar Programs.</t>
  </si>
  <si>
    <t>10.1021/acs.est.5b05151</t>
  </si>
  <si>
    <t>DP4ML</t>
  </si>
  <si>
    <t>WOS:000378469900015</t>
  </si>
  <si>
    <t>Hwang, C; Yang, YD; Kao, R; Han, JC; Shum, CK; Galloway, DL; Sneed, M; Hung, WC; Cheng, YS; Li, F</t>
  </si>
  <si>
    <t>Hwang, Cheinway; Yang, Yuande; Kao, Ricky; Han, Jiancheng; Shum, C. K.; Galloway, Devin L.; Sneed, Michelle; Hung, Wei-Chia; Cheng, Yung-Sheng; Li, Fei</t>
  </si>
  <si>
    <t>Time-varying land subsidence detected by radar altimetry: California, Taiwan and north China</t>
  </si>
  <si>
    <t>AQUIFER-SYSTEM COMPACTION; GROUNDWATER DEPLETION; TOPEX/POSEIDON</t>
  </si>
  <si>
    <t>Contemporary applications of radar altimetry include sea-level rise, ocean circulation, marine gravity, and icesheet elevation change. Unlike InSAR and GNSS, which are widely used to map surface deformation, altimetry is neither reliant on highly temporally-correlated ground features nor as limited by the available spatial coverage, and can provide long-term temporal subsidence monitoring capability. Here we use multi-mission radar altimetry with an approximately 23 year data-span to quantify land subsidence in cropland areas. Subsidence rates from TOPEX/POSEIDON, JASON-1, ENVISAT, and JASON-2 during 1992-2015 show time-varying trends with respect to displacement over time in California's San Joaquin Valley and central Taiwan, possibly related to changes in land use, climatic conditions (drought) and regulatory measures affecting groundwater use. Near Hanford, California, subsidence rates reach 18 cm yr(-1) with a cumulative subsidence of 206 cm, which potentially could adversely affect operations of the planned California High-Speed Rail. The maximum subsidence rate in central Taiwan is 8 cm yr(-1). Radar altimetry also reveals time-varying subsidence in the North China Plain consistent with the declines of groundwater storage and existing water infrastructure detected by the Gravity Recovery And Climate Experiment (GRACE) satellites, with rates reaching 20 cm yr(-1) and cumulative subsidence as much as 155 cm.</t>
  </si>
  <si>
    <t>[Hwang, Cheinway; Kao, Ricky; Han, Jiancheng; Cheng, Yung-Sheng] Natl Chiao Tung Univ, Dept Civil Engn, 1001 Ta Hsueh Rd, Hsinchu, Taiwan; [Yang, Yuande; Li, Fei] Wuhan Univ, Chinese Antarctic Ctr Surveying &amp; Mapping, 129 Luoyu Rd, Wuhan 430079, Peoples R China; [Shum, C. K.] Chinese Acad Sci, Inst Geodesy &amp; Geophys, State Key Lab Geodesy &amp; Earth Dynam, Wuhan 43077, Peoples R China; [Shum, C. K.] Ohio State Univ, Sch Earth Sci, Div Geodet Sci, Columbus, OH 43210 USA; [Galloway, Devin L.] US Geol Survey, 5957 Lakeside Blvd, Indianapolis, IN 46278 USA; [Sneed, Michelle] US Geol Survey, 6000 J St,Placer Hall, Sacramento, CA 95819 USA; [Hung, Wei-Chia] Green Environm Engn Consultant Co LTD, Hsinchu, Taiwan</t>
  </si>
  <si>
    <t>National Yang Ming Chiao Tung University; Wuhan University; Chinese Academy of Sciences; Innovation Academy for Precision Measurement Science &amp; Technology, CAS; University System of Ohio; Ohio State University; United States Department of the Interior; United States Geological Survey; United States Department of the Interior; United States Geological Survey</t>
  </si>
  <si>
    <t>Hwang, C (corresponding author), Natl Chiao Tung Univ, Dept Civil Engn, 1001 Ta Hsueh Rd, Hsinchu, Taiwan.</t>
  </si>
  <si>
    <t>cheinway@mail.nctu.edu.tw</t>
  </si>
  <si>
    <t>Han, Jian/ABZ-1060-2022</t>
  </si>
  <si>
    <t>Han, Jian/0000-0002-0647-4050; Shum, C K/0000-0001-9378-4067; HAN, Jiancheng/0009-0000-8151-7746; Galloway, Devin/0000-0003-0904-5355</t>
  </si>
  <si>
    <t>MOST/Taiwan [103-2221-E-009-114-MY3]; NSFC/China [41429401, 41374020]; MOST/China [2013CBA01804]; NASA's Concept in Advanced Geodesy Program [NNX12AK28G]; Belmont Forum/IGFA NSF Grant - Ohio State University component of this research [ICER-1342644]; U.S. Geological Survey Cooperative Water and Groundwater Resources Programs; NASA [43466, NNX12AK28G] Funding Source: Federal RePORTER</t>
  </si>
  <si>
    <t>MOST/Taiwan(Ministry of Science and Technology, Taiwan); NSFC/China(National Natural Science Foundation of China (NSFC)); MOST/China(Ministry of Science and Technology, China); NASA's Concept in Advanced Geodesy Program; Belmont Forum/IGFA NSF Grant - Ohio State University component of this research; U.S. Geological Survey Cooperative Water and Groundwater Resources Programs; NASA(National Aeronautics &amp; Space Administration (NASA))</t>
  </si>
  <si>
    <t>We are grateful to JPL/NASA for the TOPEX/POSEIDON, JASON-1 and JASON-2 altimeter data, which are provided to our team through the web site of AVISO. ENVISAT altimeter data are provided by the European Space Agency. This work is supported by MOST/Taiwan Grant 103-2221-E-009-114-MY3, NSFC/China Grants 41429401 and 41374020, and MOST/China grant 2013CBA01804. NASA's Concept in Advanced Geodesy Program (NNX12AK28G), and Belmont Forum/IGFA NSF Grant (ICER-1342644) partially supported the Ohio State University component of this research. The U.S. Geological Survey Cooperative Water and Groundwater Resources Programs supported portions of this work. The Landsat images were provided by: U.S. Geological Survey, Earth Resources Observation and Science (EROS) Center, 2015, Landsat products and services: EROS, Glovis Web page, accessed 29 September 2015 at http://glovis.usgs.gov/. The SPOT satellite images are courtesy of the Center for Space and Remote Sensing Research, National Central University (http://140.115.110.11/index_WMTS.php/). The terms of reference for using the SPOT images are as follows: Following the open data policy promoted by the Taiwan government, the Center for Space and Remote Sensing Research at National Central University provides free and open SPOT satellite images of the whole island of Taiwan from 1996 to 2014 to any organization or individual in Taiwan with a non-profit purpose.</t>
  </si>
  <si>
    <t>10.1038/srep28160</t>
  </si>
  <si>
    <t>DP1BT</t>
  </si>
  <si>
    <t>WOS:000378226100002</t>
  </si>
  <si>
    <t>Crampton, JS; Cody, RD; Levy, R; Harwood, D; Mckay, R; Naish, TR</t>
  </si>
  <si>
    <t>Crampton, James S.; Cody, Rosie D.; Levy, Richard; Harwood, David; McKay, Robert; Naish, Tim R.</t>
  </si>
  <si>
    <t>Southern Ocean phytoplankton turnover in response to stepwise Antarctic cooling over the past 15 million years</t>
  </si>
  <si>
    <t>Antarctica; diatoms; Miocene; Pliocene; phytoplankton</t>
  </si>
  <si>
    <t>MAJOR DIATOM TAXA; ICE-SHEET; ATLANTIC SECTOR; ODP LEG-177; POLAR OCEAN; SEA-ICE; PLIOCENE; CLIMATE; EVOLUTION; BIOSTRATIGRAPHY</t>
  </si>
  <si>
    <t>It is not clear how Southern Ocean phytoplankton communities, which form the base of the marine food web and are a crucial element of the carbon cycle, respond to major environmental disturbance. Here, we use a new model ensemble reconstruction of diatom speciation and extinction rates to examine phytoplankton response to climate change in the southern high latitudes over the past 15 My. We identify five major episodes of species turnover (origination rate plus extinction rate) that were coincident with times of cooling in southern high-latitude climate, Antarctic ice sheet growth across the continental shelves, and associated seasonal sea-ice expansion across the Southern Ocean. We infer that past plankton turnover occurred when a warmer-than-present climate was terminated by a major period of glaciation that resulted in loss of open-ocean habitat south of the polar front, driving non-ice adapted diatoms to regional or global extinction. These findings suggest, therefore, that Southern Ocean phytoplankton communities tolerate baseline variability on glacial-interglacial timescales but are sensitive to large-scale changes in mean climate state driven by a combination of long-period variations in orbital forcing and atmospheric carbon dioxide perturbations.</t>
  </si>
  <si>
    <t>[Crampton, James S.; Cody, Rosie D.; Levy, Richard] GNS Sci, Lower Hutt 5040, New Zealand; [Crampton, James S.] Victoria Univ Wellington, Sch Geog Environm &amp; Earth Sci, Wellington 6140, New Zealand; [Cody, Rosie D.; McKay, Robert; Naish, Tim R.] Victoria Univ Wellington, Antarctic Res Ctr, Wellington 6140, New Zealand; [Harwood, David] Univ Nebraska, Dept Earth &amp; Atmospher Sci, Lincoln, NE 68588 USA</t>
  </si>
  <si>
    <t>GNS Science - New Zealand; Victoria University Wellington; Victoria University Wellington; University of Nebraska System; University of Nebraska Lincoln</t>
  </si>
  <si>
    <t>Crampton, JS (corresponding author), GNS Sci, Lower Hutt 5040, New Zealand.;Crampton, JS (corresponding author), Victoria Univ Wellington, Sch Geog Environm &amp; Earth Sci, Wellington 6140, New Zealand.</t>
  </si>
  <si>
    <t>j.crampton@gns.cri.nz</t>
  </si>
  <si>
    <t>McKay, Robert/N-2449-2015; Levy, Richard H/E-2477-2011; Crampton, James/G-1381-2012</t>
  </si>
  <si>
    <t>McKay, Robert/0000-0002-5602-6985; Naish, Tim/0000-0002-1185-9932; Levy, Richard/0000-0002-8783-0167; Crampton, James/0000-0003-3270-9981</t>
  </si>
  <si>
    <t>Sarah Beanland Memorial Scholarship; New Zealand Ministry of Business, Innovation and Employment [C05X1001]; New Zealand Antarctic Research Institute [NZARI 2013-1]; Rutherford Discovery Fellowship [RDF-13-VUW-003]; US National Science Foundation [0342484]</t>
  </si>
  <si>
    <t>Sarah Beanland Memorial Scholarship; New Zealand Ministry of Business, Innovation and Employment(New Zealand Ministry of Business, Innovation and Employment (MBIE)); New Zealand Antarctic Research Institute; Rutherford Discovery Fellowship(Royal Society of New Zealand); US National Science Foundation(National Science Foundation (NSF))</t>
  </si>
  <si>
    <t>We gratefully acknowledge the constructive reviews of two anonymous referees and the journal editor, all of which improved the final paper. We thank Peter Sadler, who developed the CONOP program, made this freely available, and contributed advice during analysis. Scientific research was supported jointly by the Sarah Beanland Memorial Scholarship (R.D.C.); New Zealand Ministry of Business, Innovation and Employment Contract C05X1001 (to J.S.C., R.L., and R.M.); New Zealand Antarctic Research Institute Grant NZARI 2013-1 (to R.L. and R.M.); Rutherford Discovery Fellowship RDF-13-VUW-003 (to R.M.), and the US National Science Foundation Cooperative Agreement 0342484 to the University of Nebraska-Lincoln (to D.H.).</t>
  </si>
  <si>
    <t>10.1073/pnas.1600318113</t>
  </si>
  <si>
    <t>DP1TN</t>
  </si>
  <si>
    <t>WOS:000378272400035</t>
  </si>
  <si>
    <t>Davies, CH; Coughlan, A; Hallegraeff, G; Ajani, P; Armbrecht, L; Atkins, N; Bonham, P; Brett, S; Brinkman, R; Burford, M; Clementson, L; Coad, P; Coman, F; Davies, D; Dela-Cruz, J; Devlin, M; Edgar, S; Eriksen, R; Furnas, M; Hassler, C; Hill, D; Holmes, M; Ingleton, T; Jameson, I; Leterme, SC; Lonborg, C; McLaughlin, J; McEnnulty, F; McKinnon, AD; Miller, M; Murray, S; Nayar, S; Patten, R; Pritchard, T; Proctor, R; Purcell-Meyerink, D; Raes, E; Rissik, D; Ruszczyk, J; Slotwinski, A; Swadling, KM; Tattersall, K; Thompson, P; Thomson, P; Tonks, M; Trull, TW; Uribe-Palomino, J; Waite, AM; Yauwenas, R; Zammit, A; Richardson, AJ</t>
  </si>
  <si>
    <t>Davies, Claire H.; Coughlan, Alex; Hallegraeff, Gustaaf; Ajani, Penelope; Armbrecht, Linda; Atkins, Natalia; Bonham, Prudence; Brett, Steve; Brinkman, Richard; Burford, Michele; Clementson, Lesley; Coad, Peter; Coman, Frank; Davies, Diana; Dela-Cruz, Jocelyn; Devlin, Michelle; Edgar, Steven; Eriksen, Ruth; Furnas, Miles; Hassler, Christel; Hill, David; Holmes, Michael; Ingleton, Tim; Jameson, Ian; Leterme, Sophie C.; Lonborg, Christian; McLaughlin, James; McEnnulty, Felicity; McKinnon, A. David; Miller, Margaret; Murray, Shauna; Nayar, Sasi; Patten, Renee; Pritchard, Tim; Proctor, Roger; Purcell-Meyerink, Diane; Raes, Eric; Rissik, David; Ruszczyk, Jason; Slotwinski, Anita; Swadling, Kerrie M.; Tattersall, Katherine; Thompson, Peter; Thomson, Paul; Tonks, Mark; Trull, Thomas W.; Uribe-Palomino, Julian; Waite, Anya M.; Yauwenas, Rouna; Zammit, Anthony; Richardson, Anthony J.</t>
  </si>
  <si>
    <t>A database of marine phytoplankton abundance, biomass and species composition in Australian waters</t>
  </si>
  <si>
    <t>RED-TIDE DINOFLAGELLATE; GREAT-BARRIER-REEF; NEW-SOUTH-WALES; COASTAL STATION; NOCTILUCA-SCINTILLANS; CLIMATE-CHANGE; SCALE-BEARING; CARPENTARIA; BLOOMS; GULF</t>
  </si>
  <si>
    <t>There have been many individual phytoplankton datasets collected across Australia since the mid 1900s, but most are unavailable to the research community. We have searched archives, contacted researchers, and scanned the primary and grey literature to collate 3,621,847 records of marine phytoplankton species from Australian waters from 1844 to the present. Many of these are small datasets collected for local questions, but combined they provide over 170 years of data on phytoplankton communities in Australian waters. Units and taxonomy have been standardised, obviously erroneous data removed, and all metadata included. We have lodged this dataset with the Australian Ocean Data Network (http://portal.aodn.org.au/) allowing public access. The Australian Phytoplankton Database will be invaluable for global change studies, as it allows analysis of ecological indicators of climate change and eutrophication (e.g., changes in distribution; diatom: dinoflagellate ratios). In addition, the standardised conversion of abundance records to biomass provides modellers with quantifiable data to initialise and validate ecosystem models of lower marine trophic levels.</t>
  </si>
  <si>
    <t>[Davies, Claire H.; Bonham, Prudence; Clementson, Lesley; Davies, Diana; Eriksen, Ruth; Jameson, Ian; McEnnulty, Felicity; Thompson, Peter; Trull, Thomas W.] CSIRO Oceans &amp; Atmosphere, Hobart, Tas 7000, Australia; [Coughlan, Alex] Univ Queensland, Sch Biol Sci, St Lucia, Qld 4072, Australia; [Hallegraeff, Gustaaf; Eriksen, Ruth; Swadling, Kerrie M.] Univ Tasmania, Inst Marine &amp; Antarctic Studies, Private Bag 129, Hobart, Tas 7001, Australia; [Ajani, Penelope; Murray, Shauna; Yauwenas, Rouna] Univ Technol Sydney, Plant Funct Biol &amp; Climate Change Cluster C3, POB 123, Broadway, NSW 2007, Australia; [Armbrecht, Linda] Macquarie Univ, Biol Sci Marine Res Ctr Climate Futures, N Ryde, NSW 2109, Australia; [Atkins, Natalia; Proctor, Roger; Tattersall, Katherine] Univ Tasmania, Integrated Marine Observing Syst, eMarine Informat Infrastruct, Private Bag 110, Hobart, Tas 7001, Australia; [Brett, Steve; Hill, David] Microalgal Serv, 308 Tucker Rd, Ormond, Vic 3204, Australia; [Brinkman, Richard; Furnas, Miles; Lonborg, Christian; McKinnon, A. David] Australian Inst Marine Sci, PMB 3, Townsville, Qld 4810, Australia; [Burford, Michele] Griffith Univ, Australian Rivers Inst, Nathan, Qld 4111, Australia; [Coad, Peter] Hornsby Shire Council, Nat Resources, 296 Peats Ferry Rd, Hornsby, NSW 2077, Australia; [Coman, Frank; Edgar, Steven; Miller, Margaret; Slotwinski, Anita; Tonks, Mark; Uribe-Palomino, Julian; Richardson, Anthony J.] CSIRO Oceans &amp; Atmosphere, EcoSci Precinct, GPO Box 2583, Dutton Pk, Qld 4001, Australia; [Davies, Diana; Swadling, Kerrie M.; Trull, Thomas W.] Antarctic Climate &amp; Ecosyst Cooperat Res Ctr, Private Bag 80, Hobart, Tas 7001, Australia; [Dela-Cruz, Jocelyn; Ingleton, Tim; Pritchard, Tim] New South Wales Off Environm &amp; Heritage, Waters Wetlands &amp; Coasts Sci Branch, POB A290, Sydney South, NSW 1232, Australia; [Devlin, Michelle] James Cook Univ, Ctr Trop Water &amp; Aquat Ecosyst Res, ATSIP Bldg 145, Townsville, Qld 4811, Australia; [Hassler, Christel] Univ Geneva, Inst FA Forel Earth &amp; Environm Sci, 66 Bvd Carl Vogt, CH-1211 Geneva 4, Switzerland; [Holmes, Michael] EcoSci Precinct, Environm Monitoring &amp; Assessment Sci, Dept Sci Informat Technol &amp; Innovat, GPO Box 5078, Brisbane, Qld 4001, Australia; [Leterme, Sophie C.] Flinders Univ S Australia, Sch Biol Sci, GPO BOX 2100, Adelaide, SA 5001, Australia; [McLaughlin, James] CSIRO Oceans &amp; Atmosphere, Underwood Ave, Floreat, WA 6014, Australia; [Nayar, Sasi] South Australian Res &amp; Dev Inst Aquat Sci, POB120, Henley Beach, SA 5022, Australia; [Patten, Renee] Environm Protect Author, Ctr Appl Sci, Ernest Jones Dr, Macleod, Vic 3085, Australia; [Purcell-Meyerink, Diane] Australian Inst Marine Sci, Darwin, NT 0810, Australia; [Purcell-Meyerink, Diane] NAMRA, Arafura Timor Res Facil, Darwin, NT 0810, Australia; [Raes, Eric; Thomson, Paul] Univ Western Australia, Oceans Inst, M470,35 Stirling Hwy, Crawley, WA 6009, Australia; [Rissik, David] Griffith Univ, Natl Climate Change Adaptat Res Facil, Gold Coast, Qld 4222, Australia; [Ruszczyk, Jason] Warringah Council, Civ Dr,725 Pittwater Rd, Dee Why, NSW 2099, Australia; [Thomson, Paul; Waite, Anya M.] Univ Western Australia, Sch Civil Environm &amp; Min Engn, Crawley, WA 6009, Australia; [Waite, Anya M.] Helmholz Ctr Polar &amp; Marine Res, Alfred Wegener Inst, Handelshafen 12, D-27570 Bremerhaven, Germany; [Waite, Anya M.] Univ Bremen, D-28359 Bremen, Germany; [Zammit, Anthony] New South Wales Govt Food Author, 6 Ave Amer, Newington, NSW 2127, Australia; [Richardson, Anthony J.] Univ Queensland, Sch Math &amp; Phys, Ctr Applicat Nat Resource Math CARM, St Lucia, Qld 4072, Australia</t>
  </si>
  <si>
    <t>Commonwealth Scientific &amp; Industrial Research Organisation (CSIRO); University of Queensland; University of Tasmania; University of Technology Sydney; Macquarie University; University of Tasmania; Australian Institute of Marine Science; Griffith University; Commonwealth Scientific &amp; Industrial Research Organisation (CSIRO); Antarctic Climate &amp; Ecosystems Cooperative Research Centre (ACE CRC); Office of Environment &amp; Heritage - New South Wales; James Cook University; University of Geneva; Flinders University South Australia; Commonwealth Scientific &amp; Industrial Research Organisation (CSIRO); Australian Institute of Marine Science; University of Western Australia; Griffith University; Griffith University - Gold Coast Campus; National Climate Change Adaptation Research Facility; University of Western Australia; Helmholtz Association; Alfred Wegener Institute, Helmholtz Centre for Polar &amp; Marine Research; University of Bremen; University of Queensland</t>
  </si>
  <si>
    <t>Davies, CH (corresponding author), CSIRO Oceans &amp; Atmosphere, Hobart, Tas 7000, Australia.</t>
  </si>
  <si>
    <t>claire.davies@csiro.au</t>
  </si>
  <si>
    <t>Ajani, Penelope/K-9987-2019; Burford, Michele/AAS-9084-2020; /AAY-2080-2020; Richardson, Anthony J/B-3649-2010; Clementson, Lesley A/M-6905-2013; Miller, Margaret J/D-2201-2011; davies, claire/O-9219-2019; Davies, Claire H/G-6888-2013; Lønborg, Christian/M-4456-2013; McEnnulty, Felicity R/K-6741-2018; Devlin, Michelle Jillian/HGC-1104-2022; Burford, Michele/A-3138-2012; Armbrecht, Linda/GZB-0547-2022; Proctor, Roger/J-7320-2014; Rissik, David/I-3758-2017; nayar, Sasi/Q-8101-2019; Hallegraeff, Gustaaf/C-8351-2013; Eriksen, Ruth/J-7760-2014; Leterme, Sophie C./A-5013-2013; McLaughlin, James/H-4994-2013; Waite, Anya/A-5492-2015; Thompson, Peter/A-2361-2012; Murray, Shauna A/K-5781-2015</t>
  </si>
  <si>
    <t>Burford, Michele/0000-0002-1076-6144; /0000-0002-1365-9723; Richardson, Anthony J/0000-0002-9289-7366; Miller, Margaret J/0000-0001-7798-7868; Davies, Claire H/0000-0002-0424-1835; Lønborg, Christian/0000-0001-8380-0238; McEnnulty, Felicity R/0000-0002-3819-044X; Devlin, Michelle Jillian/0000-0003-2194-2534; Burford, Michele/0000-0002-1076-6144; Proctor, Roger/0000-0002-6926-2821; nayar, Sasi/0000-0002-3730-6682; Hallegraeff, Gustaaf/0000-0001-8464-7343; Hassler, Christel/0000-0002-8976-5469; Ajani, Penelope/0000-0001-5364-9936; Eriksen, Ruth/0000-0002-5184-2465; Leterme, Sophie C./0000-0001-8455-7049; McLaughlin, James/0000-0002-9936-1919; Swadling, Kerrie/0000-0002-7620-841X; Waite, Anya/0000-0003-2965-0296; Davies, Diana M./0000-0001-6304-3938; Atkins, Natalia/0000-0002-3468-5525; Thompson, Peter/0000-0002-9504-5433; Tattersall, Katherine Lesley/0000-0001-7843-3074; Raes, Eric/0000-0002-4131-9312; Murray, Shauna A/0000-0001-7096-1307</t>
  </si>
  <si>
    <t>10.1038/sdata.2016.43</t>
  </si>
  <si>
    <t>EF3JI</t>
  </si>
  <si>
    <t>WOS:000390220200002</t>
  </si>
  <si>
    <t>Mapalo, MA; Stec, D; Mirano-Bascos, D; Michalczyk, L</t>
  </si>
  <si>
    <t>Mapalo, Marc A.; Stec, Daniel; Mirano-Bascos, Denise; Michalczyk, Lukasz</t>
  </si>
  <si>
    <t>Mesobiotus philippinicus sp.nov., the first limnoterrestrial tardigrade from the Philippines</t>
  </si>
  <si>
    <t>Asia; barcoding; integrative taxonomy; Mesobiotus philippinicus sp nov.; systematics; Tardigrada</t>
  </si>
  <si>
    <t>SOUTH-AMERICA; EUTARDIGRADA; MACROBIOTIDAE; ALIGNMENT; DOYERE; DNA</t>
  </si>
  <si>
    <t>The limnoterrestrial tardigrade fauna of the Philippines is completely unknown. In this paper, we describe the first ever limnoterrestrial water bear species from this southeast Asian country, Mesobiotus philippinicus sp. nov., found in a moss sample collected in Quezon City. Apart from morphometrics and imaging in light microscopy, we also analysed the new species under scanning electron microscope and sequenced four DNA markers differing in mutation rates, three nuclear (18S rRNA, 28S rRNA, and ITS-2) and one mitochondrial (COI). This allowed not only a detailed description but also provided barcodes to aid future species identification. The new species belongs to the harmsworthi group and is most similar to M. diffusus (Binda &amp; Pilato, 1987), M. pseudocoronatus (Pilato et al., 2006), M. montanus (Murray, 1910) and M. mottai (Binda &amp; Pilato, 1994), but differs from these species by whorled egg processes and dimensions of some morphometric traits. The 28S rRNA, ITS-2 and COI sequences presented in this paper are the first published DNA sequences for the genus Mesobiotus.</t>
  </si>
  <si>
    <t>[Mapalo, Marc A.; Mirano-Bascos, Denise] Univ Philippines, Coll Sci, Natl Inst Mol Biol &amp; Biotechnol, Quezon City 1101, Philippines; [Stec, Daniel; Michalczyk, Lukasz] Jagiellonian Univ, Inst Zool, Dept Entomol, PL-30387 Krakow, Poland</t>
  </si>
  <si>
    <t>University of the Philippines System; University of the Philippines Diliman; Jagiellonian University</t>
  </si>
  <si>
    <t>Mapalo, MA (corresponding author), Univ Philippines, Coll Sci, Natl Inst Mol Biol &amp; Biotechnol, Quezon City 1101, Philippines.</t>
  </si>
  <si>
    <t>marcmapalo@mbb.upd.edu.ph</t>
  </si>
  <si>
    <t>Stec, Daniel/AAL-3532-2020; Mirano-Bascos, Denise/G-1772-2015; Michalczyk, Lukasz/D-1362-2009</t>
  </si>
  <si>
    <t>Mapalo, Marc/0000-0001-7653-0508; Mirano-Bascos, Denise/0000-0001-8338-799X; Michalczyk, Lukasz/0000-0002-2912-4870; Stec, Daniel/0000-0001-6876-0717</t>
  </si>
  <si>
    <t>National Institute of Molecular Biology and Biotechnology, University of the Philippines; Polish Ministry of Science and Higher Education via the Iuventus Plus programme [IP2014 017973]; Jagiellonian University [DS/MND/WBiNoZ/IZ/2/2015]; European Regional Development Fund in the framework of the Polish Innovation Economy Operational Program [POIG. 02.01.00-12-023/08]</t>
  </si>
  <si>
    <t>National Institute of Molecular Biology and Biotechnology, University of the Philippines; Polish Ministry of Science and Higher Education via the Iuventus Plus programme; Jagiellonian University; European Regional Development Fund in the framework of the Polish Innovation Economy Operational Program</t>
  </si>
  <si>
    <t>We would like to thank Dr. Ian Fontanilla, three anonymous reviewers and Zootaxa Associate Editor, Sandra McInnes (British Antarctic Survey, UK), for their valuable comments that improved the manuscript. The study was partially supported by the National Institute of Molecular Biology and Biotechnology, University of the Philippines, by the Polish Ministry of Science and Higher Education via the Iuventus Plus programme (grant no. IP2014 017973 to LM), and by the Jagiellonian University (subsidy no. DS/MND/WBiNoZ/IZ/2/2015 to LM). The research was carried out partially with the equipment purchased thanks to the financial support of the European Regional Development Fund in the framework of the Polish Innovation Economy Operational Program (contract no. POIG. 02.01.00-12-023/08).</t>
  </si>
  <si>
    <t>JUN 20</t>
  </si>
  <si>
    <t>10.11646/zootaxa.4126.3.6</t>
  </si>
  <si>
    <t>DP5LT</t>
  </si>
  <si>
    <t>WOS:000378539500006</t>
  </si>
  <si>
    <t>Goodwin, CE; Berman, J; Janussen, D; Göcke, C; Hendry, KR</t>
  </si>
  <si>
    <t>Goodwin, Claire E.; Berman, Jade; Janussen, Dorte; Goecke, Christian; Hendry, Katharine R.</t>
  </si>
  <si>
    <t>Hexactinellida (Porifera) from the Drake Passage (Southern Ocean) with a description of three new species</t>
  </si>
  <si>
    <t>Hexactinellida; Drake Passage; Antarctic; sponge; taxonomy; seamount; Sympagella; Doconesthes; Aulocalyx; Caulophacus</t>
  </si>
  <si>
    <t>GLASS SPONGES PORIFERA; WEDDELL SEA; ATLANTIC; ROSSELLIDAE; SYMPAGELLA; DIVERSITY; SEAMOUNT; PACIFIC</t>
  </si>
  <si>
    <t>The Drake Passage has over 20 seamounts and ridges but it is notorious for large waves, fierce storms and strong currents that make benthic sampling difficult and therefore infrequent. Seamounts often have diverse sponge communities and may have high levels of endemism. Hexactinellida from Sars Seamount, an area in which the sponges had not previously been studied, and the Shackleton fracture zone were collected on a research cruise by the Nathaniel B Palmer in the Drake Passage, Southern Ocean. In total, from all cruise stations, 103 specimens of Hexactinellida were collected, however many appeared to be fragments of dead specimens and could not be identified due to missing microscleres. From Sars Seamount 127 sponge specimens were taken and from the Shackleton Fracture Zone 76 sponge specimens were taken; of these 36 and 16 respectively were Hexactinellida. From these two areas three new species of Hexactinellida are described: Doconesthes robinsoni sp. nov., Sympagella walleri sp. nov. and Caulophacus palmeri sp. nov and new records were made of Aulocalyx irregularis and Rossella antarctica.</t>
  </si>
  <si>
    <t>[Goodwin, Claire E.] Natl Museums Northern Ireland, 153 Bangor Rd, Holywood BT18 0EU, Co Down, Ireland; [Goodwin, Claire E.] Queens Univ, Marine Lab, 2-13 Strand, Portaferry BT22 1PF, England; [Berman, Jade] Ulster Wildlife, 3 New Line, Crossgar BT30 9EP, Co Down, North Ireland; [Janussen, Dorte; Goecke, Christian] Senckenberg Gesell Nat Forsch, Senckenberganlage 25, D-60325 Frankfurt, Germany; [Hendry, Katharine R.] Univ Bristol, Sch Earth Sci, Wills Mem Bldg,Queens Rd, Bristol BS8 1RJ, Avon, England</t>
  </si>
  <si>
    <t>Queens University Belfast; Senckenberg Gesellschaft fur Naturforschung (SGN); University of Bristol</t>
  </si>
  <si>
    <t>Goodwin, CE (corresponding author), Natl Museums Northern Ireland, 153 Bangor Rd, Holywood BT18 0EU, Co Down, Ireland.;Goodwin, CE (corresponding author), Queens Univ, Marine Lab, 2-13 Strand, Portaferry BT22 1PF, England.</t>
  </si>
  <si>
    <t>Claire.goodwin@gmail.com</t>
  </si>
  <si>
    <t>Hendry, Katharine/E-4793-2011</t>
  </si>
  <si>
    <t>Hendry, Katharine/0000-0002-0790-5895; Goodwin, Claire/0000-0002-2428-1340</t>
  </si>
  <si>
    <t>Leverhulme Trust [RPG-2012-615]; National Science Foundation [0944474, 0636787, 1029986]; Royal Society; Deutsche Forschungsgemeinschaft [JA-1062/17-1]; Division Of Ocean Sciences; Directorate For Geosciences [1029986] Funding Source: National Science Foundation; Division Of Polar Programs; Directorate For Geosciences [0636787, 0944474] Funding Source: National Science Foundation</t>
  </si>
  <si>
    <t>Leverhulme Trust(Leverhulme Trust); National Science Foundation(National Science Foundation (NSF)); Royal Society(Royal Society); Deutsche Forschungsgemeinschaft(German Research Foundation (DFG)); Division Of Ocean Sciences; Directorate For Geosciences(National Science Foundation (NSF)NSF - Directorate for Geosciences (GEO)); Division Of Polar Programs; Directorate For Geosciences(National Science Foundation (NSF)NSF - Directorate for Geosciences (GEO))</t>
  </si>
  <si>
    <t>This work was funded by a research project grant from the Leverhulme Trust (RPG-2012-615) and the National Science Foundation (grants 0944474, 0636787 and 1029986). Kate Hendry is funded by the Royal Society. D. Janussen thanks Deutsche Forschungsgemeinschaft for financial support to her Antarctic Porifera research projects (JA-1062/17-1).</t>
  </si>
  <si>
    <t>JUN 17</t>
  </si>
  <si>
    <t>10.11646/zootaxa.4126.2.2</t>
  </si>
  <si>
    <t>DP5LO</t>
  </si>
  <si>
    <t>WOS:000378538900002</t>
  </si>
  <si>
    <t>Wang, SJ; Liu, HX; Yu, BL; Zhou, GQ; Cheng, X</t>
  </si>
  <si>
    <t>Wang, Shujie; Liu, Hongxing; Yu, Bailang; Zhou, Guoqing; Cheng, Xiao</t>
  </si>
  <si>
    <t>Revealing the early ice flow patterns with historical Declassified Intelligence Satellite Photographs back to 1960s</t>
  </si>
  <si>
    <t>ice velocity mapping; Declassified Intelligence Satellite Photography; ARGON; Larsen Ice Shelf</t>
  </si>
  <si>
    <t>ANTARCTIC PENINSULA; GLACIER VELOCITY; SHELF; FIELD; COLLAPSE; RETREAT; GREENLAND; DYNAMICS</t>
  </si>
  <si>
    <t>The reconnaissance ARGON satellites collected the earliest images of Antarctica from space dating back to the 1960s, providing valuable historical baseline information for studying polar ice sheets. Those photographs are underutilized for ice motion mapping, due to lack of sufficient ground controls for image orthorectification. In this study, we orthorectified the ARGON photographs by fully exploiting the metric qualities of WorldView satellite images: very high spatial resolution and precise geolocation. Through a case study over Larsen Ice Shelf, we demonstrated that the camera model with bundle block adjustment can achieve geolocation accuracy of better than the nominal resolution (140m) for orthorectifying ARGON images, with WorldView imagery as ground control source. This allowed us to extend the ice velocity records of Larsen Ice Shelf back into 1960s similar to 1970s for the first time. The retrospective analysis revealed that acceleration of the collapsed Larsen B occurred much earlier than previously thought.</t>
  </si>
  <si>
    <t>[Wang, Shujie; Liu, Hongxing] Univ Cincinnati, Dept Geog, Cincinnati, OH USA; [Liu, Hongxing; Yu, Bailang] E China Normal Univ, Key Lab Geog Informat Sci, Minist Educ, Shanghai, Peoples R China; [Zhou, Guoqing] Guilin Univ Technol, Guangxi Key Lab Geospatial Informat &amp; Geomat Engn, Guilin, Peoples R China; [Cheng, Xiao] Beijing Normal Univ, Coll Global Change &amp; Earth Syst Sci, State Key Lab Remote Sensing Sci, Beijing, Peoples R China</t>
  </si>
  <si>
    <t>University System of Ohio; University of Cincinnati; East China Normal University; Guilin University of Technology; Beijing Normal University</t>
  </si>
  <si>
    <t>Wang, SJ; Liu, HX (corresponding author), Univ Cincinnati, Dept Geog, Cincinnati, OH USA.;Liu, HX (corresponding author), E China Normal Univ, Key Lab Geog Informat Sci, Minist Educ, Shanghai, Peoples R China.</t>
  </si>
  <si>
    <t>wang2sj@mail.uc.edu; Hongxing.Liu@uc.edu</t>
  </si>
  <si>
    <t>Zhou, Guoqing/AAY-2007-2020; Yu, Bailang/H-4156-2011; Zhou, Guoqing/JYP-4413-2024</t>
  </si>
  <si>
    <t>Zhou, Guoqing/0000-0001-8295-0496; Yu, Bailang/0000-0001-5628-0003; Wang, Shujie/0000-0002-8055-0234</t>
  </si>
  <si>
    <t>NASA [NNX11AO48G]; University of Cincinnati Graduate School Dean's Fellowship; NASA [140384, NNX11AO48G] Funding Source: Federal RePORTER</t>
  </si>
  <si>
    <t>NASA(National Aeronautics &amp; Space Administration (NASA)); University of Cincinnati Graduate School Dean's Fellowship; NASA(National Aeronautics &amp; Space Administration (NASA))</t>
  </si>
  <si>
    <t>This research work was supported by NASA grant NNX11AO48G. S. Wang is also supported by University of Cincinnati Graduate School Dean's Fellowship. We would like to thank Polar Geospatial Center at the University of Minnesota for providing the WorldView images; National Snow and Ice Data Center for distributing the RAMP DEM version 2; and United States Geological Survey (USGS) for distributing the digitalized ARGON photographs, Landsat images, and Landsat Image Mosaic of Antarctica (LIMA).</t>
  </si>
  <si>
    <t>JUN 16</t>
  </si>
  <si>
    <t>10.1002/2016GL068990</t>
  </si>
  <si>
    <t>DR4DN</t>
  </si>
  <si>
    <t>WOS:000379851800026</t>
  </si>
  <si>
    <t>Uemura, R; Masaka, K; Fukui, K; Iizuka, Y; Hirabayashi, M; Motoyama, H</t>
  </si>
  <si>
    <t>Uemura, Ryu; Masaka, Kosuke; Fukui, Kotaro; Iizuka, Yoshinori; Hirabayashi, Motohiro; Motoyama, Hideaki</t>
  </si>
  <si>
    <t>Sulfur isotopic composition of surface snow along a latitudinal transect in East Antarctica</t>
  </si>
  <si>
    <t>sulfur isotopes; sulfate aerosols; DMS; Antarctica; climate; ice core</t>
  </si>
  <si>
    <t>GAS-PHASE OXIDATION; SEA-SALT AEROSOL; ICE CORE; OCEANIC PHYTOPLANKTON; SULFATE; FRACTIONATION; CLIMATE; METHANESULFONATE; EMISSIONS; RADICALS</t>
  </si>
  <si>
    <t>The sulfur stable isotopic values (S-34) of sulfate aerosols can be used to assess oxidation pathways and contributions from various sources, such as marine biogenic sulfur, volcanoes, and sea salt. However, because of a lack of observations, the spatial distribution of S-34 values in Antarctic sulfate aerosols remains unclear. Here we present the first sulfur isotopic values from surface snow samples along a latitudinal transect in eastern Dronning Maud Land, East Antarctica. The S-34 values of sulfate showed remarkably uniform values, in the range of 14.8-16.9, and no significant decrease toward the inland part of the transect was noted. These results suggest that net isotopic fractionation during long-range transport is insignificant. Thus, the S-34 values can be used to infer source contributions. The S-34 values suggest that marine biogenic sulfur is the dominant source of sulfate aerosols, with a fractional contribution of 8416%.</t>
  </si>
  <si>
    <t>[Uemura, Ryu; Masaka, Kosuke] Univ Ryukyus, Dept Chem Biol &amp; Marine Sci, Fac Sci, Okinawa, Japan; [Fukui, Kotaro] Tateyama Caldera Sabo Museum, Toyama, Japan; [Iizuka, Yoshinori] Hokkaido Univ, Inst Low Temp Sci, Sapporo, Hokkaido, Japan; [Hirabayashi, Motohiro; Motoyama, Hideaki] Natl Inst Polar Res, Tokyo, Japan</t>
  </si>
  <si>
    <t>University of the Ryukyus; Hokkaido University; Research Organization of Information &amp; Systems (ROIS); National Institute of Polar Research (NIPR) - Japan</t>
  </si>
  <si>
    <t>Uemura, R (corresponding author), Univ Ryukyus, Dept Chem Biol &amp; Marine Sci, Fac Sci, Okinawa, Japan.</t>
  </si>
  <si>
    <t>ruemura@sci.u-ryukyu.ac.jp</t>
  </si>
  <si>
    <t>Uemura, Ryu/C-9793-2012; Uemura, Ryu/AGR-0677-2022; FUKUI, Kotaro/H-5600-2018; Iizuka, Yoshinori/D-9112-2012</t>
  </si>
  <si>
    <t>Uemura, Ryu/0000-0002-4236-0085; Uemura, Ryu/0000-0002-4236-0085; FUKUI, Kotaro/0000-0003-2106-0232; Iizuka, Yoshinori/0000-0001-7241-6062</t>
  </si>
  <si>
    <t>JSPS KAKENHI [21221002, 26550013]; Joint Research Grant for the Environmental Isotope Study from Research Institute for Humanity and Nature; Grants-in-Aid for Scientific Research [15H01731, 26550013] Funding Source: KAKEN</t>
  </si>
  <si>
    <t>JSPS KAKENHI(Ministry of Education, Culture, Sports, Science and Technology, Japan (MEXT)Japan Society for the Promotion of ScienceGrants-in-Aid for Scientific Research (KAKENHI)); Joint Research Grant for the Environmental Isotope Study from Research Institute for Humanity and Nature; Grants-in-Aid for Scientific Research(Ministry of Education, Culture, Sports, Science and Technology, Japan (MEXT)Japan Society for the Promotion of ScienceGrants-in-Aid for Scientific Research (KAKENHI))</t>
  </si>
  <si>
    <t>We thank the members of the JARE54 traverse team for field work assistance. We also thank Risei Matsumoto, Miki Uemura, and Hiroyuki Fujimura (University of the Ryukyus) for assisting with laboratory work and Shohei Hattori (Tokyo Institute of Technology) for providing useful discussions. This research was supported by grants from JSPS KAKENHI (21221002 and 26550013) and a Joint Research Grant for the Environmental Isotope Study from the Research Institute for Humanity and Nature. Raw data from this study are available as supporting information (Table S1).</t>
  </si>
  <si>
    <t>10.1002/2016GL069482</t>
  </si>
  <si>
    <t>WOS:000379851800040</t>
  </si>
  <si>
    <t>Khan, AL; Jaffé, R; Ding, Y; McKnight, DM</t>
  </si>
  <si>
    <t>Khan, Alia L.; Jaffe, Rudolf; Ding, Yan; McKnight, Diane M.</t>
  </si>
  <si>
    <t>Dissolved black carbon in Antarctic lakes: Chemical signatures of past and present sources</t>
  </si>
  <si>
    <t>dissolved black carbon; cryosphere; recalcitrance; Antarctic lakes; limnology; fate and transport</t>
  </si>
  <si>
    <t>MCMURDO DRY VALLEYS; AQUATIC HUMIC SUBSTANCES; ORGANIC-MATTER; GLACIERS; GEOCHEMISTRY; ECOSYSTEMS; TRANSPORT; DYNAMICS; ANCIENT; FRYXELL</t>
  </si>
  <si>
    <t>The perennially ice-covered, closed-basin lakes in the McMurdo Dry Valleys, Antarctica, serve as sentinels for understanding the fate of dissolved black carbon from glacial sources in aquatic ecosystems. Here we show that dissolved black carbon can persist in freshwater and saline surface waters for thousands of years, while preserving the chemical signature of the original source materials. The ancient brines of the lake bottom waters have retained dissolved black carbon with a woody chemical signature, representing long-range transport of black carbon from wildfires. In contrast, the surface waters are enriched in contemporary black carbon from fossil fuel combustion. Comparison of samples collected 25years apart from the same lake suggests that the enrichment in anthropogenic black carbon is recent. Differences in the chemical composition of dissolved black carbon among the lakes are likely due to biogeochemical processing such as photochemical degradation and sorption on metal oxides.</t>
  </si>
  <si>
    <t>[Khan, Alia L.; McKnight, Diane M.] Univ Colorado, Dept Civil &amp; Environm Engn, Boulder, CO 80309 USA; [Khan, Alia L.; McKnight, Diane M.] Univ Colorado, Inst Arctic &amp; Alpine Res, Boulder, CO 80309 USA; [Jaffe, Rudolf; Ding, Yan] Florida Int Univ, Southeast Environm Res Ctr, Miami, FL 33199 USA; [Jaffe, Rudolf; Ding, Yan] Florida Int Univ, Dept Chem &amp; Biochem, Miami, FL 33199 USA</t>
  </si>
  <si>
    <t>University of Colorado System; University of Colorado Boulder; University of Colorado System; University of Colorado Boulder; State University System of Florida; Florida International University; State University System of Florida; Florida International University</t>
  </si>
  <si>
    <t>Khan, AL (corresponding author), Univ Colorado, Dept Civil &amp; Environm Engn, Boulder, CO 80309 USA.;Khan, AL (corresponding author), Univ Colorado, Inst Arctic &amp; Alpine Res, Boulder, CO 80309 USA.</t>
  </si>
  <si>
    <t>alia.khan@colorado.edu</t>
  </si>
  <si>
    <t>Khan, Alia/0000-0002-4425-1528</t>
  </si>
  <si>
    <t>National Science Foundation [DGE-1144083]; CU-Boulder CEAE Department; NSF Award [ANT-0423595]; FCE-LTER (NSF) [DEB-1237517]; Polar Geospatial Center (NSF Award) [PLR-1043681]</t>
  </si>
  <si>
    <t>National Science Foundation(National Science Foundation (NSF)); CU-Boulder CEAE Department; NSF Award(National Science Foundation (NSF)); FCE-LTER (NSF); Polar Geospatial Center (NSF Award)</t>
  </si>
  <si>
    <t>Funding for this work came from the National Science Foundation Graduate Research Fellowship (NSF Award: DGE-1144083), as well as a Dissertation Completion Fellowship from the CU-Boulder CEAE Department. Field and laboratory support came from the McMurdo Dry Valleys Long Term Ecological Research Program(NSF Award: ANT-0423595). DBC analyses were funded through an inter-LTER collaborative effort with the FCE-LTER (NSF Award: DEB-1237517) and through the George Barley Chair (to R.J.). Geospatial support and production for Figure 1 were provided by the Polar Geospatial Center (NSF Award: PLR-1043681) and Brad Herried, respectively. The authors would like to thank anonymous reviewers for their helpful suggestions, Sasha Wagner, Kathleen Welch, and Garrett Rue for their advice and/or assistance with laboratory work; Jill Mikucki and Amy Chiuchiolo for their assistance with fieldwork, as well as Eric Parrish for graphics assistance. We also thank Peter Doran for helpful comments on the manuscript. 794 is the contribution number from the Southeast Environmental Research Center at Florida International University.</t>
  </si>
  <si>
    <t>10.1002/2016GL068609</t>
  </si>
  <si>
    <t>WOS:000379851800025</t>
  </si>
  <si>
    <t>Meredith, MP</t>
  </si>
  <si>
    <t>Meredith, Michael P.</t>
  </si>
  <si>
    <t>Understanding the structure of changes in the Southern Ocean eddy field</t>
  </si>
  <si>
    <t>Southern Ocean; mesoscale eddies; atmospheric forcing; ocean dynamics; ocean circulation</t>
  </si>
  <si>
    <t>ANTARCTIC CIRCUMPOLAR CURRENT</t>
  </si>
  <si>
    <t>The Southern Ocean is riddled with mesoscale eddies. Although just a few kilometers in size, these loops and vortices are key parts of the climate system and are important in controlling how ocean circulation responds to changes in forcing. Observations reveal that changes in the intensity of these eddies vary significantly around the Southern Ocean. This contrasts with the nature of the atmospheric forcing, which is more zonally symmetric. Recent progress using high-resolution modeling has pinpointed where intrinsic variability dominates over wind-driven variability; and hence, the areas where future responses to climatic changes in forcing are likely to be clearest.</t>
  </si>
  <si>
    <t>[Meredith, Michael P.] British Antarctic Survey, Cambridge, England</t>
  </si>
  <si>
    <t>Meredith, MP (corresponding author), British Antarctic Survey, Cambridge, England.</t>
  </si>
  <si>
    <t>mmm@bas.ac.uk</t>
  </si>
  <si>
    <t>Meredith, Michael/0000-0002-7342-7756</t>
  </si>
  <si>
    <t>NERC [NE/N018095/1, bas0100033] Funding Source: UKRI; Natural Environment Research Council [bas0100033] Funding Source: researchfish</t>
  </si>
  <si>
    <t>10.1002/2016GL069677</t>
  </si>
  <si>
    <t>WOS:000379851800034</t>
  </si>
  <si>
    <t>Jones, RW; Renfrew, IA; Orr, A; Webber, BGM; Holland, DM; Lazzara, MA</t>
  </si>
  <si>
    <t>Jones, R. W.; Renfrew, I. A.; Orr, A.; Webber, B. G. M.; Holland, D. M.; Lazzara, M. A.</t>
  </si>
  <si>
    <t>Evaluation of four global reanalysis products using in situ observations in the Amundsen Sea Embayment, Antarctica</t>
  </si>
  <si>
    <t>POLAR WEATHER RESEARCH; PINE ISLAND GLACIER; WEST ANTARCTICA; ICE; SHELF; REPRESENTATION; CIRCULATION; SENSITIVITY; PERFORMANCE; LAYER</t>
  </si>
  <si>
    <t>The glaciers within the Amundsen Sea Embayment (ASE), West Antarctica, are amongst the most rapidly retreating in Antarctica. Meteorological reanalysis products are widely used to help understand and simulate the processes causing this retreat. Here we provide an evaluation against observations of four of the latest global reanalysis products within the ASE region-the European Centre for Medium-Range Weather Forecasts Interim Reanalysis (ERA-I), Japanese 55-year Reanalysis (JRA-55), Climate Forecast System Reanalysis (CFSR), and Modern Era Retrospective-Analysis for Research and Applications (MERRA). The observations comprise data from four automatic weather stations (AWSs), three research vessel cruises, and a new set of 38 radiosondes all within the period 2009-2014. All four reanalyses produce 2 m temperature fields that are colder than AWS observations, with the biases varying from approximately -1.8 degrees C (ERA-I) to -6.8 degrees C (MERRA). Over the Amundsen Sea, spatially averaged summertime biases are between -0.4 degrees C (JRA-55) and -2.1 degrees C (MERRA) with notably larger cold biases close to the continent (up to -6 degrees C) in all reanalyses. All four reanalyses underestimate near-surface wind speed at high wind speeds (&gt;15 m s(-1)) and exhibit dry biases and relatively large root-mean-square errors (RMSE) in specific humidity. A comparison to the radiosonde soundings shows that the cold, dry bias at the surface extends into the lower troposphere; here ERA-I and CFSR reanalyses provide the most accurate profiles. The reanalyses generally contain larger temperature and humidity biases, (and RMSE) when a temperature inversion is observed, and contain larger wind speed biases (similar to 2 to 3 m s(-1)), when a low-level jet is observed.</t>
  </si>
  <si>
    <t>[Jones, R. W.; Renfrew, I. A.; Webber, B. G. M.] Univ East Anglia, Sch Environm Sci, Ctr Ocean &amp; Atmospher Sci, Norwich, Norfolk, England; [Orr, A.] British Antarctic Survey, Cambridge, England; [Holland, D. M.] NYU, Courant Inst Math Sci, New York, NY USA; [Lazzara, M. A.] Univ Wisconsin, Ctr Space Sci &amp; Engn, Antarctic Meteorol Res Ctr, 1225 W Dayton St, Madison, WI 53706 USA; [Lazzara, M. A.] Madison Area Tech Coll, Sch Arts &amp; Sci, Dept Phys Sci, Madison, WI USA</t>
  </si>
  <si>
    <t>University of East Anglia; UK Research &amp; Innovation (UKRI); Natural Environment Research Council (NERC); NERC British Antarctic Survey; New York University; University of Wisconsin System; University of Wisconsin Madison</t>
  </si>
  <si>
    <t>Jones, RW (corresponding author), Univ East Anglia, Sch Environm Sci, Ctr Ocean &amp; Atmospher Sci, Norwich, Norfolk, England.</t>
  </si>
  <si>
    <t>Richard.W.Jones@uea.ac.uk</t>
  </si>
  <si>
    <t>Webber, Benjamin G M/J-7096-2015; Renfrew, Ian A/E-4057-2010</t>
  </si>
  <si>
    <t>Lazzara, Matthew/0000-0002-4343-498X; Webber, Ben/0000-0002-8812-5929; Renfrew, Ian/0000-0001-9379-8215</t>
  </si>
  <si>
    <t>NSF [ANT-0944018, ANT-1245663, ANT-0732869]; UK Natural Environment Research Council; NERC [NE/J005703/1, NE/K011154/1]; NERC [bas0100032, NE/J005703/1] Funding Source: UKRI; Natural Environment Research Council [bas0100032, NE/J005703/1, 1361535] Funding Source: researchfish; Office of Polar Programs (OPP); Directorate For Geosciences [1245663] Funding Source: National Science Foundation</t>
  </si>
  <si>
    <t>NSF(National Science Foundation (NSF)); UK Natural Environment Research Council(UK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</si>
  <si>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The authors appreciate the support of the University of Wisconsin-Madison Automatic Weather Station Program (via http://amrc.ssec.wisc.edu) for the data set, data display, and information, NSF grant numbers ANT-0944018 and ANT-1245663. Further thanks to the support team at NYU for the pre-processing and provision of data from the AWS installed on PIG, all made possible by NSF grant ANT-0732869 and NYU Abu Dhabi G1204. The JCR meteorological data and radiosonde observations will become available from the British Oceanographic Data Centre during 2016 https://www.bodc.ac.uk. For further information or immediate access to the radiosonde data, contact the corresponding author. The Polarstern meteorological data are available from the PANGAEA website http://doi.pangaea.de/10.1594/PANGAEA.743575. The Palmer meteorological data are available from http://www.marine-geo.org/tools/search/Files.php?data_set_uid=9878. The authors would also like to thank the staff at the Computational and Information Systems Laboratory research data archive for providing access to the reanalysis data sets for ERA-Interim, CFSR, and JRA-55 (via http://rda.ucar.edu). The Global Modeling and Assimilation Office (GMAO) and the GES DISC are acknowledged for the dissemination of the MERRA data set (via http://disc.sci.gsfc.nasa.gov). This work was supported by funding from the UK Natural Environment Research Council's iSTAR Programme and NERC grant number (NE/J005703/1), through a NERC funded PhD (NE/K011154/1) based at the University of East Anglia. Many thanks to iSTAR colleagues for their helpful advice and comments on this work, particularly to all science staff and crew on board JCR 294/295 for their assistance with launching radiosondes. The authors wish to thank the reviewers for their helpful comments and suggestions which have improved this manuscript.</t>
  </si>
  <si>
    <t>10.1002/2015JD024680</t>
  </si>
  <si>
    <t>DT6YT</t>
  </si>
  <si>
    <t>WOS:000381631700007</t>
  </si>
  <si>
    <t>Zhan, YZ; Davies, R</t>
  </si>
  <si>
    <t>Zhan, Yizhe; Davies, Roger</t>
  </si>
  <si>
    <t>Intercalibration of CERES, MODIS, and MISR reflected solar radiation and its application to albedo trends</t>
  </si>
  <si>
    <t>ANGLE IMAGING SPECTRORADIOMETER; ENERGY SYSTEM CERES; CALIBRATION; CLOUDS; PERFORMANCE; BANDS</t>
  </si>
  <si>
    <t>Measurements on the Terra satellite by the Cloud and the Earth's Radiant Energy System (CERES), the Moderate Resolution Imaging Spectroradiometer (MODIS), and the Multiangle Imaging Spectroradiometer (MISR), between 2001 and 2015 over the polar regions, are analyzed in order to investigate the intercalibration differences between these instruments. Direct comparisons of colocated near-nadir radiances from CERES, MODIS, and MISR show relative agreement within 2.4% decade(-1). By comparison with the CERES shortwave broadband, MODIS Collection 6 is getting brighter, by 1.0 +/- 0.7% decade(-1) in the red band and 1.4 +/- 0.7% decade(-1) in the near infrared. MISR's red and near-infrared bands, however, show darkening trends of -1.0 +/- 0.6% decade(-1) and -1.1 +/- 0.6% decade(-1), respectively. The CERES/MODIS or CERES/MISR visible and near IR radiance ratio is shown to have a significant negative correlation with precipitable water content over the Antarctic Plateau. The intercalibration results successfully correct the differential top-of-atmosphere trends in zonal albedos between CERES and MISR.</t>
  </si>
  <si>
    <t>[Zhan, Yizhe; Davies, Roger] Univ Auckland, Dept Phys, Auckland, New Zealand</t>
  </si>
  <si>
    <t>University of Auckland</t>
  </si>
  <si>
    <t>Davies, R (corresponding author), Univ Auckland, Dept Phys, Auckland, New Zealand.</t>
  </si>
  <si>
    <t>r.davies@auckland.ac.nz</t>
  </si>
  <si>
    <t>Keyes, Dennis/AAZ-9285-2021</t>
  </si>
  <si>
    <t>Zhan, Yizhe/0000-0003-2756-014X</t>
  </si>
  <si>
    <t>California Institute of Technology/Jet Propulsion Laboratory [1460339]; University of Auckland [1460339]</t>
  </si>
  <si>
    <t>California Institute of Technology/Jet Propulsion Laboratory; University of Auckland</t>
  </si>
  <si>
    <t>We thank D.J. Diner and C.J. Bruegge for helpful discussions. This work was supported by Subcontract 1460339 between the California Institute of Technology/Jet Propulsion Laboratory and the University of Auckland. The original CERES SSF and MISR L1B2E data sets were obtained from the NASA Langley Research Center Atmospheric Science Data Center, https://eosweb.larc.nasa.gov/. The MODIS data sets were obtained from the NASA Level 1 and Atmosphere Archive and Distribution System (LAADS), https://earthdata.nasa.gov/about/daacs/daac-laads. All other numerical information is provided in the figures and tables produced by solving the equations in the paper.</t>
  </si>
  <si>
    <t>10.1002/2016JD025073</t>
  </si>
  <si>
    <t>WOS:000381631700009</t>
  </si>
  <si>
    <t>Lee, SY; Kim, JH; Seo, TK; No, JS; Kim, H; Kim, WK; Choi, HG; Kang, SH; Song, JW</t>
  </si>
  <si>
    <t>Lee, Sook-Young; Kim, Jeong-Hoon; Seo, Tae-Kun; No, Jin Sun; Kim, Hankyeom; Kim, Won-Keun; Choi, Han-Gu; Kang, Sung-Ho; Song, Jin-Won</t>
  </si>
  <si>
    <t>Genetic and Molecular Epidemiological Characterization of a Novel Adenovirus in Antarctic Penguins Collected between 2008 and 2013</t>
  </si>
  <si>
    <t>COMPLETE DNA-SEQUENCE; AVIAN ADENOVIRUS; GENOME ANALYSIS; CHINSTRAP PENGUINS; ORGANIZATION; ADELIE; IDENTIFICATION; COMPLETION; INFECTION; LINEAGE</t>
  </si>
  <si>
    <t>Antarctica is considered a relatively uncontaminated region with regard to the infectious diseases because of its extreme environment, and isolated geography. For the genetic characterization and molecular epidemiology of the newly found penguin adenovirus in Antarctica, entire genome sequencing and annual survey of penguin adenovirus were conducted. The entire genome sequences of penguin adenoviruses were completed for two Chinstrap penguins (Pygoscelis antarctica) and two Gentoo penguins (Pygoscelis papua). The whole genome lengths and G+ C content of penguin adenoviruses were found to be 24,63024,662 bp and 35.5-35.6%, respectively. Notably, the presence of putative sialidase gene was not identified in penguin adenoviruses by Rapid Amplification of cDNA Ends (RACEPCR) as well as consensus specific PCR. The penguin adenoviruses were demonstrated to be a new species within the genus Siadenovirus, with a distance of 29.9-39.3%(amino acid, 32.1-47.9%) in DNA polymerase gene, and showed the closest relationship with turkey adenovirus 3 (TAdV-3) in phylogenetic analysis. During the 2008-2013 study period, the penguin adenoviruses were annually detected in 22 of 78 penguins (28.2%), and the molecular epidemiological study of the penguin adenovirus indicates a predominant infection in Chinstrap penguin population (12/30, 40%). Interestingly, the genome of penguin adenovirus could be detected in several internal samples, except the lymph node and brain. In conclusion, an analysis of the entire adenoviral genomes from Antarctic penguins was conducted, and the penguin adenoviruses, containing unique genetic character, were identified as a new species within the genus Siadenovirus. Moreover, it was annually detected in Antarctic penguins, suggesting its circulation within the penguin population.</t>
  </si>
  <si>
    <t>[Lee, Sook-Young; No, Jin Sun; Kim, Won-Keun; Song, Jin-Won] Korea Univ, Coll Med, Dept Microbiol, Seoul 136705, South Korea; [Kim, Jeong-Hoon; Seo, Tae-Kun; Choi, Han-Gu] Korea Polar Res Inst, Div Life Sci, Inchon, South Korea; [Kim, Hankyeom] Korea Univ, Guro Hosp, Coll Med, Dept Pathol, Seoul, South Korea; [Kang, Sung-Ho] Korea Polar Res Inst, Div Polar Ocean Environm, Inchon, South Korea</t>
  </si>
  <si>
    <t>Korea University; Korea University Medicine (KU Medicine); Korea Institute of Ocean Science &amp; Technology (KIOST); Korea Polar Research Institute (KOPRI); Korea University; Korea University Medicine (KU Medicine); Korea Institute of Ocean Science &amp; Technology (KIOST); Korea Polar Research Institute (KOPRI)</t>
  </si>
  <si>
    <t>Song, JW (corresponding author), Korea Univ, Coll Med, Dept Microbiol, Seoul 136705, South Korea.</t>
  </si>
  <si>
    <t>jwsong@korea.ac.kr</t>
  </si>
  <si>
    <t>Song, Jin/HHS-8731-2022</t>
  </si>
  <si>
    <t>Korea Polar Research Institute, Korea [PC12010, PE15020]; Polar Academic Program</t>
  </si>
  <si>
    <t>Korea Polar Research Institute, Korea(Korea Polar Research Institute of Marine Research Placement (KOPRI)); Polar Academic Program</t>
  </si>
  <si>
    <t>This work was supported by grants PC12010 (Polar Academic Program) and PE15020 provided by the Korea Polar Research Institute, Korea. The funders had no role in study design, data collection and analysis, decision to publish, or preparation of the manuscript.; We thank Jin Woo Jung, Min-Goo Lee, Kyeong Hoon Cho, and Yeong Woong Kim for assistance in sample collection. This work was supported by Polar Academic Program and Korea Polar Research Institute, Korea.</t>
  </si>
  <si>
    <t>e0157032</t>
  </si>
  <si>
    <t>10.1371/journal.pone.0157032</t>
  </si>
  <si>
    <t>DO8JO</t>
  </si>
  <si>
    <t>WOS:000378029800030</t>
  </si>
  <si>
    <t>Seyboth, E; Groch, KR; Dalla Rosa, L; Reid, K; Flores, PAC; Secchi, ER</t>
  </si>
  <si>
    <t>Seyboth, Elisa; Groch, Karina R.; Dalla Rosa, Luciano; Reid, Keith; Flores, Paulo A. C.; Secchi, Eduardo R.</t>
  </si>
  <si>
    <t>Southern Right Whale (Eubalaena australis) Reproductive Success is Influenced by Krill (Euphausia superba) Density and Climate</t>
  </si>
  <si>
    <t>SEALS ARCTOCEPHALUS-GAZELLA; ATLANTIC FIN WHALES; BODY CONDITION; ICE EXTENT; VARIABILITY; FLUCTUATIONS; ABUNDANCE; RESPONSES; INCREASE; GEORGIA</t>
  </si>
  <si>
    <t>The reproductive success of southern right whale (Eubalaena australis) depends on body condition and, therefore, on foraging success. This, in turn, might be affected by climatically driven change in the abundance of the species main prey, krill (Euphausia superba), on the feeding grounds. Annual data on southern right whale number of calves were obtained from aerial surveys carried out between 1997 and 2013 in southern Brazil, where the species concentrate during their breeding season. The number of calves recorded each year varied from 7 to 43 ((x) over bar = 21.11 +/- 11.88). Using cross-correlation analysis we examined the response of the species to climate anomalies and krill densities. Significant correlations were found with krill densities (r = 0.69, p = 0.002, lag 0 years), Oceanic Nino Index (r = -0.65, p = 0.03, lag 6 years), Antarctic Oscillation (r = 0.76, p = 0.01, lag 7 years) and Antarctic sea ice area (r = -0.68, p = 0.002, lag 0 years). Our results suggest that global climate indices influence southern right whale breeding success in southern Brazil by determining variation in food (krill) availability for the species. Therefore, increased frequency of years with reduced krill abundance, due to global warming, is likely to reduce the current rate of recovery of southern right whales from historical overexploitation.</t>
  </si>
  <si>
    <t>[Seyboth, Elisa; Dalla Rosa, Luciano; Secchi, Eduardo R.] Univ Fed Rio Grande, Inst Oceanog, Lab Ecol &amp; Conservacao Megafauna Marinha, BR-96201900 Rio Grande, Brazil; [Groch, Karina R.] Ctr Nacl Conservacao Baleia Franca, Projeto Baleia Franca, BR-88780000 Imbituba, Brazil; [Reid, Keith] Commiss Conservat Antarctic Marine Living Resourc, Hobart, Tas 7000, Australia; [Flores, Paulo A. C.] Minist Meio Ambiente, Inst Chico Mendes Conservacao Biodiversidade, Ctr Mamiferos Aquat, BR-88053700 Florianopolis, SC, Brazil</t>
  </si>
  <si>
    <t>Universidade Federal do Rio Grande</t>
  </si>
  <si>
    <t>Seyboth, E (corresponding author), Univ Fed Rio Grande, Inst Oceanog, Lab Ecol &amp; Conservacao Megafauna Marinha, BR-96201900 Rio Grande, Brazil.</t>
  </si>
  <si>
    <t>elisaseyboth@gmail.com</t>
  </si>
  <si>
    <t>Secchi, Eduardo R./ABF-1191-2020; Rosa, Luciano Dalla/D-5660-2012</t>
  </si>
  <si>
    <t>Secchi, Eduardo R./0000-0001-9087-9909; Rosa, Luciano Dalla/0000-0002-1583-6471</t>
  </si>
  <si>
    <t>Conselho Nacional de Desenvolvimento Cientifico e Tecnologico (CNPq) [PQ 307846/2014-8]; Comissao de Aperfeicoamento de Pessoal (CAPES - Ministry of Education); Conselho Nacional de Desenvolvimento Cientifico e Tecnologico (CNPq - Ministry of Science and Technology) [142247/2003-0]; Antarctic Research Project INTERBIOTA (CNPq) [407889/2013-2]; Antarctic Research Project Baleias (CNPq) [407889/2013-2, 408096/2013-6]; National Institute of Science and Technology Antarctic Environmental Research (INCT-APA) (CNPq) [574018/2008-5]</t>
  </si>
  <si>
    <t>Conselho Nacional de Desenvolvimento Cientifico e Tecnologico (CNPq)(Conselho Nacional de Desenvolvimento Cientifico e Tecnologico (CNPQ)); Comissao de Aperfeicoamento de Pessoal (CAPES - Ministry of Education)(Coordenacao de Aperfeicoamento de Pessoal de Nivel Superior (CAPES)); Conselho Nacional de Desenvolvimento Cientifico e Tecnologico (CNPq - Ministry of Science and Technology); Antarctic Research Project INTERBIOTA (CNPq); Antarctic Research Project Baleias (CNPq); National Institute of Science and Technology Antarctic Environmental Research (INCT-APA) (CNPq)</t>
  </si>
  <si>
    <t>We are grateful to all observers from Projeto Baleia Franca involved in data collection, especially to Jose Truda Palazzo Jr. We also thank Paul Kinas and Artur Andriolo for their valuable comments and suggestions on the early drafts of this manuscript and to Mauricio Camargo for his statistical advice. A scholarship was provided to the first author by Conselho Nacional de Desenvolvimento Cientifico e Tecnologico (CNPq) and a research fellowship to E.R. Secchi (PQ 307846/2014-8). Mormaii Company, New Millennium Promocoes e Eventos, Military Police of the State of Santa Catarina, PETROBRAS Brazilian Oil Company and Santos Brasil Company provided invaluable support for conducting the aerial surveys. Thanks to Comissao de Aperfeicoamento de Pessoal (CAPES - Ministry of Education) and Conselho Nacional de Desenvolvimento Cientifico e Tecnologico (CNPq - Ministry of Science and Technology, Proc. 142247/2003-0) for the Ph.D. scholarship to Karina R. Groch (2001-2005). This is a contribution of the Research Group Ecologia e Conservacao da Megafauna Marinha - EcoMega/CNPq. This study is within the context and objectives of the Antarctic Research Projects INTERBIOTA and Baleias (CNPq grant numbers 407889/2013-2 and CNPq grant numbers 407889/2013-2 and 408096/2013-6, respectively) and integrates the National Institute of Science and Technology Antarctic Environmental Research (INCT-APA) (CNPq grant number 574018/2008-5).</t>
  </si>
  <si>
    <t>10.1038/srep28205</t>
  </si>
  <si>
    <t>DO9LI</t>
  </si>
  <si>
    <t>WOS:000378107500001</t>
  </si>
  <si>
    <t>Pagel, JI; Choukèr, A</t>
  </si>
  <si>
    <t>Pagel, J. I.; Chouker, A.</t>
  </si>
  <si>
    <t>Effects of isolation and confinement on humans-implications for manned space explorations</t>
  </si>
  <si>
    <t>JOURNAL OF APPLIED PHYSIOLOGY</t>
  </si>
  <si>
    <t>space analog; stress; psychoneuroendocrinology; circadian rhythm; immunity</t>
  </si>
  <si>
    <t>PROLONGED ANTARCTIC RESIDENCE; HEALTHY-HUMAN SUBJECTS; EXTREME ENVIRONMENT; IMMUNE-RESPONSES; SIMULATED MISSION; 520-D ISOLATION; PERFORMANCE; MARS; TRIIODOTHYRONINE; SPACEFLIGHT</t>
  </si>
  <si>
    <t>Human psychology and physiology are significantly altered by isolation and confinement. In light of planned exploration class interplanetary missions, the related adverse effects on the human body need to be explored and defined as they have a large impact on a mission's success. Terrestrial space analogs offer an excellent controlled environment to study some of these stressors during a space mission in isolation without the complex environment of the International Space Station. Participants subjected to these space analog conditions can encounter typical symptoms ranging from neurocognitive changes, fatigue, misaligned circadian rhythm, sleep disorders, altered stress hormone levels, and immune modulatory changes. This review focuses on both the psychological and the physiological responses observed in participants of long-duration spaceflight analog studies, such as Mars500 or Antarctic winter-over. They provide important insight into similarities and differences encountered in each simulated setting. The identification of adverse effects from confinement allows not only the crew to better prepare for but also to design feasible countermeasures that will help support space travelers during exploration class missions in the future.</t>
  </si>
  <si>
    <t>[Pagel, J. I.; Chouker, A.] Hosp Univ Munich, Dept Anesthesiol, Stress &amp; Immunol Lab, Munich, Germany</t>
  </si>
  <si>
    <t>University of Munich</t>
  </si>
  <si>
    <t>Choukèr, A (corresponding author), Univ Munich, Dept Anesthesiol, Marchioninistr 15, D-81377 Munich, Germany.</t>
  </si>
  <si>
    <t>alexander.chouker@med.uni-muenchen.de</t>
  </si>
  <si>
    <t>Chouker, Alexander/H-2490-2017</t>
  </si>
  <si>
    <t>German Ministry of Technology and Energy (BMWi) [50WB0919, 50WB1317]</t>
  </si>
  <si>
    <t>German Ministry of Technology and Energy (BMWi)</t>
  </si>
  <si>
    <t>This work was supported by German Ministry of Technology and Energy (BMWi) Grants 50WB0919 and 50WB1317 [handled by the German Aerospace Center (DLR)].</t>
  </si>
  <si>
    <t>8750-7587</t>
  </si>
  <si>
    <t>1522-1601</t>
  </si>
  <si>
    <t>J APPL PHYSIOL</t>
  </si>
  <si>
    <t>J. Appl. Physiol.</t>
  </si>
  <si>
    <t>JUN 15</t>
  </si>
  <si>
    <t>10.1152/japplphysiol.00928.2015</t>
  </si>
  <si>
    <t>Physiology; Sport Sciences</t>
  </si>
  <si>
    <t>DO8SU</t>
  </si>
  <si>
    <t>WOS:000378054800009</t>
  </si>
  <si>
    <t>Hodson, TO; Powell, RD; Brachfeld, SA; Tulaczyk, S; Scherer, RP</t>
  </si>
  <si>
    <t>Hodson, T. O.; Powell, R. D.; Brachfeld, S. A.; Tulaczyk, S.; Scherer, R. P.</t>
  </si>
  <si>
    <t>Physical processes in Subglacial Lake Whillans, West Antarctica: Inferences from sediment cores</t>
  </si>
  <si>
    <t>subglacial lakes; glaciology; ice streams; Antarctica; subglacial access</t>
  </si>
  <si>
    <t>ACTIVE RESERVOIR BENEATH; ICE STREAM; GROUNDING-LINE; SEISMIC OBSERVATIONS; WATER PIRACY; SHEET; TILL; VOSTOK; DEFORMATION; WIDESPREAD</t>
  </si>
  <si>
    <t>The hydrologic system beneath the Antarctic Ice Sheet is thought to influence both the dynamics and distribution of fast flowing ice streams, which discharge most of the ice lost by the ice sheet. Despite considerable interest in understanding this subglacial network and its affect on ice flow, in situ observations from the ice sheet bed are exceedingly rare. Here we describe the first sediment cores recovered from an active subglacial lake. The lake, known as Subglacial Lake Whillans, is part of a broader, dynamic hydrologic network beneath the Whillans Ice Stream in West Antarctica. Even though floods pass through the lake, the lake floor shows no evidence of erosion or deposition by flowing water. By inference, these floods must have insufficient energy to erode or transport significant volumes of sediment coarser than silt. Consequently, water flow beneath the region is probably incapable of incising continuous channels into the bed and instead follows preexisting subglacial topography and surface slope. Sediment on the lake floor consists of till deposited during intermittent grounding of the ice stream following flood events. The fabrics within the till are weaker than those thought to develop in thick deforming beds suggesting subglacial sediment fluxes across the ice plain are currently low and unlikely to have a large stabilizing effect on the ice stream's grounding zone. (C) 2016 Elsevier B.V. All rights reserved.</t>
  </si>
  <si>
    <t>[Hodson, T. O.; Powell, R. D.; Scherer, R. P.] No Illinois Univ, Dept Geol &amp; Environm Geosci, De Kalb, IL USA; [Brachfeld, S. A.] Montclair State Univ, Dept Earth &amp; Environm Studies, Montclair, NJ USA; [Tulaczyk, S.] Univ Calif Santa Cruz, Dept Earth &amp; Planetary Sci, Santa Cruz, CA 95064 USA</t>
  </si>
  <si>
    <t>Northern Illinois University; Montclair State University; University of California System; University of California Santa Cruz</t>
  </si>
  <si>
    <t>Hodson, TO (corresponding author), No Illinois Univ, Dept Geol &amp; Environm Geosci, De Kalb, IL USA.</t>
  </si>
  <si>
    <t>tohodson@gmail.com</t>
  </si>
  <si>
    <t>; Tulaczyk, Slawek/O-7375-2018</t>
  </si>
  <si>
    <t>Hodson, Timothy/0000-0003-0962-5130; Tulaczyk, Slawek/0000-0002-9711-4332; Brachfeld, Stefanie/0000-0003-4612-2866</t>
  </si>
  <si>
    <t>NSF [ANT-0839107, ANT-0839059, PLR-1346260]; NOAA [NA04OAR4600167, NA05OAR4311117]; Gordon and Betty Moore Foundation [2339, 2992]; Alfred E. Alquist Seismic Safety Commission of California [SCC 2010-07]</t>
  </si>
  <si>
    <t>NSF(National Science Foundation (NSF)); NOAA(National Oceanic Atmospheric Admin (NOAA) - USA); Gordon and Betty Moore Foundation(Gordon and Betty Moore Foundation); Alfred E. Alquist Seismic Safety Commission of California</t>
  </si>
  <si>
    <t>This work was funded through the NSF (grants ANT-0839107, ANT-0839059, and PLR-1346260). Additional funding for instrumentation development and testing was provided by grants from NOAA (grants NA04OAR4600167 and NA05OAR4311117), Gordon and Betty Moore Foundation (grants 2339 and 2992), and the Alfred E. Alquist Seismic Safety Commission of California (contract SCC 2010-07).</t>
  </si>
  <si>
    <t>10.1016/j.epsl.2016.03.036</t>
  </si>
  <si>
    <t>DL7KE</t>
  </si>
  <si>
    <t>WOS:000375818800006</t>
  </si>
  <si>
    <t>Ao, H; Roberts, AP; Dekkers, MJ; Liu, XD; Rohling, EJ; Shi, ZG; An, ZS; Zhao, X</t>
  </si>
  <si>
    <t>Ao, Hong; Roberts, Andrew P.; Dekkers, Mark J.; Liu, Xiaodong; Rohling, Eelco J.; Shi, Zhengguo; An, Zhisheng; Zhao, Xiang</t>
  </si>
  <si>
    <t>Late Miocene-Pliocene Asian monsoon intensification linked to Antarctic ice-sheet growth</t>
  </si>
  <si>
    <t>environmental magnetism; East Asian monsoon; Chinese Loess Plateau; Red Clay; Late Miocene-Pliocene; Antarctic glaciation</t>
  </si>
  <si>
    <t>CHINESE LOESS PLATEAU; REVERSAL CURVE DIAGRAMS; LATE CENOZOIC UPLIFT; RED-CLAY SEQUENCE; MAGNETIC-SUSCEPTIBILITY; TIBETAN PLATEAU; PALEOCLIMATIC SIGNIFICANCE; ENVIRONMENTAL MAGNETISM; EOLIAN SEDIMENTS; MAGNETOSTRATIGRAPHY</t>
  </si>
  <si>
    <t>Environmental conditions in one of Earth's most densely populated regions, East Asia, are dominated by the monsoon. While Quaternary monsoon variability is reasonably well understood, pre-Quaternary monsoon variability and dynamics remain enigmatic. In particular, little is known about potential relationships between northern hemispheric monsoon response and major Cenozoic changes in Antarctic ice cover. Here we document long-term East Asian summer monsoon (EASM) intensification through the Late Miocene-Pliocene (similar to 8.2 to 2.6 Ma), and attribute this to progressive Antarctic glaciation. Our new high-resolution magnetic records of long-term EASM intensification come from the Late Miocene-Pliocene Red Clay sequence on the Chinese Loess Plateau; we identify underlying mechanisms using a numerical climate-model simulation of EASM response to an idealized stepwise increase in Antarctic ice volume. We infer that progressive Antarctic glaciation caused intensification of the cross-equatorial pressure gradient between an atmospheric high-pressure cell over Australia and a low-pressure cell over mid-latitude East Asia, as well as intensification of the cross-equatorial sea-surface temperature (SST) gradient. These combined atmospheric and oceanic adjustments led to EASM intensification. Our findings offer a new and more global perspective on the controls behind long-term Asian monsoon evolution. (C) 2016 Elsevier B.V. All rights reserved.</t>
  </si>
  <si>
    <t>[Ao, Hong; Liu, Xiaodong; Shi, Zhengguo; An, Zhisheng] Chinese Acad Sci, Inst Earth Environm, State Key Lab Loess &amp; Quaternary Geol, Xian 710061, Peoples R China; [Roberts, Andrew P.; Rohling, Eelco J.; Zhao, Xiang] Australian Natl Univ, Res Sch Earth Sci, GPO Box 4, Canberra, ACT 2601, Australia; [Dekkers, Mark J.] Univ Utrecht, Fac Geosci, Dept Earth Sci, Paleomagnet Lab Ft Hoofddijk, Budapestlaan 17, NL-3584 CD Utrecht, Netherlands; [Rohling, Eelco J.] Univ Southampton, Natl Oceanog Ctr, Ocean &amp; Earth Sci, Southampton SO14 3ZH, Hants, England</t>
  </si>
  <si>
    <t>Chinese Academy of Sciences; Institute of Earth Environment, CAS; Australian National University; Utrecht University; NERC National Oceanography Centre; University of Southampton</t>
  </si>
  <si>
    <t>Ao, H (corresponding author), 97 Yanxiang Rd, Xian 710061, Shaanxi, Peoples R China.</t>
  </si>
  <si>
    <t>aohong@ieecas.cn</t>
  </si>
  <si>
    <t>AN, Zhisheng/F-8834-2012; Liu, Xiaodong/E-9512-2011; Roberts, Andrew P/E-6422-2010; Rohling, Eelco J/B-9736-2008; Shi, Zhengguo/F-3106-2011; zhao, xiang/P-5590-2016</t>
  </si>
  <si>
    <t>Liu, Xiaodong/0000-0003-0355-5610; Rohling, Eelco J/0000-0001-5349-2158; Dekkers, Mark/0000-0002-4156-3841; An, Zhisheng/0000-0002-9538-9826; Roberts, Andrew P./0000-0003-0566-8117; zhao, xiang/0000-0002-1168-3439; shi, zheng guo/0000-0002-6656-5675</t>
  </si>
  <si>
    <t>National Natural Science Foundation of China [41290253, 41290255]; National Basic Research Program of China [2013CB956402]; Australian Research Council [FL120100050, DP110105419]; Australian Research Council [FL120100050] Funding Source: Australian Research Council</t>
  </si>
  <si>
    <t>National Natural Science Foundation of China(National Natural Science Foundation of China (NSFC)); National Basic Research Program of China(National Basic Research Program of China); Australian Research Council(Australian Research Council); Australian Research Council(Australian Research Council)</t>
  </si>
  <si>
    <t>We thank Peter Clift, Peter Molnar, Leping Yue, Qingsong Liu and two anonymous reviewers for their suggestions and comments that helped to improve the paper and Peng Zhang, Shan Lin, Zhaoxia Jiang and Suzhen Liu for their help during the laboratory work. This study was financially supported by the National Natural Science Foundation of China (grants 41290253 and 41290255), the National Basic Research Program of China (grant 2013CB956402) and the Australian Research Council (2012 Australian Laureate Fellowship FL120100050 and DP110105419).</t>
  </si>
  <si>
    <t>10.1016/j.epsl.2016.03.028</t>
  </si>
  <si>
    <t>WOS:000375818800008</t>
  </si>
  <si>
    <t>Cawley, KM; Murray, AE; Doran, PT; Kenig, F; Stubbins, A; Chen, HM; Hatcher, PG; McKnight, DM</t>
  </si>
  <si>
    <t>Cawley, Kaelin M.; Murray, Alison E.; Doran, Peter T.; Kenig, Fabien; Stubbins, Aron; Chen, Hongmei; Hatcher, Patrick G.; McKnight, Diane M.</t>
  </si>
  <si>
    <t>Characterization of dissolved organic material in the interstitial brine of Lake Vida, Antarctica</t>
  </si>
  <si>
    <t>Saline lake; Fluorescence; C-14 age; DOM; Brine; Exopolymeric substances; ESIFTICRMS; Antarctic</t>
  </si>
  <si>
    <t>MCMURDO DRY VALLEYS; EXCITATION-EMISSION MATRIX; NUCLEAR-MAGNETIC-RESONANCE; AQUATIC HUMIC SUBSTANCES; FULVIC-ACID; MASS-SPECTROMETRY; CHEMICAL-CHARACTERIZATION; MOLECULAR SIGNATURES; HYPORHEIC EXCHANGE; FRYXELL BASIN</t>
  </si>
  <si>
    <t>Lake Vida (LV) is located in the McMurdo Dry Valleys (Victoria Valley, East Antarctica) and has no inflows, outflows, or connectivity to the atmosphere due to a thick (16 m), turbid ice surface and cold (&lt;-20 degrees C) subsurface alluvium surrounding the lake. The liquid portion of LV has a salinity about seven times that of seawater and is entrained in ice and sediment below the ice cap. This subzero (-13.4 degrees C), anoxic brine supports a microbial community, which has low levels of activity and has been isolated from the atmosphere for at least 2800 C-14 years before present. The brine has high dissolved organic carbon concentration (DOC; 580 mg-C L-1 or greater); the study of which provides a unique opportunity to better understand biological and/or abiotic processes taking place in an isolated saline ecosystem with no external inputs. We isolated two sub-fractions of LV dissolved organic matter (DOM) by chemical separation using XAD-8 and XAD-4 resins in series. This separation was followed by physical separation using ultrafiltration to isolate a higher molecular weight (HMW) fraction that was retained by the membrane and a salty, dilute low molecular weight fraction. This analytical path resulted in three, low salt sub-fractions and allowed comparison to other Antarctic lake DOM samples isolated using similar procedures. Compared to other Antarctic lakes, a lower portion of the DOC was retained by XAD-8 (similar to 10% vs. 16-24%) resin, while the portions retained by XAD-4 (similar to 8%) resin and the 1 kDa ultrafiltration membrane (similar to 50%) were similar. The C-14 radiocarbon ages of the XAD-8 (mean 3940 ybp), XAD-4 (mean 4048 ybp) and HMW (mean 3270 ybp) fractions are all older than the apparent age of ice-cover formation (2800 ybp). Ultrahigh resolution mass spectrometry showed that compounds with two and three nitrogen atoms in the molecular formulas were common in both the LV-XAD8 and LV-XAD4 fractions, consistent with microbial production and processing. The long-term oxidation of LVBr DOM by abiotic oxidants including perchlorate and chlorate may explain the low portion in the XAD8 fraction and the lack of aromatic carbon, as measured by C-13 NMR spectroscopy, found for all but the most hydrophobic fraction, LV-XAD8. Overall, the chemical characteristics of Lake Vida brine DOM suggest that legacy DOM sealed and concentrated within the brine has been altered due to a combination of both biological and abiotic chemical reactions. (C) 2016 Elsevier Ltd. All rights reserved.</t>
  </si>
  <si>
    <t>[Cawley, Kaelin M.; McKnight, Diane M.] Univ Colorado, Inst Arctic &amp; Alpine Res INSTAAR, 1560 30th St, Boulder, CO 80303 USA; [Murray, Alison E.] Univ Nevada, Desert Res Inst, Div Earth &amp; Ecosyst Sci, 2215 Raggio Pkwy, Reno, NV 89512 USA; [Doran, Peter T.] Louisiana State Univ, Dept Geol &amp; Geophys, E235 Howe Russell Kniffen, Baton Rouge, LA 70803 USA; [Kenig, Fabien] Univ Illinois, Dept Earth &amp; Environm Sci, 845 West Taylor St, Chicago, IL 60607 USA; [Stubbins, Aron] Univ Georgia, Skidaway Inst Oceanog, Marine Sci, 10 Ocean Sci Circle, Savannah, GA 31411 USA; [Chen, Hongmei; Hatcher, Patrick G.] Old Dominion Univ, Dept Chem &amp; Biochem, 110 Alfriend Chem Bldg, Norfolk, VA 23529 USA</t>
  </si>
  <si>
    <t>University of Colorado System; University of Colorado Boulder; Nevada System of Higher Education (NSHE); University of Nevada Reno; Desert Research Institute NSHE; Louisiana State University System; Louisiana State University; University of Illinois System; University of Illinois Chicago; University of Illinois Chicago Hospital; University System of Georgia; University of Georgia; Skidaway Institute of Oceanography; Old Dominion University</t>
  </si>
  <si>
    <t>Cawley, KM (corresponding author), Univ Colorado, Inst Arctic &amp; Alpine Res INSTAAR, 1560 30th St, Boulder, CO 80303 USA.</t>
  </si>
  <si>
    <t>kaelin.cawley@colorado.edu; alison.murray@dri.edu; pdoran@lsu.edu; fkenig@uic.edu; aron.stubbins@skio.uga.edu; hxchen@odu.edu; phatcher@odu.edu; diane.mcknight@colorado.edu</t>
  </si>
  <si>
    <t>Chen, Hongmei/S-3911-2019; Kenig, Fabien/A-4961-2008; Stubbins, Aron/M-8801-2014</t>
  </si>
  <si>
    <t>Chen, Hongmei/0000-0003-2460-838X; Stubbins, Aron/0000-0002-3994-1946; CAWLEY, KAELIN/0000-0002-0443-0070</t>
  </si>
  <si>
    <t>NASA Astrobiology Science and Technology for Exploring Planets [NAG5-12889]</t>
  </si>
  <si>
    <t>NASA Astrobiology Science and Technology for Exploring Planets</t>
  </si>
  <si>
    <t>We thank Raytheon Polar Services for field logistics support including sample handling from the field to home institution, and the Lake Vida field team (M. Badescu, N. Bramall, C. Davis, C. Fritsen, P. Glenday, J. Kyne, S. Sherrit) for the collective effort in acquiring the samples analyzed here. This work was supported by NASA Astrobiology Science and Technology for Exploring Planets award NAG5-12889 to P.T. Doran and Y. Bar-Cohen, and the National Science Foundation supported the field component.</t>
  </si>
  <si>
    <t>10.1016/j.gca.2016.03.023</t>
  </si>
  <si>
    <t>DM2HP</t>
  </si>
  <si>
    <t>WOS:000376168000005</t>
  </si>
  <si>
    <t>Rosendale, AJ; Romick-Rosendale, LE; Watanabe, M; Dunlevy, ME; Benoit, JB</t>
  </si>
  <si>
    <t>Rosendale, Andrew J.; Romick-Rosendale, Lindsey E.; Watanabe, Miki; Dunlevy, Megan E.; Benoit, Joshua B.</t>
  </si>
  <si>
    <t>Mechanistic underpinnings of dehydration stress in the American dog tick revealed through RNA-Seq and metabolomics</t>
  </si>
  <si>
    <t>Dermacentor variabilis; Gene expression; GABA; Glycerol; Activity</t>
  </si>
  <si>
    <t>HEAT-SHOCK PROTEINS; ANTARCTIC MIDGE; GENE-EXPRESSION; DERMACENTOR-ANDERSONI; WATER-STRESS; FLESH FLY; DESICCATION; ACARI; INSECT; TOLERANCE</t>
  </si>
  <si>
    <t>Ticks are obligate blood feeders but spend the majority of their lifetime off-host where they must contend with a multitude of environmental stresses. Survival under desiccating conditions is a determinant for habitats where ticks can become established, and water-balance characteristics of ticks have been extensively studied. However, little is known about the underlying aspects associated with dehydration stress in ticks. In this study, we examined the response of male American dog ticks, Dermacentor variabilis, to dehydration using a combined transcriptomics and metabolomics approach. During dehydration, 497 genes were differentially expressed, including an up-regulation of stress-response and protein-catabolism genes and concurrent down-regulation of several energetically expensive biological processes. Accumulation of several metabolites, including specific amino acids, glycerol and gamma aminobutyric acid (GABA), and transcript shifts in the associated pathways for generating these metabolites indicated congruence between changes in the metabolome and gene expression. Ticks treated with exogenous glycerol and GABA demonstrated altered water-balance characteristics; specifically, increased water absorption at high relative humidity. Finally, we observed changes in locomotor activity in response to dehydration, but this change was not influenced by the accumulation of GABA. Overall, the responses to dehydration by these ticks were similar to those observed in other dehydration-tolerant arthropods, but several molecular and behavioral responses are distinct from those associated with other taxa.</t>
  </si>
  <si>
    <t>[Rosendale, Andrew J.; Dunlevy, Megan E.; Benoit, Joshua B.] Univ Cincinnati, Dept Biol Sci, Cincinnati, OH 45221 USA; [Romick-Rosendale, Lindsey E.; Watanabe, Miki] Cincinnati Childrens Hosp Med Ctr, Div Pathol, Cincinnati, OH 45229 USA</t>
  </si>
  <si>
    <t>University System of Ohio; University of Cincinnati; Cincinnati Children's Hospital Medical Center</t>
  </si>
  <si>
    <t>Rosendale, AJ (corresponding author), Univ Cincinnati, Dept Biol Sci, Cincinnati, OH 45221 USA.</t>
  </si>
  <si>
    <t>rosendaw@uc.edu</t>
  </si>
  <si>
    <t>Romick-Rosendale, Lindsey/0000-0002-7252-1193; Rosendale, Andrew/0000-0002-2463-8856</t>
  </si>
  <si>
    <t>University of Cincinnati Faculty Development Research Grant; Ohio Supercomputer Center Research Allocation; United States Department of Agriculture's National Institute of Food and Agriculture Grant [2016-67012-24652]; NIFA [2016-67012-24652, 810683] Funding Source: Federal RePORTER</t>
  </si>
  <si>
    <t>University of Cincinnati Faculty Development Research Grant; Ohio Supercomputer Center Research Allocation; United States Department of Agriculture's National Institute of Food and Agriculture Grant; NIFA(United States Department of Agriculture (USDA)National Institute of Food and Agriculture)</t>
  </si>
  <si>
    <t>This work was supported by the University of Cincinnati Faculty Development Research Grant and Ohio Supercomputer Center Research Allocation to J.B.B. Funding was also provided by the United States Department of Agriculture's National Institute of Food and Agriculture Grant 2016-67012-24652 to A.J.R.</t>
  </si>
  <si>
    <t>10.1242/jeb.137315</t>
  </si>
  <si>
    <t>DO9HY</t>
  </si>
  <si>
    <t>WOS:000378097500010</t>
  </si>
  <si>
    <t>Cannon, SME; Lavers, JL; Figueiredo, B</t>
  </si>
  <si>
    <t>Cannon, Seon M. E.; Lavers, Jennifer L.; Figueiredo, Bianca</t>
  </si>
  <si>
    <t>Plastic ingestion by fish in the Southern Hemisphere: A baseline study and review of methods</t>
  </si>
  <si>
    <t>Actinopterygii; Australia; Dissostichus mawsoni; FT-IR; Plastic pollution; Southern Ocean</t>
  </si>
  <si>
    <t>FLESH-FOOTED SHEARWATERS; MARINE-ENVIRONMENT; DEBRIS INGESTION; FEEDING ECOLOGY; NORTH PACIFIC; MICROPLASTICS; ACCUMULATION; SEA; CHEMICALS; PARTICLES</t>
  </si>
  <si>
    <t>Plastic ingestion is well documented among marine birds and sea turtles but fewer studies have investigated ingestion in fish, particularly in the Southern Hemisphere. We investigated the frequency of plastic ingestion in 21 species of fish and one species of cephalopod. The overall occurrence of plastic ingestion was 0.3%. Two micro-plastic items were recovered from the gastrointestinal tract of a single Antarctic toothfish (Dissostichus mawsoni). Ingestion rates were similar to other studies of fish conducted in both the Northern and Southern Hemispheres, however comparisons across species and locations are challenging due to the lack of consistency in the identification and classification of plastic debris. In response, we propose a standardised sampling protocol based on the available literature to provide a stronger basis for comparisons among existing and future studies of plastic ingestion in fish. (C) 2016 Elsevier Ltd. All rights reserved.</t>
  </si>
  <si>
    <t>[Cannon, Seon M. E.; Lavers, Jennifer L.] Univ Tasmania, Inst Marine &amp; Antarctic Studies, Battery Point, Tas 7004, Australia; [Figueiredo, Bianca] Living Ocean Ctr Marine Studies, Sydney, NSW 2000, Australia</t>
  </si>
  <si>
    <t>Lavers, JL (corresponding author), Univ Tasmania, Inst Marine &amp; Antarctic Studies, Battery Point, Tas 7004, Australia.</t>
  </si>
  <si>
    <t>Lavers, Jennifer/IWM-5417-2023; Lavers, Jennifer/O-4831-2017</t>
  </si>
  <si>
    <t>Lavers, Jennifer/0000-0001-7596-6588</t>
  </si>
  <si>
    <t>10.1016/j.marpolbul.2016.03.057</t>
  </si>
  <si>
    <t>DO4BL</t>
  </si>
  <si>
    <t>WOS:000377726700047</t>
  </si>
  <si>
    <t>Baylis, AMM; Kowalski, GJ; Voigt, CC; Orben, RA; Trillmich, F; Staniland, IJ; Hoffman, JI</t>
  </si>
  <si>
    <t>Baylis, Alastair M. M.; Kowalski, Gabriele J.; Voigt, Christian C.; Orben, Rachael A.; Trillmich, Fritz; Staniland, Iain J.; Hoffman, Joseph I.</t>
  </si>
  <si>
    <t>Pup Vibrissae Stable Isotopes Reveal Geographic Differences in Adult Female Southern Sea Lion Habitat Use during Gestation</t>
  </si>
  <si>
    <t>MARINE PREDATOR; PATTERNS; ECOLOGY; DIET</t>
  </si>
  <si>
    <t>Individuals within populations often differ substantially in habitat use, the ecological consequences of which can be far reaching. Stable isotope analysis provides a convenient and often cost effective means of indirectly assessing the habitat use of individuals that can yield valuable insights into the spatiotemporal distribution of foraging specialisations within a population. Here we use the stable isotope ratios of southern sea lion (Otaria flavescens) pup vibrissae at the Falkland Islands, in the South Atlantic, as a proxy for adult female habitat use during gestation. A previous study found that adult females from one breeding colony (Big Shag Island) foraged in two discrete habitats, inshore (coastal) or offshore (outer Patagonian Shelf). However, as this species breeds at over 70 sites around the Falkland Islands, it is unclear if this pattern is representative of the Falkland Islands as a whole. In order to characterize habitat use, we therefore assayed carbon (delta C-13) and nitrogen (delta N-15) ratios from 65 southern sea lion pup vibrissae, sampled across 19 breeding colonies at the Falkland Islands. Model-based clustering of pup isotope ratios identified three distinct clusters, representing adult females that foraged inshore, offshore, and a cluster best described as intermediate. A significant difference was found in the use of inshore and offshore habitats between West and East Falkland and between the two colonies with the largest sample sizes, both of which are located in East Falkland. However, habitat use was unrelated to the proximity of breeding colonies to the Patagonian Shelf, a region associated with enhanced biological productivity. Our study thus points towards other factors, such as local oceanography and its influence on resource distribution, playing a prominent role in inshore and offshore habitat use.</t>
  </si>
  <si>
    <t>[Baylis, Alastair M. M.] South Atlantic Environm Res Inst, Stanley FIQQ1ZZ, Falkland Isl, England; [Baylis, Alastair M. M.] Falklands Conservat, Stanley FIQQ1ZZ, Falkland Isl, England; [Baylis, Alastair M. M.] Macquarie Univ, Dept Biol Sci, Sydney, NSW 2109, Australia; [Kowalski, Gabriele J.; Trillmich, Fritz; Hoffman, Joseph I.] Univ Bielefeld, Dept Anim Behav, D-33615 Bielefeld, Germany; [Kowalski, Gabriele J.] Univ Potsdam, Dept Anim Ecol, Potsdam, Germany; [Voigt, Christian C.] Leibniz Inst Zoo &amp; Wildlife Res, Dept Evolutionary Ecol, Alfred Kowalke Str 17, D-10315 Berlin, Germany; [Orben, Rachael A.] Oregon State Univ, Hatfield Marine Sci Ctr, Dept Fisheries &amp; Wildlife, Newport, OR 97365 USA; [Staniland, Iain J.] British Antarctic Survey, NERC, High Cross,Madingley Rd, Cambridge CB3 0ET, England</t>
  </si>
  <si>
    <t>Macquarie University; University of Bielefeld; University of Potsdam; Leibniz Institut fur Zoo und Wildtierforschung; Oregon State University; UK Research &amp; Innovation (UKRI); Natural Environment Research Council (NERC); NERC British Antarctic Survey</t>
  </si>
  <si>
    <t>Hoffman, JI (corresponding author), Univ Bielefeld, Dept Anim Behav, D-33615 Bielefeld, Germany.</t>
  </si>
  <si>
    <t>Staniland, Iain/I-4725-2012; Baylis, Alastair/H-9471-2019; Orben, Rachael A./H-9460-2019; Hoffman, Joseph/K-7725-2012</t>
  </si>
  <si>
    <t>Staniland, Iain/0000-0003-2736-9134; Baylis, Alastair/0000-0002-5167-0472; Orben, Rachael A./0000-0002-0802-407X; Kowalski, Gabriele Joanna/0000-0003-1495-2507; Hoffman, Joseph/0000-0001-5895-8949</t>
  </si>
  <si>
    <t>Marie Curie FP7-Reintegration Grant within the 7th European Community Framework Programme [PCIG-GA-2011-303618]; Natural Environment Research Council [bas0100035] Funding Source: researchfish; NERC [bas0100035] Funding Source: UKRI</t>
  </si>
  <si>
    <t>Marie Curie FP7-Reintegration Grant within the 7th European Community Framework Programme(European Union (EU)); Natural Environment Research Council(UK Research &amp; Innovation (UKRI)Natural Environment Research Council (NERC)); NERC(UK Research &amp; Innovation (UKRI)Natural Environment Research Council (NERC))</t>
  </si>
  <si>
    <t>Field work was supported by the Shackleton Scholarship Fund (Centenary Award), Rufford Small Grants, Sea World and Busch Gardens Conservation Fund, Joint Nature Conservation Council, National Geographic, Winifred Violet Scott and the Falkland Islands Government (to AMMB). Laboratory work was supported by a Marie Curie FP7-Reintegration Grant within the 7th European Community Framework Programme PCIG-GA-2011-303618 (to JIH). The funders had no role in study design, data collection and analysis, decision to publish, or preparation of the manuscript.</t>
  </si>
  <si>
    <t>e0157394</t>
  </si>
  <si>
    <t>10.1371/journal.pone.0157394</t>
  </si>
  <si>
    <t>DO5LO</t>
  </si>
  <si>
    <t>WOS:000377824800057</t>
  </si>
  <si>
    <t>Aarons, SM; Aciego, SM; Gabrielli, P; Delmonte, B; Koornneef, JM; Wegner, A; Blakowski, MA</t>
  </si>
  <si>
    <t>Aarons, S. M.; Aciego, S. M.; Gabrielli, P.; Delmonte, B.; Koornneef, J. M.; Wegner, A.; Blakowski, M. A.</t>
  </si>
  <si>
    <t>The impact of glacier retreat from the Ross Sea on local climate: Characterization of mineral dust in the Taylor Dome ice core, East Antarctica</t>
  </si>
  <si>
    <t>Antarctica; dust; ice core; strontium; neodymium; rare earth elements</t>
  </si>
  <si>
    <t>RARE-EARTH-ELEMENTS; VICTORIA LAND; AEOLIAN DUST; ISOTOPIC COMPOSITION; STATIONARY WAVES; LAST; VARIABILITY; HOLOCENE; SOUTHERN; SHEETS</t>
  </si>
  <si>
    <t>Recent declines in ice shelf and sea ice extent experienced in polar regions highlight the importance of evaluating variations in local weather patterns in response to climate change. Airborne mineral particles (dust) transported through the atmosphere and deposited on ice sheets and glaciers in Antarctica and Greenland can provide a robust set of tools for resolving the evolution of climatic systems through time. Here we present the first high time resolution radiogenic isotope (strontium and neodymium) data for Holocene dust in a coastal East Antarctic ice core, accompanied by rare earth element composition, dust concentration, and particle size distribution during the last deglaciation. We aim to use these combined ice core data to determine dust provenance, with variations indicative of shifts in either dust production, sources, and/or transport pathways. We analyzed a series of 17 samples from the Taylor Dome (77 degrees 47'47S, 158 degrees 43'26E) ice core, 113-391 m in depth from 1.1-31.4 ka. Radiogenic isotopic and rare earth element compositions of dust during the last glacial period are in good agreement with previously measured East Antarctic ice core dust records. In contrast, the Holocene dust dataset displays a broad range in isotopic and rare earth element compositions, suggesting a shift from long-range transported dust to a more variable, local input that may be linked to the retreat of the Ross Ice Shelf during the last deglaciation. Observed changes in the dust cycle inferred from a coastal East Antarctic ice core can thus be used to infer an evolving local climate. (C) 2016 Elsevier B.V. All rights reserved.</t>
  </si>
  <si>
    <t>[Aarons, S. M.; Aciego, S. M.; Wegner, A.; Blakowski, M. A.] Univ Michigan, Glaciochem &amp; Isotope Geochem Lab, 1100 N Univ Ave, Ann Arbor, MI 48109 USA; [Gabrielli, P.] Ohio State Univ, Byrd Polar &amp; Climate Res Ctr, 108 Scott Hall,1090 Carmack Rd, Columbus, OH 43210 USA; [Gabrielli, P.] Ohio State Univ, Mendenhall Lab 275, Sch Earth Sci, 125 South Oval Mall, Columbus, OH 43210 USA; [Delmonte, B.] Univ Milano Bicocca, Disat, Piazza Sci 1, I-20126 Milan, Italy; [Koornneef, J. M.] Vrije Univ Amsterdam, de Boelelaan 1085, NL-1081 HV Amsterdam, Netherlands; [Wegner, A.] Stiftung Alfred Wegener Inst Polar &amp; Meeresforsch, Alten Hafen 26, D-27568 Bremerhaven, Germany</t>
  </si>
  <si>
    <t>University of Michigan System; University of Michigan; University System of Ohio; Ohio State University; University System of Ohio; Ohio State University; University of Milano-Bicocca; Vrije Universiteit Amsterdam; Helmholtz Association; Alfred Wegener Institute, Helmholtz Centre for Polar &amp; Marine Research</t>
  </si>
  <si>
    <t>Aarons, SM (corresponding author), Univ Michigan, Glaciochem &amp; Isotope Geochem Lab, 1100 N Univ Ave, Ann Arbor, MI 48109 USA.</t>
  </si>
  <si>
    <t>smaarons@umich.edu</t>
  </si>
  <si>
    <t>Delmonte, Barbara/L-2555-2015; Koornneef, Janne/J-3883-2015</t>
  </si>
  <si>
    <t>Delmonte, Barbara/0000-0002-9074-2061; Koornneef, Janne/0000-0003-4090-8315; Blakowski, Molly/0000-0003-4196-2161; Aarons, Sarah/0000-0002-3580-0820</t>
  </si>
  <si>
    <t>Rackham Graduate School; Department of Earth and Environmental Sciences at the University of Michigan; NSF [1246702]; Directorate For Geosciences; Office of Polar Programs (OPP) [1242799] Funding Source: National Science Foundation; Office of Polar Programs (OPP); Directorate For Geosciences [1246702] Funding Source: National Science Foundation</t>
  </si>
  <si>
    <t>Rackham Graduate School; Department of Earth and Environmental Sciences at the University of Michigan; 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</si>
  <si>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This work was funded by grants from the Rackham Graduate School and the Turner Award from the Department of Earth and Environmental Sciences at the University of Michigan to S.M. Aarons and from NSF OPP Antarctic Glaciology Award 1246702 to S.M. Aciego and P. Gabrielli. We thank C. Bouman for assistance in the development of 10-13 Ohm resistors for small samples. This research is the Byrd Polar and Climate Research center publication 1544. We thank the logistics and drilling team at Taylor Dome, C. Uglietti for laboratory assistance, and two anonymous reviewers for their helpful comments.</t>
  </si>
  <si>
    <t>10.1016/j.epsl.2016.03.035</t>
  </si>
  <si>
    <t>WOS:000375818800004</t>
  </si>
  <si>
    <t>Cooper, G; Rios, AC</t>
  </si>
  <si>
    <t>Cooper, George; Rios, Andro C.</t>
  </si>
  <si>
    <t>Enantiomer excesses of rare and common sugar derivatives in carbonaceous meteorites</t>
  </si>
  <si>
    <t>carbonaceous meteorites; sugar acids; enantiomer excesses; aldonic acids; polyols</t>
  </si>
  <si>
    <t>L-ASCORBIC-ACID; STAR-FORMING REGIONS; AMINO-ACIDS; MURCHISON METEORITE; ICE ANALOGS; CIRCULAR-POLARIZATION; POTENTIAL FORMATION; AQUEOUS ALTERATION; ORGANIC-MATTER; CHONDRITES</t>
  </si>
  <si>
    <t>Biological polymers such as nucleic acids and proteins are constructed of only one-the D or L-of the two possible nonsuperimposable mirror images (enantiomers) of selected organic compounds. However, before the advent of life, it is generally assumed that chemical reactions produced 50: 50 (racemic) mixtures of enantiomers, as evidenced by common abiotic laboratory syntheses. Carbonaceous meteorites contain clues to prebiotic chemistry because they preserve a record of some of the Solar System's earliest (similar to 4.5 Gy) chemical and physical processes. In multiple carbonaceous meteorites, we show that both rare and common sugar monoacids (aldonic acids) contain significant excesses of the D enantiomer, whereas other (comparable) sugar acids and sugar alcohols are racemic. Although the proposed origins of such excesses are still tentative, the findings imply that meteoritic compounds and/or the processes that operated on meteoritic precursors may have played an ancient role in the enantiomer composition of life's carbohydrate-related biopolymers.</t>
  </si>
  <si>
    <t>[Cooper, George; Rios, Andro C.] NASA, Ames Res Ctr, Space Sci &amp; Astrobiol Div, Exobiol Branch, Moffett Field, CA 94035 USA; [Rios, Andro C.] Univ Space Res Assoc, NASA, Postdoctoral Program, Columbia, MD 21046 USA</t>
  </si>
  <si>
    <t>National Aeronautics &amp; Space Administration (NASA); NASA Ames Research Center; National Aeronautics &amp; Space Administration (NASA); Universities Space Research Association (USRA)</t>
  </si>
  <si>
    <t>Cooper, G (corresponding author), NASA, Ames Res Ctr, Space Sci &amp; Astrobiol Div, Exobiol Branch, Moffett Field, CA 94035 USA.</t>
  </si>
  <si>
    <t>george.cooper@nasa.gov</t>
  </si>
  <si>
    <t>NASA Exobiology and Evolutionary Biology Program</t>
  </si>
  <si>
    <t>NASA Exobiology and Evolutionary Biology Program(National Aeronautics &amp; Space Administration (NASA))</t>
  </si>
  <si>
    <t>We thank Joseph Solvason, Rhonda Franklin, Carol Elland, and Lorna Jones for assistance with the manuscript; Mary Noe and Winslow Briggs for comments on the manuscript; and Art Weber and Scott Sandford for helpful discussions. We thank Samantha Yim, Jeremy Lanoiselee, Mastewal Abate, Novelle Kimmich, Josh Sarinana, Cynthia Aysio, Ben Fasbinder, Patricia Chang, Malika Carter, Chris Reed, and David Macon for assistance with laboratory analyses at various times and Veda Bartlow for assistance with syntheses of deoxy sugar acids. We thank Donna Kleiner and Lisa Sewell for library resources; The NASA Johnson Space Center Antarctic Meteorite Program for Antarctic meteorites; and the Arizona State University Center for Meteorite Studies, Sandra Pizzarello, and Ted Bunch for samples of the Murchison meteorite. This work was partially supported by the NASA Exobiology and Evolutionary Biology Program. A. C. R. is supported by an appointment to the NASA Postdoctoral Program at Ames Research Center administered by Universities Space Research Association through a contract with NASA.</t>
  </si>
  <si>
    <t>JUN 14</t>
  </si>
  <si>
    <t>E3322</t>
  </si>
  <si>
    <t>E3331</t>
  </si>
  <si>
    <t>10.1073/pnas.1603030113</t>
  </si>
  <si>
    <t>DO7FW</t>
  </si>
  <si>
    <t>WOS:000377948800005</t>
  </si>
  <si>
    <t>Seehaus, TC; Marinsek, S; Skvarca, P; van Wessem, JM; Reijmer, CH; Seco, JL; Braun, MH</t>
  </si>
  <si>
    <t>Seehaus, Thorsten C.; Marinsek, Sebastian; Skvarca, Pedro; van Wessem, Jan M.; Reijmer, Carleen H.; Seco, Jose L.; Braun, Matthias H.</t>
  </si>
  <si>
    <t>Dynamic Response of Sjogren Inlet Glaciers, Antarctic Peninsula, to Ice Shelf Breakup Derived from Multi-Mission Remote Sensing Time Series</t>
  </si>
  <si>
    <t>FRONTIERS IN EARTH SCIENCE</t>
  </si>
  <si>
    <t>SURFACE MASS-BALANCE; OUTLET GLACIERS; LARSEN; ELEVATION; DISINTEGRATION; COLLAPSE; VELOCITIES; THICKNESS; DISCHARGE; PATTERN</t>
  </si>
  <si>
    <t>The substantial retreat or disintegration of numerous ice shelves has been observed on the Antarctic Peninsula. The ice shelf in the Prince Gustav Channel has retreated gradually since the late 1980s and broke up in 1995. Tributary glaciers reacted with speed-up, surface lowering and increased ice discharge, consequently contributing to sea level rise. We present a detailed long-term study (1993-2014) of the dynamic response of Sjogren Inlet glaciers to the disintegration of the Prince Gustav Ice Shelf. We analyzed various remote sensing datasets to identify the reactions of the glaciers to the loss of the buttressing ice shelf. A strong increase in ice surface velocities was observed, with maximum flow speeds reaching 2.82 +/- 0.48 m d-1 in 2007 and 1.50 +/- 0.32 m d-1 in 2004 at Sjogren and Boydell glaciers respectively. Subsequently, the flow velocities decelerated, however in late 2014, we still measured approximately twice the values of our first observations in 1996. The Sjogren Inlet glaciers retreated 61.7 +/- 3.1 km(2) behind the former grounding line in 1996. For the glacier area below 1000 m a.s.l. and above the 2014 grounding (399 km2), a mean surface lowering of -68 +/- 10 m (-3.1 m a(-1)) was observed in the period 1993-2014. The lowering rate decreased to -2.2 m a-1 in the period 2012-2014. Based on the surface lowering rates, geodetic mass balances of the glaciers were derived for different time periods. A strongly negative mass change rate of -1.16 +/- 0.38 Gt a(-1) was found for the area of all Sjogren Inlet glaciers (including the area above 1000 m a.s.l.) above the 2014 grounding line (559 km(2)) for the earliest period (1993-2001). Due to the dynamic adjustments of the glaciers to the new boundary conditions the rate changed to -0.54 +/- 0.13 Gt a-1 in the period 2012-2014, resulting in an average mass change rate of -0.84 +/- 0.18 Gt a-1 (1993-2014) for the same domain. Including the retreat of the ice front and grounding line, a total mass change of -37.5 +/- 8.2 Gt (-1.79 +/- 0.39 Gt a(-1)) and a contribution to sea level rise of 20.9 +/- 5.2 Gt (-0.99 +/- 0.25 Gt a(-1)) were computed for the period 1993-2014. Analysis of the ice flux revealed that available bedrock elevation estimates at Sjogren Inlet are too shallow and are the major uncertainty in ice flux computations. This temporally dense time series analysis of Sjogren Inlet glaciers shows that the adjustments of tributary glaciers to ice shelf disintegration are still ongoing and provides detailed information of the changes in glacier dynamics.</t>
  </si>
  <si>
    <t>[Seehaus, Thorsten C.; Braun, Matthias H.] Friedrich Alexander Univ Erlangen Nurnberg, Inst Geog, Erlangen, Germany; [Marinsek, Sebastian; Seco, Jose L.] Inst Antartico Argentino, Dept Glaciol, Buenos Aires, DF, Argentina; [Marinsek, Sebastian] Univ Tecnol Nacl, Fac Reg Buenos Aires, Buenos Aires, DF, Argentina; [Skvarca, Pedro] Museo Hielo Patagon, Glaciarium, El Calafate, Argentina; [van Wessem, Jan M.; Reijmer, Carleen H.] Univ Utrecht, Inst Marine &amp; Atmospher Res Utrecht, Utrecht, Netherlands</t>
  </si>
  <si>
    <t>University of Erlangen Nuremberg; Instituto Antartico Argentino; Utrecht University</t>
  </si>
  <si>
    <t>Seehaus, TC (corresponding author), Friedrich Alexander Univ Erlangen Nurnberg, Inst Geog, Erlangen, Germany.</t>
  </si>
  <si>
    <t>thorsten.seehaus@fau.de</t>
  </si>
  <si>
    <t>Braun, Matthias H/S-4693-2016; Reijmer, Carleen H/G-8736-2011; van Wessem, Melchior/AAB-1987-2019; Braun, Matthias/A-4968-2009</t>
  </si>
  <si>
    <t>Reijmer, Carleen H/0000-0001-8299-3883; Braun, Matthias/0000-0001-5169-1567; Seehaus, Thorsten/0000-0001-5055-8959; van Wessem, Melchior/0000-0003-3221-791X</t>
  </si>
  <si>
    <t>Deutsche Forschungsgemeinschaft (DFG) [BR 2105/9-1]; HGF Alliance Remote Sensing of Earth System Dynamics; IAA-DNA, project INST [15]; European Commission [319718]; Netherlands Organization for Scientific Research, section Earth and Life Sciences (NWO/ALW/NPP)</t>
  </si>
  <si>
    <t>Deutsche Forschungsgemeinschaft (DFG)(German Research Foundation (DFG)); HGF Alliance Remote Sensing of Earth System Dynamics; IAA-DNA, project INST; European Commission(European Union (EU)European Commission Joint Research Centre); Netherlands Organization for Scientific Research, section Earth and Life Sciences (NWO/ALW/NPP)(Netherlands Organization for Scientific Research (NWO))</t>
  </si>
  <si>
    <t>This work was supported by the Deutsche Forschungsgemeinschaft (DFG) in the framework of the priority programme Antarctic Research with comparative investigations in Arctic ice areas by a grant to M.B. (BR 2105/9-1). MB and TS would like to thank the HGF Alliance Remote Sensing of Earth System Dynamics for additional support. SM and JS were funded by IAA-DNA, project INST No15. Exchange and field trips were partly funded by the European Commission 7th FP IRSES IMCONet project (FP7 IRSES, action no. 319718). JW and CR, acknowledge support from the Netherlands Polar Program of the Netherlands Organization for Scientific Research, section Earth and Life Sciences (NWO/ALW/NPP). IAA-DNA and AWI kindly provided logistic support as well as airborne operations. The authors particularly acknowledge the support of Marambio station personnel, the helicopters and Twin Otter DHC-6 crews for their support during the field surveys. Access to satellite data was kindly provided by various space agencies, e.g., under ESA AO 4032, DLR TerraSAR-X Background Mission Antarctic Peninsula and Ice Shelves, TSX AO LAN0013, TDX AO XTI_GLAC0264, ASF, GLIMS as well as NASA and USGS.</t>
  </si>
  <si>
    <t>2296-6463</t>
  </si>
  <si>
    <t>FRONT EARTH SC-SWITZ</t>
  </si>
  <si>
    <t>10.3389/feart.2016.00066</t>
  </si>
  <si>
    <t>EJ3WQ</t>
  </si>
  <si>
    <t>WOS:000393143300001</t>
  </si>
  <si>
    <t>Najnin, T; Siddiqui, KS; Taha; Elkaid, N; Kornfeld, G; Curmi, PMG; Cavicchioli, R</t>
  </si>
  <si>
    <t>Najnin, T.; Siddiqui, K. S.; Taha; Elkaid, N.; Kornfeld, G.; Curmi, P. M. G.; Cavicchioli, R.</t>
  </si>
  <si>
    <t>Characterization of a temperature-responsive two component regulatory system from the Antarctic archaeon, Methanococcoides burtonii (vol 6, 24278, 2016)</t>
  </si>
  <si>
    <t>Curmi, Paul/G-7185-2011; Cavicchioli, Ricardo/D-4341-2013</t>
  </si>
  <si>
    <t>Curmi, Paul/0000-0001-5762-7638; Cavicchioli, Ricardo/0000-0001-8989-6402</t>
  </si>
  <si>
    <t>JUN 10</t>
  </si>
  <si>
    <t>10.1038/srep27162</t>
  </si>
  <si>
    <t>DO3KT</t>
  </si>
  <si>
    <t>WOS:000377681200001</t>
  </si>
  <si>
    <t>Wang, JJ; Sun, LG; Chen, LQ; Xu, LB; Wang, YH; Wang, XM</t>
  </si>
  <si>
    <t>Wang, Jianjun; Sun, Liguang; Chen, Liqi; Xu, Libin; Wang, Yuhong; Wang, Xinming</t>
  </si>
  <si>
    <t>The abrupt climate change near 4,400 yr BP on the cultural transition in Yuchisi, China and its global linkage</t>
  </si>
  <si>
    <t>HOLOCENE DROUGHT; COLLAPSE; AFRICAN; VARIABILITY; AMERICA; HISTORY; TROPICS; RECORDS; DIATOMS; IMPACT</t>
  </si>
  <si>
    <t>Extreme climatic events have profound impacts on human society. Here we present the results of a study of organic biomarkers within a sedimentary section at the archaeological site of Yuchisi, eastern China, in order to reconstruct climatic variability during the Dawenkou (5,050-4,400 yr BP) and Longshan (4,400-4,000 yr BP) cultures. At similar to 4,400 yr BP, within the cultural transition horizon, abrupt changes in biomarkers, such as the fatty acid ratio C-18:2/C-18:0, 2C(31)/(C-27 + C-29), n-C-18-ol and n-C-30-ol, indicate the occurrence of local climate changes over the course of a few decades. These changes occurred during the transition from the Holocene warm period to a subsequent cold period which lasted for the following 600 years. This climatic shift has been recorded at numerous sites worldwide, and it is likely to have been the main cause of the widespread collapse of many isolated cultures at that time. The palaeoclimatic and archaeological data from the Yuchisi sediments may provide new insights into the relationship between climate change and prehistoric cultural transitions.</t>
  </si>
  <si>
    <t>[Wang, Jianjun; Chen, Liqi] State Ocean Adm, Inst Oceanog 3, Key Lab Global Change &amp; Marine Atmospher Chem, Xiamen, Peoples R China; [Wang, Jianjun; Sun, Liguang; Xu, Libin] Univ Sci &amp; Technol China, Inst Polar Environm, Hefei 230026, Peoples R China; [Xu, Libin] Zhangjiagang Water Supply &amp; Drainage Co, Zhangjiagang, Peoples R China; [Wang, Yuhong] NIH, Bldg 10, Bethesda, MD 20892 USA; [Wang, Xinming] Chinese Acad Sci, Guangzhou Inst Geochem, Guangzhou, Guangdong, Peoples R China</t>
  </si>
  <si>
    <t>Third Institute of Oceanography, Ministry of Natural Resources; Chinese Academy of Sciences; University of Science &amp; Technology of China, CAS; National Institutes of Health (NIH) - USA; Chinese Academy of Sciences; Guangzhou Institute of Geochemistry, CAS</t>
  </si>
  <si>
    <t>Wang, JJ (corresponding author), State Ocean Adm, Inst Oceanog 3, Key Lab Global Change &amp; Marine Atmospher Chem, Xiamen, Peoples R China.;Wang, JJ; Sun, LG (corresponding author), Univ Sci &amp; Technol China, Inst Polar Environm, Hefei 230026, Peoples R China.</t>
  </si>
  <si>
    <t>wangjianjun@tio.org.cn; slg@ustc.edu.cn</t>
  </si>
  <si>
    <t>Wang, Xinming/A-7388-2014</t>
  </si>
  <si>
    <t>Wang, Xinming/0000-0002-1982-0928</t>
  </si>
  <si>
    <t>Scientific Research Foundation of the Third Institute of Oceanography [2014031]; Ecological Environment Protection Division; State Oceanic Administration (SOA); Chinese Projects for Investigations and Assessments of the Arctic and Antarctic [CHINARE 04-03-07]; China Scholarship Council [201404180008]</t>
  </si>
  <si>
    <t>Scientific Research Foundation of the Third Institute of Oceanography; Ecological Environment Protection Division; State Oceanic Administration (SOA); Chinese Projects for Investigations and Assessments of the Arctic and Antarctic; China Scholarship Council(China Scholarship Council)</t>
  </si>
  <si>
    <t>We thank Prof. Jan Bloemendal, Mr. Iain MacRae and Ms. Mary McPherson for their language editing of this work. This work was supported by the Scientific Research Foundation of the Third Institute of Oceanography (Grant No. 2014031), the Ecological Environment Protection Division, the State Oceanic Administration (SOA), Chinese Projects for Investigations and Assessments of the Arctic and Antarctic (CHINARE 04-03-07) and by the China Scholarship Council (201404180008).</t>
  </si>
  <si>
    <t>10.1038/srep27723</t>
  </si>
  <si>
    <t>DO3PN</t>
  </si>
  <si>
    <t>WOS:000377693600001</t>
  </si>
  <si>
    <t>Oh, TJ; Han, SR; Ahn, DH; Park, H; Kim, AY</t>
  </si>
  <si>
    <t>Oh, Tae-Jin; Han, So-Ra; Ahn, Do-Hwan; Park, Hyun; Kim, Augustine Yonghwi</t>
  </si>
  <si>
    <t>Complete genome sequence of Hymenobacter sp strain PAMC26554, an ionizing radiation-resistant bacterium isolated from an Antarctic lichen</t>
  </si>
  <si>
    <t>Hymenobacter sp PAMC26554; Complete genome sequence; UV radiation resistance; Nucleotide excision repair; Antarctic lichen</t>
  </si>
  <si>
    <t>DEINOCOCCUS-RADIODURANS; SOIL; DAMAGE</t>
  </si>
  <si>
    <t>A Gram-negative, rod-shaped, red-pink in color, and UV radiation-resistant bacterium Hymenobacter sp. strain PAMC26554 was isolated from Usnea sp., an Antarctic lichen, and belongs to the class of Cytophagia and the phylum of Bacteroidetes. The complete genome of Hymenobacter sp. PAMC26554 consists of one chromosome (5,244,843 bp) with two plasmids (199,990 bp and 6421 bp). The genomic sequence indicates that Hymenobacter sp. strain PAMC26554 possesses several genes involved in the nucleotide excision repair pathway that protects damaged DNA. This complete genome information will help us to understand its adaptation and novel survival strategy in the Antarctic extreme cold environment. (C) 2016 Elsevier B.V. All rights reserved.</t>
  </si>
  <si>
    <t>[Oh, Tae-Jin; Han, So-Ra] SunMoon Univ, Dept BT Convergent Pharmaceut Engn, 100 Kalsan Ri, Asan 31460, Chungnam, South Korea; [Ahn, Do-Hwan; Park, Hyun] Korea Polar Res Inst, 213-3 Songdo Dong, Inchon 21990, South Korea; [Park, Hyun] Univ Sci &amp; Technol, Polar Sci, Daejeon 34113, South Korea; [Kim, Augustine Yonghwi] Sejong Univ, Dept Food Sci &amp; Technol, 98 Kunja Dong, Seoul 05006, South Korea</t>
  </si>
  <si>
    <t>Sun Moon University; Korea Polar Research Institute (KOPRI); University of Science &amp; Technology (UST); Sejong University</t>
  </si>
  <si>
    <t>Park, H (corresponding author), Korea Polar Res Inst, 213-3 Songdo Dong, Inchon 21990, South Korea.;Kim, AY (corresponding author), Sejong Univ, Dept Food Sci &amp; Technol, 98 Kunja Dong, Seoul 05006, South Korea.</t>
  </si>
  <si>
    <t>hpark@kopri.re.kr; kimyh@sejong.ac.kr</t>
  </si>
  <si>
    <t>Antarctic organisms: Cold Adaptation Mechanisms and its application grant - Korea Polar Research Institute; Antarctic organisms: Cold Adaptation Mechanisms and its application grant - Korea Polar Research Institute [PE16070]</t>
  </si>
  <si>
    <t>Antarctic organisms: Cold Adaptation Mechanisms and its application grant - Korea Polar Research Institute; Antarctic organisms: Cold Adaptation Mechanisms and its application grant - Korea Polar Research Institute</t>
  </si>
  <si>
    <t>10.1016/j.jbiotec.2016.04.011</t>
  </si>
  <si>
    <t>DK7QW</t>
  </si>
  <si>
    <t>WOS:000375121800004</t>
  </si>
  <si>
    <t>Oh, TJ; Han, SR; Kang, S; Park, H; Kim, AY</t>
  </si>
  <si>
    <t>Oh, Tae-Jin; Han, So-Ra; Kang, Seunghyun; Park, Hyun; Kim, Augustine Yonghwi</t>
  </si>
  <si>
    <t>Complete genome sequence of the xylan-degrading Mucilaginibacter sp strain PAMC26640 isolated from an Arctic lichen</t>
  </si>
  <si>
    <t>Mucilaginibacter sp PAMC26640; Complete genome sequence; Xylan-degrading bacteria; Arctic lichen</t>
  </si>
  <si>
    <t>SP NOV.</t>
  </si>
  <si>
    <t>Mucilaginibacter sp. PAMC26640 is a xylan-degrading bacterium isolated from the Arctic lichen Stereocaulon sp. Here, we present the first complete genome sequence of Mucilaginibacter sp. strain PAMC26640, which contains several genes involved in xylan utilization. This genome information provides new insights into the genetic basis of its physiology and further analysis of key metabolic genes related to the xylan degradation pathway. (C) 2016 Elsevier B.V. All rights reserved.</t>
  </si>
  <si>
    <t>[Oh, Tae-Jin; Han, So-Ra] SunMoon Univ, Dept BT Convergent Pharmaceut Engn, 100 Kalsan Ri, Asan 31460, Chungnam, South Korea; [Kang, Seunghyun; Park, Hyun] Korea Polar Res Inst KOPRI, 213-3 Songdo Dong, Inchon 21990, South Korea; [Park, Hyun] Univ Sci &amp; Technol, Polar Sci, Daejeon 34113, South Korea; [Kim, Augustine Yonghwi] Sejong Univ, Dept Food Sci &amp; Technol, 98 Kunja Dong, Seoul 05006, South Korea</t>
  </si>
  <si>
    <t>Park, H (corresponding author), Korea Polar Res Inst KOPRI, 213-3 Songdo Dong, Inchon 21990, South Korea.;Kim, AY (corresponding author), Sejong Univ, Dept Food Sci &amp; Technol, 98 Kunja Dong, Seoul 05006, South Korea.</t>
  </si>
  <si>
    <t>10.1016/j.jbiotec.2016.04.018</t>
  </si>
  <si>
    <t>WOS:000375121800006</t>
  </si>
  <si>
    <t>Thomas, EW; Ligowski, R</t>
  </si>
  <si>
    <t>Thomas, Evan W.; Ligowski, Ryszard</t>
  </si>
  <si>
    <t>Rhoicosphenia kloseri, a new isopolar Rhoicosphenia (Bacillariophyta) species from the Antarctic with comparison to other isopolar Rhoicosphenia</t>
  </si>
  <si>
    <t>Rhoicosphenia; Antarctic; isopolar; new species; epiphyte</t>
  </si>
  <si>
    <t>KING GEORGE ISLAND; LIFE-HISTORY; MARINE; SYSTEMATICS; DIATOMS</t>
  </si>
  <si>
    <t>Rhoicosphenia is a common diatom in both freshwater and marine ecosystems and the genus can be found on nearly every continent. Despite the fact that the genus is common, few new species have been reported from outside of Europe, Asia, and North America, and only one species has been previously described from the Antarctic. Further, most Rhoicosphenia are heteropolar in valve outline, asymmetrical to the transapical axis, while few taxa are isopolar. During investigations into the epiphytes on the red alga Georgiella confluens from the South Shetland Islands, a new marine, isopolar Rhoicosphenia was discovered and is herein described and documented with both light and scanning electron microscopy. Rhoicosphenia kloseri is isopolar, and in that regard similar to other isopolar taxa, such as R. genuflexa and R. pullus, but does not fit the morphological species concept of those taxa and is thus described as new. This new species discovery is following a trend of high rates of discovery of previously ignored morphological diversity within the genus Rhoicosphenia.</t>
  </si>
  <si>
    <t>[Thomas, Evan W.] MacMurray Coll, Div Nat Sci, Jacksonville, IL 62650 USA; [Thomas, Evan W.] Univ Colorado, Dept Ecol &amp; Evolutionary Biol, Boulder, CO 80309 USA; [Ligowski, Ryszard] Univ Lodz, Fac Biol &amp; Environm Protect, Dept Polar Biol &amp; Oceanobiol, Banacha 12-16, PL-90237 Lodz, Poland</t>
  </si>
  <si>
    <t>University of Colorado System; University of Colorado Boulder; University of Lodz</t>
  </si>
  <si>
    <t>Thomas, EW (corresponding author), MacMurray Coll, Div Nat Sci, Jacksonville, IL 62650 USA.;Thomas, EW (corresponding author), Univ Colorado, Dept Ecol &amp; Evolutionary Biol, Boulder, CO 80309 USA.</t>
  </si>
  <si>
    <t>ewt@colorado.edu</t>
  </si>
  <si>
    <t>JUN 9</t>
  </si>
  <si>
    <t>10.11646/phytotaxa.265.1.4</t>
  </si>
  <si>
    <t>DU0QV</t>
  </si>
  <si>
    <t>WOS:000381910500004</t>
  </si>
  <si>
    <t>Hahn, A; Compton, JS; Meyer-Jacob, C; Kirsten, KL; Lucasssen, F; Mayo, MP; Schefuss, E; Zabel, M</t>
  </si>
  <si>
    <t>Hahn, Annette; Compton, John S.; Meyer-Jacob, Carsten; Kirsten, Kelly L.; Lucasssen, Friedrich; Mayo, Manuel Perez; Schefuss, Enno; Zabel, Matthias</t>
  </si>
  <si>
    <t>Holocene paleo-climatic record from the South African Namaqualand mudbelt: A source to sink approach</t>
  </si>
  <si>
    <t>Provenance studies; Oranje River; Marine sediments; Westerlies; Sr-Nd isotopes; FTIR-spectroscopy</t>
  </si>
  <si>
    <t>WINTER-RAINFALL ZONE; GULF-OF-CALIFORNIA; UPPER ORANGE RIVER; PAST 25,000 YEARS; LATE QUATERNARY; HYRAX MIDDENS; WESTERN-CAPE; SOUTHWESTERN AFRICA; CONTINENTAL-MARGIN; VEGETATION HISTORY</t>
  </si>
  <si>
    <t>Variations in the sediment input to the Namaqualand mudbelt during the Holocene are assessed using an integrative terrestrial to marine, source to sink approach. Geochemical and Sr and Nd isotopic signatures are used to distinguish fluvial sediment source areas. Relative to the sediments of the Olifants River, craton outcrops in the northern Orange River catchment have a more radiogenic Sr and a more unradiogenic Nd isotopic signature. Furthermore, upper Orange River sediments are rich in heavier elements such as Ti and Fe derived from the chemical weathering of Drakensberg flood basalt. Suspension load signatures change along the Orange River's westward transit as northern catchments contribute physical weathering products from the Fish and Molopo River catchment area. Marine cores offshore of the Olifants (GeoB8323-2) and Orange (GeoB8331-4) River mouths show pulses of increased contribution of Olifants River and upper Orange River input, respectively. These pulses coincide with intervals of increased terrestrial organic matter flux and increased paleo-production at the respective core sites. We attribute this to an increase in fluvial activity and vegetation cover in the adjacent catchments during more humid climate conditions. The contrast in the timing of these wet phases in the catchment areas reflects the bipolar behavior of the South African summer and winter rainfall zones. While rainfall in the Orange River catchment is related to southward shifts in the ICTZ, rainfall in the Olifants catchment is linked to northward shifts in Southern Hemisphere Westerly storm tracks. The later may also have increased southern Benguela upwelling in the past by reducing the shedding of Agulhas eddies into the Atlantic. The high-resolution records of latitudinal shifts in these atmospheric circulation systems correspond to late Holocene centennial-millennial scale climate variability evident in Antarctic ice core records. The mudbelt cores indicate that phases of high summer rainfall zone and low winter rainfall zone humidity (at ca. 2.8 and 1 ka BP) may be synchronous with Antarctic warming events. On the other hand, dry conditions in the summer rainfall zone along with wet conditions in the winter rainfall zone (at ca 3.3, 2 and 0.5 ka BP) may be associated with Antarctic cooling events. (C) 2015 Elsevier Ltd and INQUA. All rights reserved.</t>
  </si>
  <si>
    <t>[Hahn, Annette; Lucasssen, Friedrich; Schefuss, Enno; Zabel, Matthias] Univ Bremen, MARUM Ctr Marine Environm Sci, D-28359 Bremen, Germany; [Compton, John S.] Univ Cape Town, Dept Geol Sci, ZA-7700 Rondebosch, South Africa; [Meyer-Jacob, Carsten] Umea Univ, Dept Ecol &amp; Environm Sci, S-90187 Umea, Sweden; [Kirsten, Kelly L.] Univ Cape Town, Dept Environm &amp; Geog Sci, Private Bag X3, ZA-7701 Rondebosch, South Africa; [Mayo, Manuel Perez] Univ Bremen, Inst Environm Phys, D-28359 Bremen, Germany</t>
  </si>
  <si>
    <t>University of Bremen; University of Cape Town; Umea University; University of Cape Town; University of Bremen</t>
  </si>
  <si>
    <t>Hahn, A (corresponding author), Univ Bremen, MARUM Ctr Marine Environm Sci, D-28359 Bremen, Germany.</t>
  </si>
  <si>
    <t>ahahn@marum.de</t>
  </si>
  <si>
    <t>Meyer-Jacob, Carsten/B-8248-2014; Zabel, Matthias/E-5044-2011; Compton, John S/E-1767-2013; Schefuß, Enno/A-7101-2015; Kirsten, Kelly/GYD-7631-2022</t>
  </si>
  <si>
    <t>Meyer-Jacob, Carsten/0000-0002-8208-496X; Zabel, Matthias/0000-0003-4681-1821; Schefuß, Enno/0000-0002-5960-930X; Kirsten, Kelly/0000-0002-8512-1519; Perez Mayo, Manuel/0000-0002-6003-649X</t>
  </si>
  <si>
    <t>Bundesministerium fur Bildung und Forschung (BMBF, Bonn, Germany) within project Regional Archives for Intergrated Investigation (RAiN); European Research Council (ERC) under European Union's Seventh Framework Programme/ERC Starting Grant HYRAX [258657]</t>
  </si>
  <si>
    <t>Bundesministerium fur Bildung und Forschung (BMBF, Bonn, Germany) within project Regional Archives for Intergrated Investigation (RAiN)(Federal Ministry of Education &amp; Research (BMBF)); European Research Council (ERC) under European Union's Seventh Framework Programme/ERC Starting Grant HYRAX(European Research Council (ERC))</t>
  </si>
  <si>
    <t>This work was financially supported by the Bundesministerium fur Bildung und Forschung (BMBF, Bonn, Germany) within the project Regional Archives for Intergrated Investigation (RAiN). This study was also supported by the European Research Council (ERC) under the European Union's Seventh Framework Programme (FP7/2007-2013)/ERC Starting Grant HYRAX, grant agreement no. 258657. Arrnoud Boum and Andrew Carr have kindly provided soil samples from the Orange River catchment. We also thank the captain, the crew and scientists of the Meteor M57-1 cruise for recovering the studied material. Thanks to all RAiN members for critical discussion and helpful advice for our work progress. The reviewers' comments were also greatly appreciated and contributed substantially to finalizing this manuscript.</t>
  </si>
  <si>
    <t>JUN 6</t>
  </si>
  <si>
    <t>10.1016/j.quaint.2015.10.017</t>
  </si>
  <si>
    <t>DM5PX</t>
  </si>
  <si>
    <t>WOS:000376403500011</t>
  </si>
  <si>
    <t>Wilson, E</t>
  </si>
  <si>
    <t>Wilson, Elizabeth</t>
  </si>
  <si>
    <t>Antarctic ozone hole shows signs of repair</t>
  </si>
  <si>
    <t>CHEMICAL &amp; ENGINEERING NEWS</t>
  </si>
  <si>
    <t>0009-2347</t>
  </si>
  <si>
    <t>1520-605X</t>
  </si>
  <si>
    <t>CHEM ENG NEWS</t>
  </si>
  <si>
    <t>Chem. Eng. News</t>
  </si>
  <si>
    <t>JUN 4</t>
  </si>
  <si>
    <t>Chemistry, Multidisciplinary; Engineering, Chemical</t>
  </si>
  <si>
    <t>Chemistry; Engineering</t>
  </si>
  <si>
    <t>DQ3MU</t>
  </si>
  <si>
    <t>WOS:000379107200005</t>
  </si>
  <si>
    <t>von Salm, JL; Witowski, CG; Fleeman, RM; McClintock, JB; Amsler, CD; Shaw, LN; Baker, BJ</t>
  </si>
  <si>
    <t>von Salm, Jacqueline L.; Witowski, Christopher G.; Fleeman, Renee M.; McClintock, James B.; Amsler, Charles D.; Shaw, Lindsey N.; Baker, Bill J.</t>
  </si>
  <si>
    <t>Darwinolide, a New Diterpene Scaffold That Inhibits Methicillin-Resistant Staphylococcus aureus Biofilm from the Antarctic Sponge Dendrilla membranosa</t>
  </si>
  <si>
    <t>ORGANIC LETTERS</t>
  </si>
  <si>
    <t>MARINE SPONGES; CONSTITUENTS; METABOLITES; INFECTIONS</t>
  </si>
  <si>
    <t>A new rearranged spongian diterpene, darwinolide, has been isolated from the Antarctic Dendroceratid sponge Dendrilla membranosa. Characterized on the basis of spectroscopic and crystallographic analysis, the central seven-membered ring is hypothesized to originate from a ring expansion of a spongian precursor. Darwinolide displays 4-fold selectivity against the biofilm phase of methicillin-resistant Staphylococcus aureus compared to the planktonic phase and may provide a scaffold for the development of therapeutics for this difficult to treat infection.</t>
  </si>
  <si>
    <t>[von Salm, Jacqueline L.; Witowski, Christopher G.; Baker, Bill J.] Univ S Florida, Dept Chem, 4202 East Fowler Ave,CHE205, Tampa, FL 33620 USA; [von Salm, Jacqueline L.; Witowski, Christopher G.; Fleeman, Renee M.; Shaw, Lindsey N.; Baker, Bill J.] Univ S Florida, Ctr Drug Discovery &amp; Innovat, 3720 Spectrum Blvd,Suite 303, Tampa, FL 33612 USA; [Fleeman, Renee M.; Shaw, Lindsey N.] Univ S Florida, Dept Cell Biol Microbiol &amp; Mol Biol, 4202 East Fowler Ave,ISA2015, Tampa, FL 33620 USA; [McClintock, James B.; Amsler, Charles D.] Univ Alabama Birmingham, Dept Biol, Birmingham, AL 35294 USA; [von Salm, Jacqueline L.] Simon Fraser Univ, Dept Chem, 8888 Univ Dr, Burnaby, BC V5A 1S6, Canada; [Witowski, Christopher G.] Altemat Med Enterprises, 1451 Global Court, Sarasota, FL 34240 USA</t>
  </si>
  <si>
    <t>State University System of Florida; University of South Florida; State University System of Florida; University of South Florida; State University System of Florida; University of South Florida; University of Alabama System; University of Alabama Birmingham; Simon Fraser University</t>
  </si>
  <si>
    <t>Baker, BJ (corresponding author), Univ S Florida, Dept Chem, 4202 East Fowler Ave,CHE205, Tampa, FL 33620 USA.;Baker, BJ (corresponding author), Univ S Florida, Ctr Drug Discovery &amp; Innovat, 3720 Spectrum Blvd,Suite 303, Tampa, FL 33612 USA.</t>
  </si>
  <si>
    <t>bjbaker@usf.edu</t>
  </si>
  <si>
    <t>Baker, Bill/N-4312-2019; Shaw, Lindsey/AAI-1741-2020</t>
  </si>
  <si>
    <t>Shaw, Lindsey/0000-0002-0629-8990; von Salm, Jacqueline/0000-0003-2277-5491; Amsler, Charles/0000-0002-4843-3759; Fleeman, Renee/0000-0001-7103-461X</t>
  </si>
  <si>
    <t>National Science Foundation from the Antarctic Organisms and Ecosystems program [ANT-0838773, PLR-1341333, ANT-08328776, PLR-1341339]; National Institutes of Health grants [AI103715, AI80626]; Center of Excellence award from the State of Florida; University of Alabama at Birmingham; Directorate For Geosciences; Office of Polar Programs (OPP) [1341339, 1341333] Funding Source: National Science Foundation</t>
  </si>
  <si>
    <t>National Science Foundation from the Antarctic Organisms and Ecosystems program(National Science Foundation (NSF)NSF - Directorate for Geosciences (GEO)); National Institutes of Health grants(United States Department of Health &amp; Human ServicesNational Institutes of Health (NIH) - USA); Center of Excellence award from the State of Florida; University of Alabama at Birmingham; Directorate For Geosciences; Office of Polar Programs (OPP)(National Science Foundation (NSF)NSF - Directorate for Geosciences (GEO))</t>
  </si>
  <si>
    <t>This work was funded by the National Science Foundation awards ANT-0838773 and PLR-1341333 (to C.D.A., J.B.M.) and ANT-08328776 and PLR-1341339 (to B.J.B.) from the Antarctic Organisms and Ecosystems program, by the National Institutes of Health grants AI103715 (to L.N.S. and B.J.B.) and AI80626 (to L.N.S.), and by a Center of Excellence award from the State of Florida to support the Center for Drug Discovery and Innovation, whose facilities made much of the chemical analysis possible. J.B.M. acknowledges the support of an Endowed Professorship from the University of Alabama at Birmingham. We thank Ashley Souza from the Kyle lab at USF for the mammalian cytotoxicity data, the staff and technical support services of Antarctic Support Contract for logistical support in the field, and the USF X-ray crystallography facility and its director, Dr. Lukasz Wojtas.</t>
  </si>
  <si>
    <t>1523-7060</t>
  </si>
  <si>
    <t>1523-7052</t>
  </si>
  <si>
    <t>ORG LETT</t>
  </si>
  <si>
    <t>Org. Lett.</t>
  </si>
  <si>
    <t>JUN 3</t>
  </si>
  <si>
    <t>10.1021/acs.orglett.6b00979</t>
  </si>
  <si>
    <t>Chemistry, Organic</t>
  </si>
  <si>
    <t>DN8HE</t>
  </si>
  <si>
    <t>WOS:000377319000020</t>
  </si>
  <si>
    <t>Martin, MB; Bruce, NL; Nowak, BF</t>
  </si>
  <si>
    <t>Martin, Melissa B.; Bruce, Niel L.; Nowak, Barbara F.</t>
  </si>
  <si>
    <t>Review of the fish-parasitic genus Cymothoa Fabricius, 1793 (Crustacea: Isopoda: Cymothoidae) from Australia</t>
  </si>
  <si>
    <t>Cymothoidae; taxonomy; Cymothoa; fish buccal-attaching parasites; Australia</t>
  </si>
  <si>
    <t>INDICA CRUSTACEA; REDESCRIPTION; FLABELLIFERA; SCHIOEDTE; CHECKLIST; EVOLUTION; SMENISPA; MEINERT; RECORD; OCEAN</t>
  </si>
  <si>
    <t>The genus Cymothoa Fabricius, 1793 is revised for Australian waters. Cymothoa hermani Hadfield, Bruce &amp; Smit, 2011, previously known from Tanzania on the host Selar crumenophthalmus (Bloch, 1793) is new to Australian waters. Cymothoa carangi Avdeev, 1979; Cymothoa epimerica Avdeev, 1979; Cymothoa parupenei Avdeev, 1979; Cymothoa propria Avdeev, 1979; Cymothoa rotunda Avdeev, 1979 and Cymothoa pulchrum Lanchester, 1902 are redescribed. Cymothoa curta Schioedte &amp; Meinert, 1884, first described from the host Anableps anableps (Linnaeus, 1758); and Cymothoa plebeia Schioedte &amp; Meinert, 1884, first described from Cape Verde; are redescribed and excluded from the Australian fauna. Cymothoa limbata Schioedte &amp; Meinert, 1884 is placed into junior synonymy with Cymothoa eremita (Brunnich, 1783). A key to the Australian species of Cymothoa is presented.</t>
  </si>
  <si>
    <t>[Martin, Melissa B.; Nowak, Barbara F.] Univ Tasmania, Inst Marine &amp; Antarctic Studies, Launceston, Tas 7250, Australia; [Martin, Melissa B.; Bruce, Niel L.] Queensland Museum, Museum Trop Queensland, 70-102 Flinders St, Townsville, Qld 4810, Australia; [Martin, Melissa B.] Univ Malaysia Terengganu, Sch Marine &amp; Environm Sci, Kuala Terengganu 21030, Malaysia; [Bruce, Niel L.] James Cook Univ, Sch Marine &amp; Trop Biol, Townsville, Qld 4810, Australia; [Bruce, Niel L.] North West Univ, Water Res Grp Ecol, ZA-2520 Potchefstroom, South Africa</t>
  </si>
  <si>
    <t>University of Tasmania; Queensland Museum; Universiti Malaysia Terengganu; James Cook University; North West University - South Africa</t>
  </si>
  <si>
    <t>Martin, MB (corresponding author), Univ Tasmania, Inst Marine &amp; Antarctic Studies, Launceston, Tas 7250, Australia.;Martin, MB (corresponding author), Queensland Museum, Museum Trop Queensland, 70-102 Flinders St, Townsville, Qld 4810, Australia.;Martin, MB (corresponding author), Univ Malaysia Terengganu, Sch Marine &amp; Environm Sci, Kuala Terengganu 21030, Malaysia.</t>
  </si>
  <si>
    <t>Melissa.Martin@utas.edu.au; niel.bruce@qm.qld.gov.au; B.Nowak@utas.edu.au</t>
  </si>
  <si>
    <t>Martin, Melissa Beata/H-8941-2019; Nowak, Barbara/J-7261-2014</t>
  </si>
  <si>
    <t>Nowak, Barbara/0000-0002-0347-643X; MARTIN, MELISSA BEATA/0000-0003-2605-9898</t>
  </si>
  <si>
    <t>National Parks Board of Singapore (NParks); Tropical Marine Science Institute (TMSI); Zoological Reference Collection (ZRC) of the Lee Kong Chian Natural History Museum (LKCNHM), National University of Singapore; Shell Singapore; Asian Pacific Breweries; Hong Kong &amp; Shanghai Bank (Singapore); Australian museum; Public Service Department of the Malaysian Government</t>
  </si>
  <si>
    <t>We would like to thank curators and researchers from their respective museums and universities for access and/or information on of cymothoid material: Barbara Done and Dr Robyn Cumming (Museum of Tropical Queensland, Townsville); Dr Ben Diggles (DigsFish Services Pty Ltd, Queensland); Dr Stephen Keable (Australian Museum, Sydney); the late Dr Ian Whittington (South Australian Museum, Adelaide); Han Xiao (Leibniz Centre for Marine Tropical Ecology, Germany); Dr Marina Malyutina (Institute of Marine Biology, Vladivostok, Russia) for hand-carrying Avdeev's particularly important type material; Helen Wong Pei San (National University of Singapore, Tropical Marine Science Institute); Dr Richard Preece (University Museum of Zoology, Cambridge); Dr Oliver Coleman (Zoological Museum, Museum fur Naturkunde, Berlin); and Dr Jorgen Olesen (Zoological Museum of Copenhagen, Denmark). Special thanks for images go out to Dr Peter Dworschak (Natural History Museum, Vienna); Ase Ingvild Wilhelmsen and Karsten Sund (Natural History Museum, University of Oslo) for type specimens; and Prof. Dr. Micheal Tuerkay, Dr Moritz Sonnewald and Sven Trankner (Senckenberg Research Institute, Department of Marine Zoology, Crustacean Section) for non-type specimens. Cymothoa pulchrumspecimens were collected during the Comprehensive Marine Biodiversity Survey of Singapore, a project organized and primarily supported by the National Parks Board of Singapore (NParks), together with the Tropical Marine Science Institute (TMSI) and the Zoological Reference Collection (ZRC) of the Lee Kong Chian Natural History Museum (LKCNHM), National University of Singapore. The survey is co-sponsored by Shell Singapore, Asian Pacific Breweries and the Hong Kong &amp; Shanghai Bank (Singapore). We thank Dr Kerry Hadfield from the North-West University South Africa, who has generously shared her preliminary cladistics results; description of the type material and helped resolved a number of the complex synonymies for Cymothoa. Gratitude is also extended to The Museum of Tropical Queensland-Queensland Museum for provision of facilities during MBM's internship. MBM acknowledges the travel cost and proof reading services of University of Tasmania; the Australian museum for the Geddes Postgraduate Award and the Public Service Department of the Malaysian Government for a postgraduate scholarship.</t>
  </si>
  <si>
    <t>10.11646/zootaxa.4119.1.1</t>
  </si>
  <si>
    <t>DN2GD</t>
  </si>
  <si>
    <t>WOS:000376881200001</t>
  </si>
  <si>
    <t>Fuentes, V; Alurralde, G; Meyer, B; Aguirre, GE; Canepa, A; Wölfl, AC; Hass, HC; Williams, GN; Schloss, IR</t>
  </si>
  <si>
    <t>Fuentes, Veronica; Alurralde, Gaston; Meyer, Bettina; Aguirre, Gaston E.; Canepa, Antonio; Woelfl, Anne-Cathrin; Hass, H. Christian; Williams, Gabriela N.; Schloss, Irene R.</t>
  </si>
  <si>
    <t>Glacial melting: an overlooked threat to Antarctic krill</t>
  </si>
  <si>
    <t>KING GEORGE ISLAND; SOUTH SHETLAND ISLANDS; EUPHAUSIA-SUPERBA; POTTER COVE; MASS MORTALITY; ZOOPLANKTON; MATTER; GROWTH; WEST; MACROZOOPLANKTON</t>
  </si>
  <si>
    <t>Strandings of marine animals are relatively common in marine systems. However, the underlying mechanisms are poorly understood. We observed mass strandings of krill in Antarctica that appeared to be linked to the presence of glacial meltwater. Climate-induced glacial meltwater leads to an increased occurrence of suspended particles in the sea, which is known to affect the physiology of aquatic organisms. Here, we study the effect of suspended inorganic particles on krill in relation to krill mortality events observed in Potter Cove, Antarctica, between 2003 and 2012. The experimental results showed that large quantities of lithogenic particles affected krill feeding, absorption capacity and performance after only 24 h of exposure. Negative effects were related to both the threshold concentrations and the size of the suspended particles. Analysis of the stomach contents of stranded krill showed large quantities of large particles ( &gt;10(6) mu m(3)), which were most likely mobilized by glacial meltwater. Ongoing climate-induced glacial melting may impact the coastal ecosystems of Antarctica that rely on krill.</t>
  </si>
  <si>
    <t>[Fuentes, Veronica] CSIC, Inst Ciencias Mar, Barcelona, Spain; [Alurralde, Gaston; Williams, Gabriela N.; Schloss, Irene R.] Consejo Nacl Invest Cient &amp; Tecn, RA-1033 Buenos Aires, DF, Argentina; [Alurralde, Gaston] Univ Nacl Cordoba, CONICET, IDEA, RA-5000 Cordoba, Argentina; [Alurralde, Gaston] Univ Nacl Cordoba, Fac Ciencias Exactas Fis &amp; Nat, RA-5000 Cordoba, Argentina; [Meyer, Bettina; Aguirre, Gaston E.] Helmholtz Ctr Polar &amp; Marine Res, Alfred Wegener Inst, Bremerhaven, Germany; [Meyer, Bettina] Carl von Ossietzky Univ Oldenburg, Inst Chem &amp; Biol Marine Environm, Oldenburg, Germany; [Canepa, Antonio] Pontificia Univ Catolica Valparaiso, Sch Marine Sci, Valparaiso, Chile; [Canepa, Antonio; Woelfl, Anne-Cathrin] Helmholtz Ctr Polar &amp; Marine Res, Wadden Sea Res Stn, Alfred Wegener Inst, List Auf Sylt, Germany; [Williams, Gabriela N.] Ctr El Estudio Sistemas Marinos, Puerto Madryn, Chubut, Argentina; [Schloss, Irene R.] Inst Antart Argentino, Buenos Aires, DF, Argentina; [Schloss, Irene R.] Inst Sci Rimouski, Rimouski, PQ, Canada</t>
  </si>
  <si>
    <t>Consejo Superior de Investigaciones Cientificas (CSIC); CSIC - Centro Mediterraneo de Investigaciones Marinas y Ambientales (CMIMA); CSIC - Instituto de Ciencias del Mar (ICM); Consejo Nacional de Investigaciones Cientificas y Tecnicas (CONICET); National University of Cordoba; Consejo Nacional de Investigaciones Cientificas y Tecnicas (CONICET); National University of Cordoba; Helmholtz Association; Alfred Wegener Institute, Helmholtz Centre for Polar &amp; Marine Research; Carl von Ossietzky Universitat Oldenburg; Pontificia Universidad Catolica de Valparaiso; Helmholtz Association; Alfred Wegener Institute, Helmholtz Centre for Polar &amp; Marine Research; Instituto Antartico Argentino</t>
  </si>
  <si>
    <t>Schloss, IR (corresponding author), Consejo Nacl Invest Cient &amp; Tecn, RA-1033 Buenos Aires, DF, Argentina.;Schloss, IR (corresponding author), Inst Antart Argentino, Buenos Aires, DF, Argentina.;Schloss, IR (corresponding author), Inst Sci Rimouski, Rimouski, PQ, Canada.</t>
  </si>
  <si>
    <t>ischloss@dna.gov.ar</t>
  </si>
  <si>
    <t>Hass, H. Christian/O-7229-2017; Schloss, Irene R./U-5411-2018; Meyer, Bettina/ABB-5311-2020; Alurralde, Gastón/IVV-4732-2023; Canepa-Oneto, Antonio/R-5260-2018</t>
  </si>
  <si>
    <t>Hass, H. Christian/0000-0003-2649-6828; Schloss, Irene R./0000-0002-5917-8925; Meyer, Bettina/0000-0001-6804-9896; Alurralde, Gastón/0000-0002-0332-3978; Canepa-Oneto, Antonio/0000-0002-0608-2743</t>
  </si>
  <si>
    <t>PICT-Raices [2011-1320]; Total Foundation; European Commision [319718]; German Academic Exchange Service; Argentine Ministry of Education; ECLIPSE Project - Total Foundation; IMCONet</t>
  </si>
  <si>
    <t>PICT-Raices; Total Foundation(Total SA); European Commision; German Academic Exchange Service(Deutscher Akademischer Austausch Dienst (DAAD)); Argentine Ministry of Education; ECLIPSE Project - Total Foundation; IMCONet</t>
  </si>
  <si>
    <t>This project benefited from the financial support of PICT-Raices 2011-1320 to IS, the Total Foundation (ECLIPSE Project). It has been additionally supported by the European Commision under the 7th Framework Programme through the Action - IMCONet (FP7 IRSES, action no. 319718). It is a contribution to the Coastal Ecology Monitoring programme of Instituto Antartico Argentino/Direccion Nacional del Antartico in Carlini Station and the research program PACES II (topic 1, workpackage 5) of the Alfred Wegener Institute. We are very thankful to the logistic support and the overwintering personnel in Carlini Station and to G. Ferreyra and G. Winkler (ISMER), K. Schmidt (BAS), E.-M. Nothig and D. Abele (AWI), G. B. Esnal (University Buenos Aires, Argentina), J. Movilla and A. Olariaga (CSIC-ICM). G.E.A. was financed by the German Academic Exchange Service and the Argentine Ministry of Education. G. Alurralde was financed by the ECLIPSE Project (supported by the Total Foundation) and by IMCONet.</t>
  </si>
  <si>
    <t>JUN 2</t>
  </si>
  <si>
    <t>10.1038/srep27234</t>
  </si>
  <si>
    <t>DN1XV</t>
  </si>
  <si>
    <t>WOS:000376859600001</t>
  </si>
  <si>
    <t>Lin, WH; Chen, LQ; Zeng, S; Li, T; Wang, YH; Yu, KF</t>
  </si>
  <si>
    <t>Lin, Wuhui; Chen, Liqi; Zeng, Shi; Li, Tao; Wang, Yinghui; Yu, Kefu</t>
  </si>
  <si>
    <t>Residual β activity of particulate 234Th as a novel proxy for tracking sediment resuspension in the ocean</t>
  </si>
  <si>
    <t>SMALL-VOLUME TECHNIQUE; CARBON EXPORT FLUXES; ORGANIC-CARBON; CHUKCHI SEA; WATER COLUMN; PARTICLE EXPORT; CANADA BASIN; UPTAKE RATES; DYNAMICS; MATTER</t>
  </si>
  <si>
    <t>Sediment resuspension occurs in the global ocean, which greatly affects material exchange between the sediment and the overlying seawater. The behaviours of carbon, nutrients, heavy metals, and other pollutants at the sediment-seawater boundary will further link to climate change, eutrophication, and marine pollution. Residual beta activity of particulate Th-234 (RA(P234)) is used as a novel proxy to track sediment resuspension in different marine environments, including the western Arctic Ocean, the South China Sea, and the Southern Ocean. Sediment resuspension identified by high activity of RA(P234) is supported by different lines of evidence including seawater turbidity, residence time of total Th-234, Goldschmidt's classification, and ratio of RA(P234) to particulate organic carbon. A conceptual model is proposed to elucidate the mechanism for RA(P234) with dominant contributions from Th-234-U-238 and Bi-212-Th-228. The 'slope assumption' for RA(P234) indicated increasing intensity of sediment resuspension from spring to autumn under the influence of the East Asian monsoon system. RA(P234) can shed new light on Th-234-based particle dynamics and should benefit the interpretation of historical Th-234-U-238 database. RA(P234) resembles lithophile elements and has broad implications for investigating particle dynamics in the estuary-shelf-slope-ocean continuum and linkage of the atmosphere-ocean-sediment system.</t>
  </si>
  <si>
    <t>[Lin, Wuhui; Wang, Yinghui; Yu, Kefu] Guangxi Univ, Sch Marine Sci, Nanning 530004, Peoples R China; [Chen, Liqi] State Ocean Adm, Inst Oceanog 3, Key Lab Global Change &amp; Marine Atmospher Chem, Xiamen, Peoples R China; [Zeng, Shi] Tsinghua Univ, Dept Engn Phys, Beijing 100084, Peoples R China; [Li, Tao] Ocean Univ China, Qingdao, Peoples R China</t>
  </si>
  <si>
    <t>Guangxi University; Third Institute of Oceanography, Ministry of Natural Resources; Tsinghua University; Ocean University of China</t>
  </si>
  <si>
    <t>Lin, WH (corresponding author), Guangxi Univ, Sch Marine Sci, Nanning 530004, Peoples R China.;Chen, LQ (corresponding author), State Ocean Adm, Inst Oceanog 3, Key Lab Global Change &amp; Marine Atmospher Chem, Xiamen, Peoples R China.</t>
  </si>
  <si>
    <t>linwuhui8@163.com; chenliqi@tio.org.cn</t>
  </si>
  <si>
    <t>LIU, JIALIN/JXN-8034-2024</t>
  </si>
  <si>
    <t>Strategy Foundation for Polar Research of China [20120316]; National Science and Technology Project of China [2012FY130200]; Chinese Projects for Investigations and Assessments of the Arctic and Antarctic (CHINARE2012-15) [01-04-02, 02-01, 03-02, 03-04-02]; Chinese International Cooperation Projects [S2015GR1195, 2015DFG22010, IC201513]</t>
  </si>
  <si>
    <t>Strategy Foundation for Polar Research of China; National Science and Technology Project of China; Chinese Projects for Investigations and Assessments of the Arctic and Antarctic (CHINARE2012-15); Chinese International Cooperation Projects</t>
  </si>
  <si>
    <t>We are grateful to Xinming Liu for help with drawing the figures. Yuan Shen, Hongyang Lin, Fangfang Deng, and Yanpei Zhuang are appreciated for their constructive comments. We thank Pinghe Cai for his comments and providing data in the South China Sea, and the captain and crew members of R/V Xuelong for their assistance during sample collection. We gratefully acknowledge the editor and two anonymous reviewers for their useful comments. This work was supported by the Strategy Foundation for Polar Research of China (20120316), the National Science and Technology Project of China (2012FY130200), the Chinese Projects for Investigations and Assessments of the Arctic and Antarctic (CHINARE2012-15 for 01-04-02, 02-01, 03-02 and 03-04-02), and the Chinese International Cooperation Projects (S2015GR1195, 2015DFG22010, IC201513). All of the data used in this paper are provided in Appendix Tables A1-A3.</t>
  </si>
  <si>
    <t>10.1038/srep27069</t>
  </si>
  <si>
    <t>DN1UN</t>
  </si>
  <si>
    <t>WOS:000376851000001</t>
  </si>
  <si>
    <t>Botero-Delgadillo, E; Vásquez, RA</t>
  </si>
  <si>
    <t>Botero-Delgadillo, Esteban; Vasquez, Rodrigo A.</t>
  </si>
  <si>
    <t>Extreme use of feathers for nest construction by the Chilean Swallow (Tachycineta leucopyga) in the sub-Antarctic forests of southern Chile</t>
  </si>
  <si>
    <t>REVISTA BRASILEIRA DE ORNITOLOGIA</t>
  </si>
  <si>
    <t>breeding ecology; Isla Navarino; nest construction; nest insulation</t>
  </si>
  <si>
    <t>REPRODUCTIVE-PERFORMANCE; INSULATION; BEHAVIOR; BIOLOGY</t>
  </si>
  <si>
    <t>Nesting birds commonly incorporate feathers into nest linings given their insulation properties. Although use of feathers is common among swallows, here we provide the first recording of nests built almost completely with feathers (57-60% of total nests mass), by the Chilean Swallow (Tachycineta leucopyga) in southern Chile. Low temperatures or a high availability of feathers near the nesting sites could have elicited this response in the breeding birds, but further observations are needed to determine the frequency of the extreme use of feathers in this species, and the proximate causes promoting such behavior.</t>
  </si>
  <si>
    <t>[Botero-Delgadillo, Esteban; Vasquez, Rodrigo A.] Univ Chile, Fac Ciencias, Dept Ciencias Ecol, Inst Ecol &amp; Biodiversidad, Las Palmeras 3425, Santiago, Chile</t>
  </si>
  <si>
    <t>Universidad de Chile</t>
  </si>
  <si>
    <t>Botero-Delgadillo, E (corresponding author), Univ Chile, Fac Ciencias, Dept Ciencias Ecol, Inst Ecol &amp; Biodiversidad, Las Palmeras 3425, Santiago, Chile.</t>
  </si>
  <si>
    <t>esteban.botero@ug.uchile.cl</t>
  </si>
  <si>
    <t>Botero-Delgadillo, Esteban/AAC-7069-2020</t>
  </si>
  <si>
    <t>Botero-Delgadillo, Esteban/0000-0003-4653-7551; Vasquez, Rodrigo A/0000-0003-4309-6789</t>
  </si>
  <si>
    <t>Institute of Ecology and Biodiversity (IEB); FONDECYT [1100359, 1140548, ICM-P05-002, PFB-23 CONICYT-Chile]; CONICYT-Chile [ICM-P05-002, 63130100]; COLFUTURO' scholarship</t>
  </si>
  <si>
    <t>Institute of Ecology and Biodiversity (IEB); FONDECYT(Comision Nacional de Investigacion Cientifica y Tecnologica (CONICYT)CONICYT FONDECYT); CONICYT-Chile(Comision Nacional de Investigacion Cientifica y Tecnologica (CONICYT)); COLFUTURO' scholarship</t>
  </si>
  <si>
    <t>This work is part of research activities at the Omora Ethnobotanical Park, a member of the Chilean Network of Long-Term Socio-Ecological Study Sites, financed by the Institute of Ecology and Biodiversity (IEB). Funding was provided by grants from FONDECYT No. 1100359, and 1140548, grant ICM-P05-002, and PFB-23 CONICYT-Chile to RAV; graduate fellowships CONICYT-Chile 63130100 and ICM-P05-002, and a COLFUTURO' scholarship-loan PCB-2012 to EB-D. Research was conducted under permits 5193 and 6295 issued by the Servicio Agricola y Ganadero de Chile (SAG), with the supervision of the Ethics Committee of the Sciences Faculty, Universidad de Chile. Comments from Benjamin Freeman helped to improve earlier versions of the manuscript.</t>
  </si>
  <si>
    <t>SOC BRASILEIRA ORNITOLOGIA</t>
  </si>
  <si>
    <t>VICOSA</t>
  </si>
  <si>
    <t>C/O ROMULO RIBON, MUSEU ZOOLOGIA JOAO MOOJEN, LADEIRA DOS OPERARIOS 54-204, VICOSA, MG 36570-000, BRAZIL</t>
  </si>
  <si>
    <t>0103-5657</t>
  </si>
  <si>
    <t>REV BRAS ORNITOL</t>
  </si>
  <si>
    <t>Rev. Bras. Ornitol.</t>
  </si>
  <si>
    <t>JUN</t>
  </si>
  <si>
    <t>EE9MT</t>
  </si>
  <si>
    <t>WOS:000389951500004</t>
  </si>
  <si>
    <t>Pessi, IS; Maalouf, PD; Laughinghouse, HD; Baurain, D; Wilmotte, A</t>
  </si>
  <si>
    <t>Pessi, Igor Stelmach; Maalouf, Pedro De Carvalho; Laughinghouse, Haywood Dail; Baurain, Denis; Wilmotte, Annick</t>
  </si>
  <si>
    <t>ON THE USE OF HIGH-THROUGHPUT SEQUENCING FOR THE STUDY OF CYANOBACTERIAL DIVERSITY IN ANTARCTIC AQUATIC MATS</t>
  </si>
  <si>
    <t>JOURNAL OF PHYCOLOGY</t>
  </si>
  <si>
    <t>16S rRNA gene; 454 pyrosequencing; Antarctica; biodiversity; bioinformatics; cyanobacteria; high-throughput sequencing; lacustrine environments</t>
  </si>
  <si>
    <t>RIBOSOMAL-RNA GENES; PCR CYCLE NUMBER; MICROBIAL DIVERSITY; TRANSANTARCTIC MOUNTAINS; MELTWATER PONDS; AMPLIFICATION; COMMUNITIES; PRIMERS; BIAS; LIMNOLOGY</t>
  </si>
  <si>
    <t>The study of Antarctic cyanobacterial diversity has been mostly limited to morphological identification and traditional molecular techniques. High-throughput sequencing (HTS) allows a much better understanding of microbial distribution in the environment, but its application is hampered by several methodological and analytical challenges. In this work, we explored the use of HTS as a tool for the study of cyanobacterial diversity in Antarctic aquatic mats. Our results highlight the importance of using artificial communities to validate the parameters of the bioinformatics procedure used to analyze natural communities, since pipeline-dependent biases had a strong effect on the observed community structures. Analysis of microbial mats from five Antarctic lakes and an aquatic biofilm from the Sub-Antarctic showed that HTS is a valuable tool for the assessment of cyanobacterial diversity. The majority of the operational taxonomic units retrieved were related to filamentous taxa such as Leptolyngbya and Phormidium, which are common genera in Antarctic lacustrine microbial mats. However, other phylotypes related to different taxa such as Geitlerinema, Pseudanabaena, Synechococcus, Chamaesiphon, Calothrix, and Coleodesmium were also found. Results revealed a much higher diversity than what had been reported using traditional methods and also highlighted remarkable differences between the cyanobacterial communities of the studied lakes. The aquatic biofilm from the Sub-Antarctic had a distinct cyanobacterial community from the Antarctic lakes, which in turn displayed a salinity-dependent community structure at the phylotype level.</t>
  </si>
  <si>
    <t>[Pessi, Igor Stelmach; Maalouf, Pedro De Carvalho; Laughinghouse, Haywood Dail; Wilmotte, Annick] Univ Liege, Ctr Prot Engn, Allee Six Aout 13,B6a, B-4000 Liege, Belgium; [Baurain, Denis] Univ Liege, Eukaryot Phylogen, Dept Life Sci PhytoSYST, Chemin Vallee 4,B22,Quartier Vallee 1, B-4000 Liege, Belgium</t>
  </si>
  <si>
    <t>University of Liege; University of Liege</t>
  </si>
  <si>
    <t>Wilmotte, A (corresponding author), Univ Liege, Ctr Prot Engn, Allee Six Aout 13,B6a, B-4000 Liege, Belgium.</t>
  </si>
  <si>
    <t>Wilmotte, Annick/H-1686-2011; Baurain, Denis/S-4048-2019; Laughinghouse, Haywood Dail/M-5836-2016</t>
  </si>
  <si>
    <t>Baurain, Denis/0000-0003-2388-6185; Laughinghouse, Haywood Dail/0000-0003-1018-6948; Wilmotte, Annick/0000-0003-3546-3489; Pessi, Igor/0000-0001-5926-7496</t>
  </si>
  <si>
    <t>BELSPO project CCAMBIO [SD/BA/03A]; BELSPO project BELDIVA [EA/00/05]; BELSPO project AMBIO [SD/BA/01A]; FRFC project [2.4570.09]; FRS-FNRS [CR.CH.10-11-1.5139.11]</t>
  </si>
  <si>
    <t>BELSPO project CCAMBIO; BELSPO project BELDIVA; BELSPO project AMBIO; FRFC project(Fonds de la Recherche Scientifique - FNRS); FRS-FNRS(Fonds de la Recherche Scientifique - FNRS)</t>
  </si>
  <si>
    <t>This work was supported by the BELSPO projects CCAMBIO (SD/BA/03A), BELDIVA (EA/00/05), and AMBIO (SD/BA/01A), the FRFC project 2.4570.09, and the FRS-FNRS credit CR.CH.10-11-1.5139.11. IS Pessi had a PhD FRIA fellowship from the FRS-FNRS. HD Laughinghouse IV had a mobility postdoctoral fellowship from the FRS-FNRS. A Wilmotte is a research associate of the FRS-FNRS. The authors would like to thank CW Herbold, J Laybourn-Parry, D Velazquez, J Kleinteich, Y Lara, A. Murray, and L Cappelatti for valuable suggestions and discussion. Useful comments from an anonymous reviewer are also very much acknowledged. We are very grateful to Dr D Bergstrom and the Australian Antarctic Division for providing the sample from Macquarie Island, and to Dr D Hodgson, Prof J Laybourn-Parry and Paul Dyer for the remaining samples. This study is a contribution to the State of the Antarctic Ecosystem (AntEco) research program of the Scientific Committee on Antarctic Research (SCAR). The authors declare no conflict of interest.</t>
  </si>
  <si>
    <t>0022-3646</t>
  </si>
  <si>
    <t>1529-8817</t>
  </si>
  <si>
    <t>J PHYCOL</t>
  </si>
  <si>
    <t>J. Phycol.</t>
  </si>
  <si>
    <t>10.1111/jpy.12399</t>
  </si>
  <si>
    <t>DW4CX</t>
  </si>
  <si>
    <t>WOS:000383590800004</t>
  </si>
  <si>
    <t>Thorne, LH; Conners, MG; Hazen, EL; Bograd, SJ; Antolos, M; Costa, DP; Shaffer, SA</t>
  </si>
  <si>
    <t>Thorne, L. H.; Conners, M. G.; Hazen, E. L.; Bograd, S. J.; Antolos, M.; Costa, D. P.; Shaffer, S. A.</t>
  </si>
  <si>
    <t>Effects of El Nino-driven changes in wind patterns on North Pacific albatrosses</t>
  </si>
  <si>
    <t>El Nino-Southern Oscillation; wind; seabird; movement; central place forager; albatross</t>
  </si>
  <si>
    <t>ANTARCTIC CIRCUMPOLAR CURRENT; GENERALIZED ADDITIVE-MODELS; LEATHERBACK SEA-TURTLES; LONG-LIVED SEABIRD; CLIMATE-CHANGE; OCEAN CURRENTS; BODY CONDITION; WANDERING ALBATROSSES; SOUTHERN-OSCILLATION; SATELLITE TRACKING</t>
  </si>
  <si>
    <t>Changes to patterns of wind and ocean currents are tightly linked to climate change and have important implications for cost of travel and energy budgets in marine vertebrates. We evaluated how El Nino-Southern Oscillation (ENSO)-driven wind patterns affected breeding Laysan and black-footed albatross across a decade of study. Owing to latitudinal variation in wind patterns, wind speed differed between habitat used during incubation and brooding; during La Nina conditions, wind speeds were lower in incubating Laysan (though not black-footed) albatross habitat, but higher in habitats used by brooding albatrosses. Incubating Laysan albatrosses benefited from increased wind speeds during El Nino conditions, showing increased travel speeds and mass gained during foraging trips. However, brooding albatrosses did not benefit from stronger winds during La Nina conditions, instead experiencing stronger cumulative headwinds and a smaller proportion of trips in tailwinds. Increased travel costs during brooding may contribute to the lower reproductive success observed in La Nina conditions. Furthermore, benefits of stronger winds in incubating habitat may explain the higher reproductive success of Laysan albatross during El Nino conditions. Our findings highlight the importance of considering habitat accessibility and cost of travel when evaluating the impacts of climate-driven habitat change on marine predators.</t>
  </si>
  <si>
    <t>[Thorne, L. H.] SUNY Stony Brook, Sch Marine &amp; Atmospher Sci, Stony Brook, NY 11790 USA; [Conners, M. G.] Univ Calif Santa Cruz, Ocean Sci Dept, 100 Shaffer Rd, Santa Cruz, CA 95060 USA; [Hazen, E. L.; Antolos, M.; Costa, D. P.] Univ Calif Santa Cruz, Dept Ecol &amp; Evolutionary Biol, 100 Shaffer Rd, Santa Cruz, CA 95060 USA; [Bograd, S. J.; Shaffer, S. A.] Univ Calif Santa Cruz, Inst Marine Sci, 100 Shaffer Rd, Santa Cruz, CA 95060 USA; [Conners, M. G.] Chicago Zool Soc, Ctr Sci Anim Care &amp; Welf, 3300 Golf Rd, Chicago, IL 60513 USA; [Hazen, E. L.; Bograd, S. J.] NOAA Fisheries, Div Environm Res, Southwest Fisheries Sci Ctr, 99 Pacific St,Suite 255A, Monterey, CA 93940 USA; [Antolos, M.] Oregon State Univ, Dept Fisheries &amp; Wildlife, 104 Nash Hall, Corvallis, OR 97331 USA; [Shaffer, S. A.] San Jose State Univ, Dept Biol Sci, One Washington Sq, San Jose, CA 95192 USA</t>
  </si>
  <si>
    <t>State University of New York (SUNY) System; State University of New York (SUNY) Stony Brook; University of California System; University of California Santa Cruz; University of California System; University of California Santa Cruz; University of California System; University of California Santa Cruz; National Oceanic Atmospheric Admin (NOAA) - USA; Oregon State University; California State University System; San Jose State University</t>
  </si>
  <si>
    <t>Thorne, LH (corresponding author), SUNY Stony Brook, Sch Marine &amp; Atmospher Sci, Stony Brook, NY 11790 USA.</t>
  </si>
  <si>
    <t>lesley.thorne@stonybrook.edu</t>
  </si>
  <si>
    <t>Hazen, Elliott/G-4149-2014; Bograd, Steven/AAA-4824-2021; Costa, Daniel Paul/E-2616-2013; Shaffer, Scott/D-5015-2009</t>
  </si>
  <si>
    <t>Hazen, Elliott/0000-0002-0412-7178; Costa, Daniel Paul/0000-0002-0233-5782; Conners, Melinda/0000-0003-0572-0026; Thorne, Lesley/0000-0002-6297-0091; Shaffer, Scott/0000-0002-7751-5059</t>
  </si>
  <si>
    <t>Moore Foundation; Packard Endowment Grant; National Ocean Partnership Program [N00014-02-1-1012]; Office of Naval Research [N00014-00-1-0880, N00014-03-1-0651]</t>
  </si>
  <si>
    <t>Moore Foundation(Gordon and Betty Moore Foundation); Packard Endowment Grant; National Ocean Partnership Program; Office of Naval Research(Office of Naval Research)</t>
  </si>
  <si>
    <t>This research was part of the Tagging of Pacific Pelagics (TOPP) program, supported by the Moore Foundation, Packard Endowment Grant to UCSC, the National Ocean Partnership Program (N00014-02-1-1012), the Office of Naval Research (N00014-00-1-0880 and N00014-03-1-0651). The Pacific Islands Climate Change Cooperative (PICCC) provided additional support for data analysis and synthesis (12170-B-G104 to S.A. Shaffer and E.L. Hazen).</t>
  </si>
  <si>
    <t>JUN 1</t>
  </si>
  <si>
    <t>10.1098/rsif.2016.0196</t>
  </si>
  <si>
    <t>EA6FP</t>
  </si>
  <si>
    <t>WOS:000386722200009</t>
  </si>
  <si>
    <t>Kawasaki, T; Motoyoshi, Y</t>
  </si>
  <si>
    <t>Kawasaki, Toshisuke; Motoyoshi, Yoichi</t>
  </si>
  <si>
    <t>Ti-in-garnet thermometer for ultrahigh-temperature granulites</t>
  </si>
  <si>
    <t>JOURNAL OF MINERALOGICAL AND PETROLOGICAL SCIENCES</t>
  </si>
  <si>
    <t>Ti-in-garnet thermometer; Ultrahigh-temperature granulites; Ti reversible arrow Si substitution; Napier Complex; Lutzow-Holm Complex</t>
  </si>
  <si>
    <t>LUTZOW-HOLM COMPLEX; ARCHEAN NAPIER COMPLEX; CRYSTAL-CHEMISTRY; BEARING GRANULITES; ENDERBY-LAND; TITANIUM SOLUBILITY; SILLIMANITE GNEISS; EAST ANTARCTICA; SOLID-SOLUTION; TONAGH ISLAND</t>
  </si>
  <si>
    <t>We propose a Ti-in-garnet thermometer for ultrahigh-temperature granulites calibrated from experimentally reversed data of the TiO2 solubility in garnet coexisting with orthopyroxene, rutile and quartz at pressures 7-23 kbar and temperatures 850-1300 degrees C. We confirm that the combined substitution (TiAlIV)-Al-VI reversible arrow (AlSiIV)-Si-VI, quasi-chemically equivalent to Ti reversible arrow Si, is predominant rather than the coupled substitution (MTiVI)-Ti-VI reversible arrow (AlAlVI)-Al-VI (M: Ca, Mg, Fe). The chemical formula of Ca-and Ti-poor garnet under ultrahigh-temperature metamorphic conditions can be expressed as M3Al2Si3-xTixO12, which indicates that the relation N-Si + N-Ti = 3 is not an evidence of Ti-IV reversible arrow Si-IV. The TiO2 content of garnet increases with temperature and pressure, though the pressure dependence is small, as is given by the following equation: 17777 + 0.964T + 139.5P = T ln N-Ti(2) /NAlNSi , where N is the number of cation per formula unit based on a 12-oxygen atom normalisation. Temperature T and pressure P are given in Kelvin and kbar, respectively. The present thermometer is useful to estimate metamorphic conditions. This new thermometer is applied to natural garnet in geologically and petrologically well-characterised Antarctic ultrahigh-temperature granulites. The resultant pressure and temperature estimates are consistent with those reported from granulites of these areas.</t>
  </si>
  <si>
    <t>[Kawasaki, Toshisuke] Ehime Univ, Dept Earth Sci, Fac Sci, Bunkyo Cho 2-5, Matsuyama, Ehime 7908577, Japan; [Motoyoshi, Yoichi] Natl Inst Polar Res, Midori Cho 10-3, Tachikawa, Tokyo 1908518, Japan</t>
  </si>
  <si>
    <t>Ehime University; Research Organization of Information &amp; Systems (ROIS); National Institute of Polar Research (NIPR) - Japan</t>
  </si>
  <si>
    <t>Motoyoshi, Y (corresponding author), Natl Inst Polar Res, Midori Cho 10-3, Tachikawa, Tokyo 1908518, Japan.</t>
  </si>
  <si>
    <t>toshkawa@sci.ehime-u.ac.jp; motoyosi@nipr.ac.jp</t>
  </si>
  <si>
    <t>Ministry of Education, Science and Culture of the Japanese Government [20654052, 20340152, 25400516]; Grants-in-Aid for Scientific Research [15H03748, 20654052, 20340152, 25400516] Funding Source: KAKEN</t>
  </si>
  <si>
    <t>Ministry of Education, Science and Culture of the Japanese Government(Ministry of Education, Culture, Sports, Science and Technology, Japan (MEXT)); Grants-in-Aid for Scientific Research(Ministry of Education, Culture, Sports, Science and Technology, Japan (MEXT)Japan Society for the Promotion of ScienceGrants-in-Aid for Scientific Research (KAKENHI))</t>
  </si>
  <si>
    <t>Support by the Grant-in-Aid for Scientific Research from the Ministry of Education, Science and Culture of the Japanese Government nos. 20654052, 20340152, and 25400516 is gratefully acknowledged. We appreciate Simon Harley and an anonymous reviewer to improve this manuscript. Nobuhiko Nakano, a guest editor of Journal of Mineralogical and Petrological Sciences, gave us appropriate and effective suggestions to revise our paper. We often discussed about the high-temperature metamorphism and the anatexis of the lower crust with A. Kamei, S. Baba, M. Satish-Kumar, T. Hokada, T. Shimura, M. Owada, Y. Osanai, H. Ishizuka, Y. Hiroi, K. Shiraishi, and T. Itaya. We obtained the idea of the present study through discussions with them. S. Wallis and M. Enami gave us the positive criticism at their seminars. E.J. Essene gave us the constructive comments at the very early stage of this study.</t>
  </si>
  <si>
    <t>JAPAN ASSOC MINERALOGICAL SCIENCES</t>
  </si>
  <si>
    <t>SENDAI</t>
  </si>
  <si>
    <t>C/O GRAD SCH SCIENCES, TOHOKU UNIV, AOBA, SENDAI, 980-8578, JAPAN</t>
  </si>
  <si>
    <t>1345-6296</t>
  </si>
  <si>
    <t>1349-3825</t>
  </si>
  <si>
    <t>J MINER PETROL SCI</t>
  </si>
  <si>
    <t>J. Mineral. Petrol. Sci.</t>
  </si>
  <si>
    <t>10.2465/jmps.150709</t>
  </si>
  <si>
    <t>Mineralogy</t>
  </si>
  <si>
    <t>DY6VN</t>
  </si>
  <si>
    <t>WOS:000385267300007</t>
  </si>
  <si>
    <t>Baqué, M; Verseux, C; Böttger, U; Rabbow, E; de Vera, JPP; Billi, D</t>
  </si>
  <si>
    <t>Baque, Mickael; Verseux, Cyprien; Boettger, Ute; Rabbow, Elke; de Vera, Jean-Pierre Paul; Billi, Daniela</t>
  </si>
  <si>
    <t>Preservation of Biomarkers from Cyanobacteria Mixed with Mars Like Regolith Under Simulated Martian Atmosphere and UV Flux</t>
  </si>
  <si>
    <t>ORIGINS OF LIFE AND EVOLUTION OF BIOSPHERES</t>
  </si>
  <si>
    <t>14th European Astrobiology Conference (EANA)</t>
  </si>
  <si>
    <t>OCT 13-16, 2014</t>
  </si>
  <si>
    <t>Edinburgh, SCOTLAND</t>
  </si>
  <si>
    <t>Astrobiology; Cyanobacteria; Biosignatures; Martian regoliths; EXPOSE-R2</t>
  </si>
  <si>
    <t>RAMAN-SPECTROSCOPIC ANALYSIS; LOW-EARTH-ORBIT; IN-SITU; LIFE DETECTION; RADIATION-RESISTANCE; ANTARCTIC HABITATS; IONIZING-RADIATION; MICROBIAL LIFE; MOJAVE DESERT; EXOMARS</t>
  </si>
  <si>
    <t>The space mission EXPOSE-R2 launched on the 24th of July 2014 to the International Space Station is carrying the BIOMEX (BIOlogy and Mars EXperiment) experiment aimed at investigating the endurance of extremophiles and stability of biomolecules under space and Mars-like conditions. In order to prepare the analyses of the returned samples, ground-based simulations were carried out in Planetary and Space Simulation facilities. During the ground-based simulations, Chroococcidiopsis cells mixed with two Martian mineral analogues (phyllosilicatic and sulfatic Mars regolith simulants) were exposed to a Martian simulated atmosphere combined or not with UVirradiation corresponding to the dose received during a 1-year-exposure in low Earth orbit (or half a Martian year on Mars). Cell survival and preservation of potential biomarkers such as photosynthetic and photoprotective pigments or DNA were assessed by colony forming ability assays, confocal laser scanning microscopy, Raman spectroscopy and PCR-based assays. DNA and photoprotective pigments (carotenoids) were detectable after simulations of the space mission (570 MJ/m(2) of UV 200-400 nm irradiation and Martian simulated atmosphere), even though signals were attenuated by the treatment. The fluorescence signal from photosynthetic pigments was differently preserved after UV irradiation, depending on the thickness of the samples. UV irradiation caused a high background fluorescence of the Martian mineral analogues, as revealed by Raman spectroscopy. Further investigation will be needed to ensure unambiguous identification and operations of future Mars missions. However, a 3-month exposure to a Martian simulated atmosphere showed no significant damaging effect on the tested cyanobacterial biosignatures, pointing out the relevance of the latter for future investigations after the EXPOSE-R2 mission. Data gathered during the ground-based simulations will contribute to interpret results from space experiments and guide our search for life on Mars.</t>
  </si>
  <si>
    <t>[Baque, Mickael; Verseux, Cyprien; Billi, Daniela] Univ Roma Tor Vergata, Dept Biol, Rome, Italy; [Boettger, Ute; de Vera, Jean-Pierre Paul] German Aerosp Ctr DLR, Inst Planetary Res, Berlin, Germany; [Rabbow, Elke] German Aerosp Ctr DLR, Inst Aerosp Med, Radiat Biol Dept, Cologne, Germany; [Billi, Daniela] Univ Roma Tor Vergata, Dipartimento Biol, Rome, Italy</t>
  </si>
  <si>
    <t>University of Rome Tor Vergata; Helmholtz Association; German Aerospace Centre (DLR); Helmholtz Association; German Aerospace Centre (DLR); University of Rome Tor Vergata</t>
  </si>
  <si>
    <t>Billi, D (corresponding author), Univ Roma Tor Vergata, Dept Biol, Rome, Italy.;Billi, D (corresponding author), Univ Roma Tor Vergata, Dipartimento Biol, Rome, Italy.</t>
  </si>
  <si>
    <t>billi@uniroma2.it</t>
  </si>
  <si>
    <t>Verseux, Cyprien/HPM-2496-2023; Baqué, Mickael/AAC-8933-2019; Billi, Daniela/AAT-6690-2021</t>
  </si>
  <si>
    <t>Verseux, Cyprien/0000-0001-7288-8289; Baqué, Mickael/0000-0002-6696-6030; BILLI, DANIELA/0000-0002-9363-2415</t>
  </si>
  <si>
    <t>0169-6149</t>
  </si>
  <si>
    <t>1573-0875</t>
  </si>
  <si>
    <t>ORIGINS LIFE EVOL B</t>
  </si>
  <si>
    <t>Orig. Life Evol. Biosph.</t>
  </si>
  <si>
    <t>2-3</t>
  </si>
  <si>
    <t>10.1007/s11084-015-9467-9</t>
  </si>
  <si>
    <t>DY5ZD</t>
  </si>
  <si>
    <t>WOS:000385183300011</t>
  </si>
  <si>
    <t>Rosenfeld, S; Marambio, J; Aldea, C</t>
  </si>
  <si>
    <t>Rosenfeld, Sebastian; Marambio, Johanna; Aldea, Cristian</t>
  </si>
  <si>
    <t>First report of the collection of molluscs present in the Maggiorino Borgatello Museum (Punta Arenas, Chile)</t>
  </si>
  <si>
    <t>GAYANA</t>
  </si>
  <si>
    <t>Magellan Region; Mollusca; sub Antarctic; Museum</t>
  </si>
  <si>
    <t>SOUTHERN SOUTH-AMERICA; ADJACENT AREAS; GASTROPODA; MAGELLAN; MURICIDAE; BIVALVIA; REVISION; OCEAN; NACELLIDAE; PECTINIDAE</t>
  </si>
  <si>
    <t>The Chilean mollusc collection of the Maggiorino Borgatello Salesian Museum (Punta Arenas, Chile) was created around the year 1905 aiming to preserve mollusc local knowledge. Since then until mid-twentieth century many specimens had been incorporated into the collection, which were identified by local curators, but never underwent a comprehensive inventory and taxonomic identification. This report provides comprehensive information on the taxonomy and distribution of mollusc species currently present in the museum. We recorded 37 species of molluscs (26 gastropods and 11 bivalves), of which 19 are commercially important species. From the biogeographical standpoint, the collection represents about 4% of the registered molluscs for the Chilean territory and about 10% of that reported for the Magellan Region. At the species level, we highlight the presence of specimens of Photinula roseolineata, Calliostoma irisans and Buccinanops paytensis, which have very few records in the Magellanic Biogeographic Province. The maintenance and preservation of this mollusc collection has great local and regional relevance as a way of preserving cultural heritage of this southern part of the world.</t>
  </si>
  <si>
    <t>[Rosenfeld, Sebastian; Marambio, Johanna] Univ Magallanes, Lab Macroalgas Antarticas &amp; Subantarticas, Punta Arenas, Chile; [Rosenfeld, Sebastian; Marambio, Johanna] IEB, Santiago, Chile; [Aldea, Cristian] Univ Magallanes, Programa GAIA Antartica, Punta Arenas, Chile; [Aldea, Cristian] Univ Magallanes, Inst Patagonia, Lab Ecol &amp; Medio Ambiente, Punta Arenas, Chile</t>
  </si>
  <si>
    <t>Universidad de Magallanes; Universidad de Magallanes; Universidad de Magallanes</t>
  </si>
  <si>
    <t>Rosenfeld, S (corresponding author), Univ Magallanes, Lab Macroalgas Antarticas &amp; Subantarticas, Punta Arenas, Chile.;Rosenfeld, S (corresponding author), IEB, Santiago, Chile.</t>
  </si>
  <si>
    <t>rosenfeld.sebastian@yahoo.com</t>
  </si>
  <si>
    <t>Aldea, Cristian/J-5391-2013</t>
  </si>
  <si>
    <t>Aldea, Cristian/0000-0002-4473-6509; Rosenfeld, Sebastian/0000-0002-4363-8018</t>
  </si>
  <si>
    <t>EDICIONES UNIV, CONCEPCION</t>
  </si>
  <si>
    <t>CONCEPCION</t>
  </si>
  <si>
    <t>COMITE DE PUBLICACION, CASILLA 2407, CONCEPCION, 00000, CHILE</t>
  </si>
  <si>
    <t>0717-6538</t>
  </si>
  <si>
    <t>Gayana</t>
  </si>
  <si>
    <t>Oceanography; Zoology</t>
  </si>
  <si>
    <t>DW1ZR</t>
  </si>
  <si>
    <t>WOS:000383443200009</t>
  </si>
  <si>
    <t>Godoi, VA; Bryan, KR; Gorman, RM</t>
  </si>
  <si>
    <t>Godoi, Victor A.; Bryan, Karin R.; Gorman, Richard M.</t>
  </si>
  <si>
    <t>Regional influence of climate patterns on the wave climate of the southwestern Pacific: The New Zealand region</t>
  </si>
  <si>
    <t>INDIAN-OCEAN DIPOLE; SEA-LEVEL VARIABILITY; SOUTHERN-HEMISPHERE; INCREASED FREQUENCY; EL-NINO; OSCILLATION; HINDCAST; WIND; CIRCULATION; TRENDS</t>
  </si>
  <si>
    <t>This work investigates how the wave climate around New Zealand and the southwest Pacific is modulated by the Pacific Decadal Oscillation (PDO), El Nino-Southern Oscillation (ENSO), Indian Ocean Dipole (IOD), Zonal Wave-number-3 Pattern (ZW3), and Southern Annular Mode (SAM) during the period 1958-2001. Their respective climate indices were correlated with modeled mean wave parameters extracted from a 45 year (1957-2002) wave hindcast carried out with the WAVEWATCH III model using the wind and ice fields from the ERA-40 reanalysis project. The correlation was performed using the Pearson's correlation coefficient and the wavelet spectral analysis. Prior to that, mean annual and interannual variabilities and trends in significant wave height (H-s) were computed over 44 years (1958-2001). In general, higher annual and interannual variabilities were found along the coastline, in regions dominated by local winds. An increasing trend in H-s was found around the country, with values varying between 1 and 6 cm/decade at the shoreline. The greatest H-s trends were identified to the south of 48 degrees S, suggesting a relationship with the positive trend in the SAM. Seasonal to decadal time scales of the SAM strongly influenced wave parameters throughout the period analyzed. In addition, larger waves were observed during extreme ENSO and IOD events at interannual time scale, while they were more evident at seasonal and intraseasonal time scales in the correlations with the ZW3. Negative phases of the ZW3 and ENSO and positive phases of the IOD, PDO, and SAM resulted in larger waves around most parts of New Zealand.</t>
  </si>
  <si>
    <t>[Godoi, Victor A.; Bryan, Karin R.] Univ Waikato, Sch Sci, Hamilton, New Zealand; [Gorman, Richard M.] Natl Inst Water &amp; Atmospher Res Ltd, Hamilton, New Zealand</t>
  </si>
  <si>
    <t>University of Waikato; National Institute of Water &amp; Atmospheric Research (NIWA) - New Zealand</t>
  </si>
  <si>
    <t>Godoi, VA (corresponding author), Univ Waikato, Sch Sci, Hamilton, New Zealand.</t>
  </si>
  <si>
    <t>victorgodoirj@gmail.com</t>
  </si>
  <si>
    <t>Bryan, Karin/GPK-3460-2022; Godoi, Victor Azevedo/AAH-1242-2019; Bryan, Karin R/M-5311-2016</t>
  </si>
  <si>
    <t>Godoi, Victor Azevedo/0000-0001-7951-3017; Bryan, Karin R/0000-0002-4480-740X; Gorman, Richard/0000-0002-0383-150X</t>
  </si>
  <si>
    <t>Coordenacao de Aperfeicoamento de Pessoal de Nivel Superior (CAPES) [BEX9551/13-1]; New Zealand Ministry of Science and Innovation [C01X0806]; New Zealand Ministry of Business, Innovation &amp; Employment (MBIE) [C01X0806] Funding Source: New Zealand Ministry of Business, Innovation &amp; Employment (MBIE)</t>
  </si>
  <si>
    <t>Coordenacao de Aperfeicoamento de Pessoal de Nivel Superior (CAPES)(Coordenacao de Aperfeicoamento de Pessoal de Nivel Superior (CAPES)); New Zealand Ministry of Science and Innovation; New Zealand Ministry of Business, Innovation &amp; Employment (MBIE)(New Zealand Ministry of Business, Innovation and Employment (MBIE))</t>
  </si>
  <si>
    <t>The SOI, DMI, SAMI, PDO index, and ZW3 index data are available at the websites of the National Oceanic and Atmospheric Administration (http://www.cpc.ncep.noaa.gov/data/indices/soi), Japan Agency for Marine-Earth Science and Technology (http://www.jamstec.go.jp/frcgc/research/d1/iod/DATA/dmi_HadISST.txt), British Antarctic Survey (http://www.nerc-bas.ac.uk/icd/gjma/sam.html), Japan Meteorological Agency (http://www.data.jma.go.jp/gmd/kaiyou/data/db/climate/pdo/pdo.txt), and Raphael [2004], respectively. The ERA-40 and ETOPO1 data are available at http://apps.ecmwf.int/datasets/data/era40-daily/ and http://www.ngdc.noaa.gov/mgg/global/, respectively. The buoy and satellite data used for validation of the 45 year wave hindcast are available at http://www.ndbc.noaa.gov/ and http://globwave.ifremer.fr/. Finally, all other data used to produce the results published in this article are available upon request made to the first and third authors, victorgodoirj@gmail.com and richard.gorman@niwa.co.nz, respectively. This research has been funded by the Coordenacao de Aperfeicoamento de Pessoal de Nivel Superior (CAPES), grant BEX9551/13-1. The 45 year wave hindcast was conducted under the scope of the Wave and storm-surge projections (WASP) project, funded through the New Zealand Ministry of Science and Innovation, contract C01X0806. The authors are thankful to Marilyn Raphael for providing the ZW3 index data, and to the other data sources mentioned throughout the text, NOAA, ECMWF, JAMSTEC, BAS, and JMA. Finally, we would like to thank Alex Port for his valuable comments on the techniques used in this work, Felipe Marques for his feedback regarding the spectral analysis, the two reviewers for insightful comments, and the Python community for knowledge sharing on programming language.</t>
  </si>
  <si>
    <t>10.1002/2015JC011572</t>
  </si>
  <si>
    <t>DW2JD</t>
  </si>
  <si>
    <t>WOS:000383467800023</t>
  </si>
  <si>
    <t>Firing, YL; Chereskin, TK; Watts, DR; Mazloff, MR</t>
  </si>
  <si>
    <t>Firing, Yvonne L.; Chereskin, Teresa K.; Watts, D. Randolph; Mazloff, Matthew R.</t>
  </si>
  <si>
    <t>Bottom pressure torque and the vorticity balance from observations in Drake Passage</t>
  </si>
  <si>
    <t>ANTARCTIC CIRCUMPOLAR CURRENT; WIND STRESS MEASUREMENTS; SOUTHERN-OCEAN; GULF-STREAM; FORM STRESS; TRANSPORT; VARIABILITY; CIRCULATION; MESOSCALE; MODEL</t>
  </si>
  <si>
    <t>The vorticity balance of the Antarctic Circumpolar Current in Drake Passage is examined using 4 years of observations from current-and pressure-recording inverted echo sounders. The time-varying vorticity, planetary and relative vorticity advection, and bottom pressure torque are calculated in a two-dimensional array in the eddy-rich Polar Frontal Zone (PFZ). Bottom pressure torque is also estimated at sites across Drake Passage. Mean and eddy nonlinear relative vorticity advection terms dominate over linear advection in the local (50-km scale) vorticity budget in the PFZ, and are balanced to first order by the divergence of horizontal velocity. Most of this divergence comes from the ageostrophic gradient flow, which also provides a second-order adjustment to the geostrophic relative vorticity advection. Bottom pressure torque is approximately one-third the size of the local depth-integrated divergence. Although the cDrake velocity fields exhibit significant turning with depth throughout Drake Passage even in the mean, surface vorticity advection provides a reasonable representation of the depth-integrated vorticity balance. Observed near-bottom currents are strongly topographically steered, and bottom pressure torques grow large where strong near-bottom flows cross steep topography at small angles. Upslope flow over the northern continental slope dominates the bottom pressure torque in cDrake, and the mean across this Drake Passage transect, 3 to 4x10(-9) m s(-2), exceeds the mean wind stress curl by a factor of 15-20.</t>
  </si>
  <si>
    <t>[Firing, Yvonne L.; Chereskin, Teresa K.; Mazloff, Matthew R.] Univ Calif San Diego, Scripps Inst Oceanog, La Jolla, CA 92093 USA; [Firing, Yvonne L.] Natl Oceanog Ctr, Southampton, Hants, England; [Watts, D. Randolph] Univ Rhode Isl, Grad Sch Oceanog, Narragansett, RI 02882 USA</t>
  </si>
  <si>
    <t>University of California System; University of California San Diego; Scripps Institution of Oceanography; NERC National Oceanography Centre; University of Rhode Island</t>
  </si>
  <si>
    <t>Firing, YL (corresponding author), Univ Calif San Diego, Scripps Inst Oceanog, La Jolla, CA 92093 USA.;Firing, YL (corresponding author), Natl Oceanog Ctr, Southampton, Hants, England.</t>
  </si>
  <si>
    <t>yvonne.firing@noc.ac.uk</t>
  </si>
  <si>
    <t>Mazloff, Matthew/AAG-6463-2019</t>
  </si>
  <si>
    <t>Mazloff, Matthew/0000-0002-1650-5850; Firing, Yvonne/0000-0002-3640-3974; Chereskin, Teresa/0000-0003-1214-0978</t>
  </si>
  <si>
    <t>National Science Foundation Office of Polar Programs under NSF [ANT-0636493/1141922, ANT-0635437/1141802, ANT-0838750/1341431, ANT-0961218]; NASA Earth and Space Science Fellowship Program [NNX09AN87H]; NSF [OCE-1234473, PLR-1425989]; NSF-XSEDE (Extreme Science and Engineering Discovery Environment) [OCE130007]; NASA [NNX09AN87H, 113127] Funding Source: Federal RePORTER; Division Of Ocean Sciences; Directorate For Geosciences [1234473] Funding Source: National Science Foundation; Office of Polar Programs (OPP); Directorate For Geosciences [1341431, 1425989, 1141922] Funding Source: National Science Foundation</t>
  </si>
  <si>
    <t>National Science Foundation Office of Polar Programs under NSF(National Science Foundation (NSF)); NASA Earth and Space Science Fellowship Program(National Aeronautics &amp; Space Administration (NASA)); NSF(National Science Foundation (NSF)); NSF-XSEDE (Extreme Science and Engineering Discovery Environment); NASA(National Aeronautics &amp; Space Administration (NASA)); Division Of Ocean Sciences; Directorate For Geosciences(National Science Foundation (NSF)NSF - Directorate for Geosciences (GEO)); Office of Polar Programs (OPP); Directorate For Geosciences(National Science Foundation (NSF)NSF - Directorate for Geosciences (GEO))</t>
  </si>
  <si>
    <t>The National Science Foundation Office of Polar Programs supported this work under NSF grants ANT-0636493/1141922 (SIO cDrake), ANT-0635437/1141802 (URI cDrake), ANT-0838750/1341431 (LMG ADCP program), and ANT-0961218 (SOSE). Y. Firing received support from the NASA Earth and Space Science Fellowship Program under grant NNX09AN87H. M. Mazloff acknowledges the NSF for support of this research through grants OCE-1234473 and PLR-1425989. SOSE was produced with support from NSF-XSEDE (Extreme Science and Engineering Discovery Environment) grant OCE130007. We thank K. Donohue and K. Tracey for their roles in the cDrake project, making the data used in this manuscript possible, and for many helpful discussions on the topics of this manuscript. We are grateful to G. Chaplin, S. Escher, D. Holloway, E. Sousa, E. Firing, J. Hummon, the captains and crew of the RVIB Nathaniel B. Palmer, the captains and crew of the ARSV Laurence M. Gould, and Raytheon Polar Services for technical and logistical support during the cruises. Data used in this work are listed in the text and references; cDrake data are available from the National Oceanographic Data Center (NODC, http://accession.nodc.noaa.gov/0121256) and the Marine Geoscience Data System (MGDS, http://www.marine-geo.org/index.php), SADCP data are available from the Joint Archive for Shipboard ADCP (JASADCP, ftp://ftp.soest.hawaii.edu/caldwell/adcp/INVNTORY/lmgould.html), SOSE outputs are available from http://sose.ucsd.edu/sose_stateestimation_data_05.html), and satellite data sources are given in the text.</t>
  </si>
  <si>
    <t>10.1002/2016JC011682</t>
  </si>
  <si>
    <t>WOS:000383467800035</t>
  </si>
  <si>
    <t>Yang, SG; Zhang, BC; Fang, HX; Kamide, Y; Li, CY; Liu, JM; Zhang, SR; Liu, RY; Zhang, QH; Hu, HQ</t>
  </si>
  <si>
    <t>Yang, Sheng-Gao; Zhang, Bei-Chen; Fang, Han-Xian; Kamide, Y.; Li, Chong-Yin; Liu, Jun-Ming; Zhang, Shun-Rong; Liu, Rui-Yuan; Zhang, Qing-He; Hu, Hong-Qiao</t>
  </si>
  <si>
    <t>New evidence of dayside plasma transportation over the polar cap to the prevailing dawn sector in the polar upper atmosphere for solar-maximum winter</t>
  </si>
  <si>
    <t>LATITUDE F-REGION; MAGNETIC-FIELD CONDITIONS; PATCH FORMATION; MAGNETOPAUSE RECONNECTION; DENSITY ENHANCEMENTS; IONIZATION PATCHES; GPS SCINTILLATION; EISCAT SVALBARD; CONVECTION; IONOSPHERE</t>
  </si>
  <si>
    <t>It is well known that owing to the transport of high-density sunlit plasma from dayside to nightside primarily by convection, polar cap tongue of ionization (TOI), polar cap patches, and blobs are common features in the polar ionosphere. The steep density gradients at the edges of these structures lead to severe problems in applications involving radio waves traversing the ionosphere. To better understand the evolution of TOI/patches/blobs, it is essential to examine how the transported sunlit plasma is distributed. Through averaging the hourly total electron content in solar-maximum winter, we present complete distribution of polar ionospheric plasma and find that the dayside plasma can be transported through cusp, over polar cap, and eventually to the prevailing dawnside, showing asymmetric distribution around magnetic midnight. The negative interplanetary magnetic field B-y or B-z component is favored for the plasma transportation from dayside to the prevailing dawn sector. This provides direct evidence for the plasma source of the dawnside high-density plasma structure. The same corotating convection direction as convection at auroral dawnside is responsible for the prevailing dawn sector transportation. This finding is significant for forecasting TOI/patches/blobs in conducting space weather in the polar ionosphere.</t>
  </si>
  <si>
    <t>[Yang, Sheng-Gao; Fang, Han-Xian; Li, Chong-Yin] PLA Univ Sci &amp; Technol, Inst Meteorol &amp; Ocean, Nanjing, Jiangsu, Peoples R China; [Yang, Sheng-Gao; Zhang, Bei-Chen; Liu, Jun-Ming; Liu, Rui-Yuan; Hu, Hong-Qiao] Polar Res Inst China, Shanghai, Peoples R China; [Kamide, Y.] Rikubetsu Space &amp; Earth Sci Museum, Rikubetsucho, Hokkaido, Japan; [Li, Chong-Yin] Chinese Acad Sci, Beijing, Peoples R China; [Zhang, Shun-Rong] MIT Haystack Observ, Westford, MA USA; [Zhang, Qing-He] Shandong Univ, Inst Space Sci, Shandong Prov Key Lab Opt Astron &amp; Solar Terr Env, Weihai, Peoples R China</t>
  </si>
  <si>
    <t>Polar Research Institute of China; Chinese Academy of Sciences; Massachusetts Institute of Technology (MIT); Shandong University</t>
  </si>
  <si>
    <t>Zhang, BC (corresponding author), Polar Res Inst China, Shanghai, Peoples R China.</t>
  </si>
  <si>
    <t>zhangbeichen@pric.org.cn</t>
  </si>
  <si>
    <t>Zhang, Qing-He/G-4572-2014; Liu, Ruiyuan/GWC-4730-2022; Zhang, Shun-Rong/G-7593-2015</t>
  </si>
  <si>
    <t>Zhang, Qing-He/0000-0003-2429-4050; Liu, Ruiyuan/0000-0002-1678-3500; Zhang, Shun-Rong/0000-0002-1946-3166</t>
  </si>
  <si>
    <t>National Basic Research Program [2012CB825603]; Special Program of National Key Laboratory [Y22612A33S]; National Natural Science Foundation [41274148, 40505005, 41104090, 41274149, 41431072]; Chinese Polar Environment Comprehensive Investigation and Assessment Program [CHINARE-2014-02-03]; International Collaboration Supporting Project; Chinese Arctic and Antarctic Administration [IC201511]; Polar Science Strategy Research Foundation [20150301]; U.S. National Science Foundation [AGS-1242204]; Div Atmospheric &amp; Geospace Sciences; Directorate For Geosciences [1242204] Funding Source: National Science Foundation</t>
  </si>
  <si>
    <t>National Basic Research Program(National Basic Research Program of China); Special Program of National Key Laboratory; National Natural Science Foundation(National Natural Science Foundation of China (NSFC)); Chinese Polar Environment Comprehensive Investigation and Assessment Program; International Collaboration Supporting Project; Chinese Arctic and Antarctic Administration; Polar Science Strategy Research Foundation; U.S. National Science Foundation(National Science Foundation (NSF)); Div Atmospheric &amp; Geospace Sciences; Directorate For Geosciences(National Science Foundation (NSF)NSF - Directorate for Geosciences (GEO))</t>
  </si>
  <si>
    <t>This work was supported by the National Basic Research Program (grant 2012CB825603), Special Program of National Key Laboratory (Y22612A33S), National Natural Science Foundation (grants 41274148, 40505005, 41104090, 41274149, and 41431072), Chinese Polar Environment Comprehensive Investigation and Assessment Program (CHINARE-2014-02-03), the International Collaboration Supporting Project, Chinese Arctic and Antarctic Administration (IC201511), and the Polar Science Strategy Research Foundation (20150301). GPS TEC data products and access through the Madrigal-distributed data system are provided to the community by the Massachusetts Institute of Technology under support from U.S. National Science Foundation grant AGS-1242204. Data for the TEC processing are provided by the following organizations: UNAVCO, Scripps Orbit and Permanent Array Center, Institut Geographique National, France, International GNSS Service, the Crustal Dynamics Data Information System (CDDIS), National Geodetic Survey, Instituto Brasileiro de Geografia e Estatistica, RAMSAC CORS of Instituto Geografico Nacional del la Republica Agentina, Arecibo Observatory, Low-Latitude Ionospheric Sensor Network (LISN), Topcon Positioning Systems, Inc., Canadian High Arctic Ionospheric Network, Institute of Geology and Geophysics, Chinese Academy of Sciences, China Meterorology Administration, Centro di Ricerche Sismogiche, Systeme d'Observation du Niveau des Eaux Littorales (SONEL), RENAG : REseau NAtional GPS permanent, and GeoNet-the official source of geological hazard information for New Zealand. We also thank the NASA OMNIWeb for IMF data (http://omni-web.gsfc.nasa.gov/html/sc_merge_-data1.html).</t>
  </si>
  <si>
    <t>10.1002/2015JA022171</t>
  </si>
  <si>
    <t>DW1RU</t>
  </si>
  <si>
    <t>WOS:000383421100048</t>
  </si>
  <si>
    <t>van der Meeren, C; Oksavik, K; Lorentzen, DA; Paxton, LJ; Clausen, LBN</t>
  </si>
  <si>
    <t>van der Meeren, Christer; Oksavik, Kjellmar; Lorentzen, Dag A.; Paxton, Larry J.; Clausen, Lasse B. N.</t>
  </si>
  <si>
    <t>Scintillation and irregularities from the nightside part of a Sun-aligned polar cap arc</t>
  </si>
  <si>
    <t>GPS PHASE SCINTILLATION; HIGH-LATITUDES; IONOSPHERIC SCINTILLATION; IONIZATION; PATCHES; FLUCTUATIONS; CONVECTION; DYNAMICS; REGION; AURORA</t>
  </si>
  <si>
    <t>In this paper we study the presence of irregularities and scintillation in relation to the nightside part of a long-lived, Sun-aligned transpolar arc on 15 January 2015. The arc was observed in DMSP UV and particle data and lasted at least 3 h between 1700 and 2000 UT. The arc was more intense than the main oval during this time. From all-sky imagers on Svalbard we were able to study the evolution of the arc, which drifted slowly westward toward the dusk cell. The intensity of the arc as observed from ground was 10-17 kR in 557.7 nm and 2-3.5 kR in 630.0 nm, i.e., significant emissions in both green and red emission lines. We have used high-resolution raw data from global navigation satellite systems (GNSS) receivers and backscatter from Super Dual Auroral Radar Network (SuperDARN) radars to study irregularities and scintillation in relation to the polar cap arc. Even though the literature has suggested that polar cap arcs are potential sources for irregularities, our results indicate only very weak irregularities. This may be due to the background density in the northward IMF polar cap being too low for significant irregularities to be created.</t>
  </si>
  <si>
    <t>[van der Meeren, Christer; Oksavik, Kjellmar] Univ Bergen, Dept Phys &amp; Technol, Birkeland Ctr Space Sci, Bergen, Norway; [Oksavik, Kjellmar] Univ Ctr Svalbard, Longyearbyen, Norway; [Lorentzen, Dag A.] Univ Ctr Svalbard, Birkeland Ctr Space Sci, Longyearbyen, Norway; [Lorentzen, Dag A.] British Antarctic Survey, Cambridge, England; [Paxton, Larry J.] Johns Hopkins Univ, Appl Phys Lab, Laurel, MD USA; [Clausen, Lasse B. N.] Univ Oslo, Dept Phys, Oslo, Norway</t>
  </si>
  <si>
    <t>University of Bergen; University Centre Svalbard (UNIS); University Centre Svalbard (UNIS); UK Research &amp; Innovation (UKRI); Natural Environment Research Council (NERC); NERC British Antarctic Survey; Johns Hopkins University; Johns Hopkins University Applied Physics Laboratory; University of Oslo</t>
  </si>
  <si>
    <t>van der Meeren, C (corresponding author), Univ Bergen, Dept Phys &amp; Technol, Birkeland Ctr Space Sci, Bergen, Norway.</t>
  </si>
  <si>
    <t>christer.meeren@uib.no</t>
  </si>
  <si>
    <t>Oksavik, Kjellmar/GWZ-7781-2022; Paxton, Larry/D-1934-2015</t>
  </si>
  <si>
    <t>Oksavik, Kjellmar/0000-0003-4312-6992; Paxton, Larry/0000-0002-2597-347X; Clausen, Lasse Boy Novock/0000-0003-0746-1646</t>
  </si>
  <si>
    <t>Research Council of Norway [212014, 223252, 230935]</t>
  </si>
  <si>
    <t>Research Council of Norway(Research Council of Norway)</t>
  </si>
  <si>
    <t>The University of Oslo ASI data are available at http://tid.uio.no/plasma/aurora. The IMF and solar wind data were provided by the NASA OMNIWeb service (http://omniweb.gsfc.nasa.gov). The DMSP SSUSI data are available from http://ssusi.jhuapl.edu. The DMSP particle detectors were designed by Dave Hardy of AFRL and data obtained from JHU/APL. The SuperDARN data are retrieved from Virginia Tech using the DaViTpy software package. The ionosonde data (not shown) are available from http://dynserv.eiscat.uit.no. The GNSS data can be made available upon request from the author. This study was supported by the Research Council of Norway under contracts 212014, 223252, and 230935. We wish to thank Nikolai Ostgaard at the Birkeland Centre for Space Science, University of Bergen for helpful discussions.</t>
  </si>
  <si>
    <t>10.1002/2016JA022708</t>
  </si>
  <si>
    <t>hybrid, Green Accepted, Green Published, Green Submitted</t>
  </si>
  <si>
    <t>WOS:000383421100055</t>
  </si>
  <si>
    <t>Clowes, CD; Hannah, MJ; Wilson, GJ; Wrenn, JH</t>
  </si>
  <si>
    <t>Clowes, Christopher D.; Hannah, Michael J.; Wilson, Graeme J.; Wrenn, John H.</t>
  </si>
  <si>
    <t>Marine palynostratigraphy and new species from the Cape Roberts drill-holes, Victoria land basin, Antarctica</t>
  </si>
  <si>
    <t>Acritarchs; Dinoflagellates; Cymatiosphaera; Lejeunecysta; New species; Biostratigraphy; Zonation; Cape Roberts drill-holes; Oligocene; Miocene; Antarctica</t>
  </si>
  <si>
    <t>ORBITALLY-INDUCED OSCILLATIONS; ROSS SEA; ICE-SHEET; OLIGOCENE; BOUNDARY</t>
  </si>
  <si>
    <t>Three research wells were cored near Cape Roberts, McMurdo Sound, during the summers of 1997, 1998 and 1999. Rich marine palynomorph assemblages were obtained from the early Miocene and Oligocene sediments, and almost immediately described at a reconnaissance level by the original on-site science team. In these studies, a number of undescribed species were reported, most strikingly of the distinctive dinoflagellate cyst genus Lejeunecysta. This report continues that work with the description of six new species: ?Cymatiosphaera robertsii, Lejeunecysta acuminata, Lejeunecysta attenuata, Lejeunecysta katatonos, Lejeunecysta rotunda, and Lejeunecysta striata. A new zonation comprising five marine palynomorph biozones is proposed, largely based upon the new taxa. The taxon ranges are derived from earlier published ranges with some minor updates. (C) 2016 Elsevier B.V. All rights reserved.</t>
  </si>
  <si>
    <t>[Clowes, Christopher D.; Hannah, Michael J.; Wilson, Graeme J.; Wrenn, John H.] GNS Sci, POB 30 368, Lower Hutt 5040, New Zealand</t>
  </si>
  <si>
    <t>GNS Science - New Zealand</t>
  </si>
  <si>
    <t>Clowes, CD (corresponding author), GNS Sci, POB 30 368, Lower Hutt 5040, New Zealand.</t>
  </si>
  <si>
    <t>c.clowes@gns.cri.nz</t>
  </si>
  <si>
    <t>Past Antarctic Climates (PAC) Programme; New Zealand Ministry of Business Innovation and Employment [C05X1001]; New Zealand Ministry of Business, Innovation &amp; Employment (MBIE) [C05X1001] Funding Source: New Zealand Ministry of Business, Innovation &amp; Employment (MBIE)</t>
  </si>
  <si>
    <t>Past Antarctic Climates (PAC) Programme; New Zealand Ministry of Business Innovation and Employment(New Zealand Ministry of Business, Innovation and Employment (MBIE)); New Zealand Ministry of Business, Innovation &amp; Employment (MBIE)(New Zealand Ministry of Business, Innovation and Employment (MBIE))</t>
  </si>
  <si>
    <t>The authors thank Ian Raine for gathering together the materials from earlier studies; Joe Prebble for providing additional study materials; Peter Bijl and Francesca Sangiorgi for useful discussions and providing an early draft of the Wilkes Land manuscript; and Philip Carthew for drafting assistance. CDC completed the paper thanks to funding provided by the Past Antarctic Climates (PAC) Programme, led by Dr. Richard Levy, whose advice and encouragement is also gratefully acknowledged. The PAC Programme is supported by the New Zealand Ministry of Business Innovation and Employment contract C05X1001 to GNS Science.</t>
  </si>
  <si>
    <t>10.1016/j.marmicro.2016.06.003</t>
  </si>
  <si>
    <t>DT2PY</t>
  </si>
  <si>
    <t>WOS:000381324100006</t>
  </si>
  <si>
    <t>Pagel, EC; De Alvarez, CE; Reis, NC</t>
  </si>
  <si>
    <t>Pagel, Erica Coelho; De Alvarez, Cristina Engel; Reis Junior, Neyval Costa</t>
  </si>
  <si>
    <t>INDOOR AIR QUALITY (IAQ) IN A RESEARCH STATION IN ANTARCTICA: IDENTIFICATION OF POLLUTION SOURCES AND CONTROL STRATEGIES</t>
  </si>
  <si>
    <t>REVISTA HABITAT SUSTENTABLE</t>
  </si>
  <si>
    <t>Indoor Air Quality; indoor sources; Antarctic buildings</t>
  </si>
  <si>
    <t>The research stations in Antarctica present real building operation situations, which makes them potential objects for the investigation of Indoor Air Quality (IAQ). In this context, this paper identifies the main air pollution sources based on data previously collected at the Brazilian Comandante Ferraz Antarctic Station (EACF) and determines IAQ control strategies for Brazilian Antarctic buildings. These strategies were incorporated into the EACF reconstruction project after a fire in February 2012 destroyed the main section of the station. Among the most important points proposed by the new project in relation to indoor air quality were the implementation of blocks, an efficient air exchange system, and the specification of materials with low Volatile Organic Compound (VOC) emissions. The construction of the building in blocks based on function avoided the crossing of air pollution from service areas to habitable environments. However, due to the confined characteristics of an Antarctic research station, the specification of materials containing adhesives and resins, even those that are certified, is still a concern for human health.</t>
  </si>
  <si>
    <t>[Pagel, Erica Coelho; De Alvarez, Cristina Engel; Reis Junior, Neyval Costa] Univ Fed Espirito Santo, Vitoria, Brazil</t>
  </si>
  <si>
    <t>Universidade Federal do Espirito Santo</t>
  </si>
  <si>
    <t>Pagel, EC (corresponding author), Univ Fed Espirito Santo, Vitoria, Brazil.</t>
  </si>
  <si>
    <t>erica.pagel@gmail.com; cristina.alvarez@ufes.br; neyval@inf.ufes.br</t>
  </si>
  <si>
    <t>Reis, Neyval costa/A-4778-2013; de Alvarez, Cristina Engel/J-4629-2012</t>
  </si>
  <si>
    <t>Reis, Neyval costa/0000-0002-6159-4063;</t>
  </si>
  <si>
    <t>UNIV BIO-BIO</t>
  </si>
  <si>
    <t>DEPT WOOD ENGINEERING, AVENIDA COLLAO 1202, CASILLA 5-C, CONCEPCION, CHILE</t>
  </si>
  <si>
    <t>0719-0700</t>
  </si>
  <si>
    <t>REV HABITAT SUSTENTA</t>
  </si>
  <si>
    <t>Rev. Habitat Sustentable</t>
  </si>
  <si>
    <t>Engineering, Environmental</t>
  </si>
  <si>
    <t>DV1HL</t>
  </si>
  <si>
    <t>WOS:000382671700007</t>
  </si>
  <si>
    <t>Zhang, L; Ma, H; Wu, LX</t>
  </si>
  <si>
    <t>Zhang, Li; Ma, Hao; Wu, Lixin</t>
  </si>
  <si>
    <t>Dynamics and mechanisms of decadal variability of the Pacific-South America mode over the 20th century</t>
  </si>
  <si>
    <t>Pacific-South American; Subduction; Decadal variability; Tropical Pacific</t>
  </si>
  <si>
    <t>ANTARCTIC CIRCUMPOLAR WAVE; LOW-FREQUENCY VARIABILITY; SEA-SURFACE TEMPERATURE; NORTHERN-HEMISPHERE; GLOBAL ATMOSPHERE; OSCILLATION; OCEAN; TELECONNECTIONS; ICE; CIRCULATION</t>
  </si>
  <si>
    <t>In this paper, decadal variability of the Pacific-South America (PSA) mode is examined from year 1871 to 2008 based on the newly developed ocean and atmosphere reanalysis products. The PSA mode, mirroring the Pacific-North America mode in the Northern Hemisphere, emerges as the second EOF mode of 500 mb geopotential height anomalies. The mode displays substantial interannual-decadal variability with distinct timescales between 3-8 and 10-18 years, respectively. The decadal variability of the PSA mode is found to be associated with the coupled ocean-atmosphere interaction over the subtropical South and tropical Pacific. The subduction of the subtropical temperature anomalies in the South Pacific in conjunction with the tropical-subtropical atmospheric teleconnection plays important role in the decadal variability of the PSA mode.</t>
  </si>
  <si>
    <t>[Zhang, Li; Wu, Lixin] Ocean Univ China, Phys Oceanog Lab, Qingdao Collaborat Innovat Ctr Marine Sci &amp; Techn, 5 Yushan Rd, Qingdao 266003, Peoples R China; [Ma, Hao] Zhejiang Meteorol Bur, Zhejiang Climate Ctr, Hangzhou, Zhejiang, Peoples R China</t>
  </si>
  <si>
    <t>Zhang, L (corresponding author), Ocean Univ China, Phys Oceanog Lab, Qingdao Collaborat Innovat Ctr Marine Sci &amp; Techn, 5 Yushan Rd, Qingdao 266003, Peoples R China.</t>
  </si>
  <si>
    <t>zl7810andy@gmail.com</t>
  </si>
  <si>
    <t>Zhang, Li/0000-0001-8036-0628</t>
  </si>
  <si>
    <t>National Natural Science Foundation of China (NSFC) [41130859]; NSFC [41221063]; Zhejiang Provincial Natural Science Foundation of China [LQ14D050001]</t>
  </si>
  <si>
    <t>National Natural Science Foundation of China (NSFC)(National Natural Science Foundation of China (NSFC)); NSFC(National Natural Science Foundation of China (NSFC)); Zhejiang Provincial Natural Science Foundation of China(Natural Science Foundation of Zhejiang Province)</t>
  </si>
  <si>
    <t>This work is supported by National Natural Science Foundation of China (NSFC) Key Project (41130859), NSFC Innovation Project (41221063), and Zhejiang Provincial Natural Science Foundation of China (LQ14D050001). Discussions with Profs. Wenju Cai and Xiaojun Yuan are greatly appreciated.</t>
  </si>
  <si>
    <t>10.1007/s00382-015-2794-8</t>
  </si>
  <si>
    <t>DS9NA</t>
  </si>
  <si>
    <t>WOS:000381108600017</t>
  </si>
  <si>
    <t>McLaughlin, R; Nasuy, H</t>
  </si>
  <si>
    <t>McLaughlin, Rob; Nasuy, Hitoshi</t>
  </si>
  <si>
    <t>The Law's Potential to Break-Rather Than Entrench-the South China Sea Deadlock?</t>
  </si>
  <si>
    <t>JOURNAL OF CONFLICT &amp; SECURITY LAW</t>
  </si>
  <si>
    <t>CONFLICT-MANAGEMENT; MARITIME DISPUTES; SECURITY; POWER; ENFORCEMENT; REALISM; ISSUES; FORCE</t>
  </si>
  <si>
    <t>The complex matrix of territorial claims and counter-claims, and associated resource and maritime disputes, which characterizes the tension in the South China Sea points to a deadlocked, and in some respects apparently intractable, dispute. This article seeks to examine a series of rule-based alternative options aimed at finding or creating fractures in this deadlock-points that may offer pathways, or introduce new possibilities, into the management of the dispute, with a view to breaking the deadlock on a limited scale or in relation to a limited set of issues. The analysis begins with a brief overview of the ways in which law can facilitate initiative, an attribute often forgotten when law is understood only as the language by which disputes are expressed and entrenched. The article then argues that treaty-based cooperative models-namely, the Antarctic regime model and the joint development model-for escaping the deadlock in the South China Sea are unlikely to succeed, at least in the short term, not least because they do not offer mechanisms or opportunities to overcome the regional introspection underpinning the deadlock. Finally, the article outlines four rule-based and legally expressible alternative options for finding or creating fractures in the deadlock.</t>
  </si>
  <si>
    <t>[McLaughlin, Rob; Nasuy, Hitoshi] Australian Natl Univ, Ctr Mil &amp; Secur Law, Canberra, ACT 0200, Australia</t>
  </si>
  <si>
    <t>McLaughlin, R (corresponding author), Australian Natl Univ, Ctr Mil &amp; Secur Law, Canberra, ACT 0200, Australia.</t>
  </si>
  <si>
    <t>rob.mclaughlin@anu.edu.au; hitoshi.nasu@anu.edu.au</t>
  </si>
  <si>
    <t>McLaughlin, Rob/0000-0001-6543-2857</t>
  </si>
  <si>
    <t>Australian Research Council's Discovery Project funding scheme [DP130103683]</t>
  </si>
  <si>
    <t>Australian Research Council's Discovery Project funding scheme(Australian Research Council)</t>
  </si>
  <si>
    <t>This research was supported under Australian Research Council's Discovery Project funding scheme (Project Number: DP130103683). We gratefully acknowledge Professor Donald R Rothwell, Associate Professor David Letts and participants at the Centre's workshop on Maritime Security in the South China Sea held in Tokyo, 3-4 November 2014, for their helpful comments and Rosanna Bartlett, Alexa Milosevic and Helen Trezise for their research assistance.</t>
  </si>
  <si>
    <t>1467-7954</t>
  </si>
  <si>
    <t>1467-7962</t>
  </si>
  <si>
    <t>J CONFL SECUR LAW</t>
  </si>
  <si>
    <t>J. Confl. Secur. Law</t>
  </si>
  <si>
    <t>SUM</t>
  </si>
  <si>
    <t>10.1093/jcsl/krv013</t>
  </si>
  <si>
    <t>Law</t>
  </si>
  <si>
    <t>Government &amp; Law</t>
  </si>
  <si>
    <t>DT6XG</t>
  </si>
  <si>
    <t>WOS:000381627600006</t>
  </si>
  <si>
    <t>Nguyen, LC; Hall, SA; Bird, DE; Ball, PJ</t>
  </si>
  <si>
    <t>Nguyen, Luan C.; Hall, Stuart A.; Bird, Dale E.; Ball, Philip J.</t>
  </si>
  <si>
    <t>Reconstruction of the East Africa and Antarctica continental margins</t>
  </si>
  <si>
    <t>SEISMIC-REFRACTION MEASUREMENTS; BENEATH SOUTHERN AFRICA; FULL-FIT RECONSTRUCTION; SOUTHWEST INDIAN-OCEAN; DRONNING-MAUD-LAND; RIISER-LARSEN SEA; CRUSTAL STRUCTURE; AGULHAS PLATEAU; UPPER-MANTLE; MOZAMBIQUE RIDGE</t>
  </si>
  <si>
    <t>The Early Jurassic separation of Antarctica from Africa plays an important role in our understanding of the dispersal of Gondwana and Pangea. Previous reconstruction models contain overlaps and gaps in the restored margins that reflect difficulties in accurately delineating the continent-ocean-boundary (COB) and determining the amount and distribution of extended continental crust. This study focuses on the evolution of the African margin adjacent to the Mozambique Basin and the conjugate Antarctic margin near the Riiser-Larsen Sea. Satellite-derived gravity data have been used to trace the orientations and landward limits of fracture zones. A 3-D gravity inversion has produced a crustal thickness model that reliably quantifies the extent and amount of stretched crust. Crustal thicknesses together with fracture zone terminations reveal COBs that are significantly closer to the African and Antarctic coasts than previously recognized. Correlation of fracture zone azimuths and identified COBs suggests Antarctica began drifting away from Africa at approximately 171Ma in a roughly SSE direction. An areal-balancing method has been used to restore the crust to a uniform prerift thickness so as to perform a nonrigid reconstruction for both nonvolcanic and volcanic margins. Both margins reveal a trend of increasing extension from east to west. Our results suggest Africa underwent extension of 60-120 km, while Antarctic crust was stretched by 105-180 km. Various models tested to determine the direction of extension during rifting suggest that Antarctica moved away from Africa in a WNW-ESE direction during the period between 184 and 171Ma prior to the onset of seafloor spreading.</t>
  </si>
  <si>
    <t>[Nguyen, Luan C.; Hall, Stuart A.; Bird, Dale E.] Univ Houston, Dept Earth &amp; Atmospher Sci, Houston, TX 77004 USA; [Bird, Dale E.] Bird Geophys, Houston, TX USA; [Ball, Philip J.] ConocoPhillips Co, Houston, TX USA</t>
  </si>
  <si>
    <t>University of Houston System; University of Houston; ConocoPhillips</t>
  </si>
  <si>
    <t>Nguyen, LC (corresponding author), Univ Houston, Dept Earth &amp; Atmospher Sci, Houston, TX 77004 USA.</t>
  </si>
  <si>
    <t>lcnguyen4@uh.edu</t>
  </si>
  <si>
    <t>Ball, Philip/0000-0001-5896-6447</t>
  </si>
  <si>
    <t>10.1002/2015JB012776</t>
  </si>
  <si>
    <t>DT6XD</t>
  </si>
  <si>
    <t>WOS:000381627300007</t>
  </si>
  <si>
    <t>Balco, G; Todd, C; Huybers, K; Campbell, S; Vermeulen, M; Hegland, M; Goehring, BM; Hillebrand, TR</t>
  </si>
  <si>
    <t>Balco, Greg; Todd, Claire; Huybers, Kathleen; Campbell, Seth; Vermeulen, Michael; Hegland, Matthew; Goehring, Brent M.; Hillebrand, Trevor R.</t>
  </si>
  <si>
    <t>COSMOGENIC-NUCLIDE EXPOSURE AGES FROM THE PENSACOLA MOUNTAINS ADJACENT TO THE FOUNDATION ICE STREAM, ANTARCTICA</t>
  </si>
  <si>
    <t>AMERICAN JOURNAL OF SCIENCE</t>
  </si>
  <si>
    <t>Antarctica; Pensacola Mountains; Foundation Ice Stream; Last Glacial Maximum; exposure dating; cosmogenic-nuclide geochemistry; glacial geology</t>
  </si>
  <si>
    <t>BE-10 PRODUCTION-RATE; PRODUCTION-RATE CALIBRATION; MARIE-BYRD-LAND; DIFFUSION KINETICS; WEDDELL SEA; NE-21; HE-3; EROSION; QUARTZ; SHEET</t>
  </si>
  <si>
    <t>We describe glacial-geological observations and cosmogenic-nuclide exposure ages from the Schmidt, Williams, and Thomas Hills in the Pensacola Mountains of Antarctica adjacent to the Foundation Ice Stream (FIS). Our aim is to learn about changes in the thickness and grounding line position of the Antarctic Ice Sheet in the Weddell Sea embayment between the Last Glacial Maximum (LGM) and the present. Glacial-geological observations from all three regions indicate that currently-ice-free areas were covered by ice during one or more past ice sheet expansions, and that this ice was typically frozen to its bed and thus non-erosive, permitting the accumulation of multiple generations of glacial drift. Cosmogenic-nuclide exposure-age data from glacially transported erratics are consistent with this interpretation in that we observe both (i) samples with Holocene exposure ages that display a systematic age-elevation relationship recording LGM-to-present deglaciation, and (ii) samples with older and highly scattered apparent exposure ages that were deposited in previous glacial-interglacial cycles and have experienced multiple periods of surface exposure and ice cover. Holocene exposure ages at the Thomas and Williams Hills, upstream of the present grounding line of the FIS, show that the FIS was at least 500 m thicker prior to 11 ka, and that 500 m of thinning took place between 11 and 4 ka. However, exposure-age data from the Schmidt Hills, downstream of the present grounding line of the FIS, show no evidence for LGM thickening of the FIS and, in fact, provide some evidence that the FIS could have been no more than 200 m thicker than present at the LGM. If all these observations are correct, they imply that the LGM and early Holocene ice surface slope in the vicinity of the present grounding line was steeper than present, which is inconsistent with glaciological model predictions of possible LGM ice sheet configurations. Specifically, scenarios in which the LGM grounding line of the FIS advanced to the outer continental shelf appear inconsistent with exposure-age data from the Schmidt Hills, whereas scenarios in which the FIS grounding line did not advance at the LGM appear inconsistent with exposure-age data from the Williams and Thomas Hills.</t>
  </si>
  <si>
    <t>[Balco, Greg] Berkeley Geochronol Ctr, 2455 Ridge Rd, Berkeley, CA 94709 USA; [Todd, Claire; Vermeulen, Michael; Hegland, Matthew] Pacific Lutheran Univ, Geosci, Tacoma, WA 98447 USA; [Huybers, Kathleen; Hillebrand, Trevor R.] Univ Washington, Earth &amp; Space Sci, Seattle, WA 98195 USA; [Campbell, Seth] Univ Maine, Climate Change Inst, Orono, ME USA; [Goehring, Brent M.] Tulane Univ, Earth &amp; Environm Sci, New Orleans, LA 70118 USA</t>
  </si>
  <si>
    <t>Berkeley Geochronolgy Center; Pacific Lutheran University; University of Washington; University of Washington Seattle; University of Maine System; University of Maine Orono; Tulane University</t>
  </si>
  <si>
    <t>Balco, G (corresponding author), Berkeley Geochronol Ctr, 2455 Ridge Rd, Berkeley, CA 94709 USA.</t>
  </si>
  <si>
    <t>balcs@bgc.org</t>
  </si>
  <si>
    <t>Goehring, Brent/0000-0001-6405-5156; Todd, Claire/0000-0003-0545-6341; Vermeulen, Michael/0000-0001-9062-843X; Hillebrand, Trevor/0000-0003-3535-1540</t>
  </si>
  <si>
    <t>U.S. National Science Foundation [PLR-0838783, PLR-0838784, PLR-0838256]; Ann and Gordon Getty Foundation</t>
  </si>
  <si>
    <t>U.S. National Science Foundation(National Science Foundation (NSF)); Ann and Gordon Getty Foundation</t>
  </si>
  <si>
    <t>Funding for this work was provided by the U.S. National Science Foundation via grants PLR-0838783, PLR-0838784, and PLR-0838256, and by the Ann and Gordon Getty Foundation. We thank Chris Simmons for field mountaineering support; pilots, crews, and ground staff of the 109th Airlift Wing of the New York Air National Guard and Kenn Borek Air, Ltd. for air support; McMurdo Station staff and many other U.S. Antarctic Program personnel for logistical planning and execution; Tim Becker and David Shuster (BGC) for assistance with cosmogenic noble gas measurements; Susan Zimmerman (LLNL-CAMS) for assistance with AMS measurements; Nat Lifton, Marc Caffee, and Tom Kubley ( PRIME Lab) for assistance with 14C analyses; and Marissa Tremblay (UC Berkeley) for providing unpublished results of diffusion experiments on Williams Hills erratics. In addition, we thank Robert Ackert for a helpful and comprehensive review.</t>
  </si>
  <si>
    <t>AMER JOURNAL SCIENCE</t>
  </si>
  <si>
    <t>NEW HAVEN</t>
  </si>
  <si>
    <t>YALE UNIV, PO BOX 208109, NEW HAVEN, CT 06520-8109 USA</t>
  </si>
  <si>
    <t>0002-9599</t>
  </si>
  <si>
    <t>1945-452X</t>
  </si>
  <si>
    <t>AM J SCI</t>
  </si>
  <si>
    <t>Am. J. Sci.</t>
  </si>
  <si>
    <t>10.2475/06.2016.02</t>
  </si>
  <si>
    <t>DS1QR</t>
  </si>
  <si>
    <t>WOS:000380371900002</t>
  </si>
  <si>
    <t>Dubois-Dauphin, Q; Bonneau, L; Colin, C; Montero-Serrano, JC; Montagna, P; Blamart, D; Hebbeln, D; Van Rooij, D; Pons-Branchu, E; Hemsing, F; Wefing, AM; Frank, N</t>
  </si>
  <si>
    <t>Dubois-Dauphin, Quentin; Bonneau, Lucile; Colin, Christophe; Montero-Serrano, Jean-Carlos; Montagna, Paolo; Blamart, Dominique; Hebbeln, Dierk; Van Rooij, David; Pons-Branchu, Edwige; Hemsing, Freya; Wefing, Anne-Marie; Frank, Norbert</t>
  </si>
  <si>
    <t>South Atlantic intermediate water advances into the North-east Atlantic with reduced Atlantic meridional overturning circulation during the last glacial period</t>
  </si>
  <si>
    <t>neodymium isotopes; cold-water corals; Mediterranean outflow water; East Antarctic intermediate water; Mediterranean sea water; Gulf of Cadiz</t>
  </si>
  <si>
    <t>MEDITERRANEAN OUTFLOW WATER; NEODYMIUM ISOTOPIC COMPOSITION; DEEP-SEA CORALS; MID-DEPTH CIRCULATION; 18,000 YEARS BP; PACIFIC-OCEAN; THERMOHALINE CIRCULATION; TROPICAL ATLANTIC; LATE PLEISTOCENE; RAPID CHANGES</t>
  </si>
  <si>
    <t>The Nd isotopic composition (epsilon Nd) of seawater and cold-water coral (CWC) samples from the Gulf of Cadiz and the Alboran Sea, at a depth of 280-827 m were investigated in order to constrain middepth water mass dynamics within the Gulf of Cadiz over the past 40 ka. epsilon Nd of glacial and Holocene CWC from the Alboran Sea and the northern Gulf of Cadiz reveals relatively constant values (-8.6 to -9.0 and -9.5 to -10.4, respectively). Such values are similar to those of the surrounding present-day middepth waters from the Mediterranean Outflow Water (MOW; epsilon Nd approximate to -9.4) and Mediterranean Sea Water (MSW; epsilon Nd approximate to -9.9). In contrast, glacial epsilon Nd values for CWC collected at thermocline depth (550-827 m) in the southern Gulf of Cadiz display a higher average value (-8.90.4) compared to the present-day value (-11.70.3). This implies a higher relative contribution of water masses of Mediterranean (MSW) or South Atlantic origin (East Antarctic Intermediate Water, EAAIW). Our study has produced the first evidence of significant radiogenic epsilon Nd values (approximate to -8) at 19, 23-24, and 27 ka, which are coeval with increasing iceberg discharges and a weakening of Atlantic Meridional Overturning Circulation (AMOC). Since MOW epsilon Nd values remained stable during the last glacial period, it is suggested that these radiogenic epsilon Nd values most likely reflect an enhanced northward propagation of glacial EAAIW into the eastern Atlantic Basin.</t>
  </si>
  <si>
    <t>[Dubois-Dauphin, Quentin; Bonneau, Lucile; Colin, Christophe] Univ Paris Saclay, Univ Paris Sud, CNRS, Lab GEOsci Paris Sud GEOPS, Rue Belvedere, Orsay, France; [Montero-Serrano, Jean-Carlos] Univ Quebec, Inst Sci Mer Rimouski, Canada Res Chair Marine Geol, Rimouski, PQ, Canada; [Montero-Serrano, Jean-Carlos] Geotop, Rimouski, PQ, Canada; [Montagna, Paolo] CNR, ISMAR, Bologna, Italy; [Blamart, Dominique; Pons-Branchu, Edwige] Lab Sci Climat &amp; Environm, Gif Sur Yvette, France; [Hebbeln, Dierk] Univ Bremen, MARUM Ctr Marine Environm Sci, Bremen, Germany; [Van Rooij, David] Univ Ghent, Dept Geol &amp; Soil Sci, Renard Ctr Marine Geol, Ghent, Belgium; [Hemsing, Freya; Wefing, Anne-Marie; Frank, Norbert] Heidelberg Univ, Inst Environm Phys, Heidelberg, Germany</t>
  </si>
  <si>
    <t>Universite Paris Cite; Centre National de la Recherche Scientifique (CNRS); Universite Paris Saclay; University of Quebec; Consiglio Nazionale delle Ricerche (CNR); Istituto di Scienze Marine (ISMAR-CNR); CEA; Centre National de la Recherche Scientifique (CNRS); Universite Paris Saclay; University of Bremen; Ghent University; Ruprecht Karls University Heidelberg</t>
  </si>
  <si>
    <t>Dubois-Dauphin, Q (corresponding author), Univ Paris Saclay, Univ Paris Sud, CNRS, Lab GEOsci Paris Sud GEOPS, Rue Belvedere, Orsay, France.</t>
  </si>
  <si>
    <t>quentin.dubois-dauphin@u-psud.fr</t>
  </si>
  <si>
    <t>Montagna, Paolo/H-9632-2015; Montero-Serrano, Jean-Carlos/AAD-5558-2019; Van Rooij, David/A-7938-2014; Dubois-Dauphin, Quentin/H-7355-2017; Hebbeln, Dierk/P-9766-2016; Frank, Norbert/D-6486-2016</t>
  </si>
  <si>
    <t>Montagna, Paolo/0000-0001-5598-2214; Montero-Serrano, Jean-Carlos/0000-0001-7896-6284; Van Rooij, David/0000-0003-3633-3344; Dubois-Dauphin, Quentin/0000-0002-4616-2502; Hebbeln, Dierk/0000-0001-5099-6115; Frank, Norbert/0000-0002-0416-9546; Wefing, Anne-Marie/0000-0001-6855-6062; pons-branchu, edwige/0000-0002-7941-3144</t>
  </si>
  <si>
    <t>Labex L-IPSL [ANR-10-LABX-0018]; HAMOC ANR project [ANR-13-BS06-0003]; EuroFLEETS GATEWAYS [228344]; MiCROSYSTEMS; Agence Nationale de la Recherche (ANR) [ANR-13-BS06-0003] Funding Source: Agence Nationale de la Recherche (ANR)</t>
  </si>
  <si>
    <t>Labex L-IPSL; HAMOC ANR project(Agence Nationale de la Recherche (ANR)); EuroFLEETS GATEWAYS; MiCROSYSTEMS; Agence Nationale de la Recherche (ANR)(Agence Nationale de la Recherche (ANR))</t>
  </si>
  <si>
    <t>Special thanks are addressed to Louise Bordier and Francois Thil for their kind assistance in Nd isotopic composition measurement. We also thank Nathalie Fagel and an anonymous reviewer for their constructive reviews, which helped to improve this work. This work was supported by the Labex L-IPSL (grant ANR-10-LABX-0018) and the HAMOC ANR project (grant ANR-13-BS06-0003). We acknowledge the ship time provided by IPEV on R/V Marion Dufresne, within the framework of the EuroFLEETS GATEWAYS (2013) (grant agreement 228344) and MiCROSYSTEMS (2008) projects, as well as the GASALB cruise in 2011 on R/V Pelagia. We thank Francisca Martinez-Ruiz for providing the CWC samples from the Alboran Sea. All data of this study are reported in Tables (1-3) of the manuscript.</t>
  </si>
  <si>
    <t>10.1002/2016GC006281</t>
  </si>
  <si>
    <t>DS4CF</t>
  </si>
  <si>
    <t>WOS:000380728300020</t>
  </si>
  <si>
    <t>Kern, S; Ozsoy-Çiçek, B</t>
  </si>
  <si>
    <t>Kern, Stefan; Ozsoy-Cicek, Burcu</t>
  </si>
  <si>
    <t>Satellite Remote Sensing of Snow Depth on Antarctic Sea Ice: An Inter-Comparison of Two Empirical Approaches</t>
  </si>
  <si>
    <t>snow depth on sea ice; Antarctic; satellite laser altimetry; satellite microwave radiometry</t>
  </si>
  <si>
    <t>LATE WINTER; IN-SITU; THICKNESS; FREEBOARD; BELLINGSHAUSEN; VARIABILITY; ALGORITHMS; RETRIEVAL; AMUNDSEN; WEDDELL</t>
  </si>
  <si>
    <t>Snow on Antarctic sea ice plays a key role for sea ice physical processes and complicates retrieval of sea ice thickness using altimetry. Current methods of snow depth retrieval are based on satellite microwave radiometry, which perform best for dry, homogeneous snow packs on level sea ice. We introduce an alternative approach based on in-situ measurements of total (sea ice plus snow) freeboard and snow depth, which we use to compute snow depth on sea ice from Ice, Cloud, and land Elevation Satellite (ICESat) total freeboard observations. We compare ICESat snow depth for early winter and spring of the years 2004 through 2006 with the Advanced Scanning Microwave Radiometer aboard EOS (AMSR-E) snow depth product. We find ICESat snow depths agree more closely with ship-based visual and air-borne snow radar observations than AMSR-E snow depths. We obtain average modal and mean ICESat snow depths, which exceed AMSR-E snow depths by 5-10 cm in winter and 10-15 cm in spring. We observe an increase in ICESat snow depth from winter to spring for most Antarctic regions in accordance with ground-based observations, in contrast to AMSR-E snow depths, which we find to stay constant or to decrease. We suggest satellite laser altimetry as an alternative method to derive snow depth on Antarctic sea ice, which is independent of snow physical properties.</t>
  </si>
  <si>
    <t>[Kern, Stefan] Univ Hamburg, Integrated Climate Data Ctr, Ctr Earth Syst Res &amp; Sustainabil CEN, D-20144 Hamburg, Germany; [Ozsoy-Cicek, Burcu] Istanbul Tech Univ, Maritime Fac, Polar Res Ctr PolReC, TR-34940 Istanbul, Turkey</t>
  </si>
  <si>
    <t>University of Hamburg; Istanbul Technical University</t>
  </si>
  <si>
    <t>Kern, S (corresponding author), Univ Hamburg, Integrated Climate Data Ctr, Ctr Earth Syst Res &amp; Sustainabil CEN, D-20144 Hamburg, Germany.</t>
  </si>
  <si>
    <t>stefan.kern@uni-hamburg.de; burcu.ozsoycicek@gmail.com</t>
  </si>
  <si>
    <t>Ozsoy, Burcu/AAH-5348-2020</t>
  </si>
  <si>
    <t>Center of Excellence for Climate System Analysis and Prediction (CliSAP); Istanbul Technical University (ITU); International Space Science Institute (ISSI), Bern, Switzerland [245]</t>
  </si>
  <si>
    <t>Center of Excellence for Climate System Analysis and Prediction (CliSAP); Istanbul Technical University (ITU)(Istanbul Technical University); International Space Science Institute (ISSI), Bern, Switzerland</t>
  </si>
  <si>
    <t>The work was carried out within the ESA Climate Change Initiative sea ice (SICCI) project as an activity of the Integrated Climate Data Center (ICDC) at the Center for Earth System Research and Sustainability (CEN). S. Kern acknowledges support given by the Center of Excellence for Climate System Analysis and Prediction (CliSAP). B. Ozsoy-Cicek appreciates support given by the Istanbul Technical University (ITU) in the field of polar research, which greatly helped to conduct this study and to realize a recent Turkish research cruise into the Antarctic. The authors acknowledge support from the International Space Science Institute (ISSI), Bern, Switzerland, under project No. 245: Heil, P., and S. Kern, Towards an integrated retrieval of Antarctic sea ice volume. The authors thank five reviewers for their helpful comments.</t>
  </si>
  <si>
    <t>POSTFACH, CH-4005 BASEL, SWITZERLAND</t>
  </si>
  <si>
    <t>10.3390/rs8060450</t>
  </si>
  <si>
    <t>DR6BE</t>
  </si>
  <si>
    <t>WOS:000379985300010</t>
  </si>
  <si>
    <t>Zhu, TT; Li, F; Heygster, G; Zhang, SK</t>
  </si>
  <si>
    <t>Zhu, Tingting; Li, Fei; Heygster, Georg; Zhang, Shengkai</t>
  </si>
  <si>
    <t>Antarctic Sea-Ice Classification Based on Conditional Random Fields From RADARSAT-2 Dual-Polarization Satellite Images</t>
  </si>
  <si>
    <t>IEEE JOURNAL OF SELECTED TOPICS IN APPLIED EARTH OBSERVATIONS AND REMOTE SENSING</t>
  </si>
  <si>
    <t>IEEE International Geoscience and Remote Sensing Symposium (IGARSS)</t>
  </si>
  <si>
    <t>JUL 26-31, 2015</t>
  </si>
  <si>
    <t>Milan, ITALY</t>
  </si>
  <si>
    <t>Antarctic; classification; conditional random fields (CRFs); multiple features; RADARSAT-2; sea ice; synthetic aperture radar (SAR)</t>
  </si>
  <si>
    <t>SYNTHETIC-APERTURE RADAR; INTERANNUAL VARIABILITY; BOUNDARY CONSTRAINT; TEXTURE ANALYSIS; MODEL; SEGMENTATION; THICKNESS; EXCHANGE; COVER; EDGE</t>
  </si>
  <si>
    <t>In January 2014, Chinese National Antarctic Research Expedition (CHINARE) 30th cruise raised public concern since the Xuelong, the Chinese polar research vessel, was trapped in the sea-ice zone (66 degrees 39'20.88 '' S, 144 degrees 25'2.28 '' E) in the vicinity of the Adelie Depression area on the east Antarctic continent. This event highlighted the importance of an operational sea-ice classification map for ice routing to serve ship navigation. In this paper, unprecedented Antarctic sea-ice classification algorithms from RADARSAT-2 satellite dual-polarization synthetic aperture radar (SAR) images were developed using the conditional random fields (CRF) approach by including multiple features from sea-ice concentration, gray-level cooccurrence matrix textures, polarization ratio, backscatter coefficients, and intensity data. Coincident RADARSAT-2 Satellite SAR datasets with five scenes were collected for ice classification into categories such as open water, thin ice, smooth first year ice, deformed first year ice, and old ice during the CHINARE-30th cruise. The effects of deformation, rafting, and ridging during the spring-summer transition period were overwhelmed by the spatial and contextual CRF models in combination with the rich features extracted for sea-ice classification. Four strategies including statistical distribution and region connection, multiple features and support vector machine (SVM) integrated into the CRF model are proposed to describe the sea-ice-type relationships among pixels. By conducting comparative experiments between the proposed methods and state-of-the-art sea-ice classification based on the SVM algorithm, the best was obtained from the SVM-based CRF (SVM-CRF) algorithm for sea-ice classification with respect to the three scenes from the Indian Ocean sector and two scenes of Pacific Ocean sectors including medium-resolution dual-polarization SAR imagery with a pixel spacing of 50 m and higher resolution dual-polarization SAR imagery with a pixel spacing of 6.25 m. Results indicate that the SVM-CRF approach has the capacity for improving sea-ice classification, which can provide accurate and reliable sea-ice class information for sea-ice analysis.</t>
  </si>
  <si>
    <t>[Zhu, Tingting] Wuhan Univ, State Key Lab Informat Engn Surveying Mapping &amp; R, Wuhan 430079, Peoples R China; [Li, Fei] Wuhan Univ, Chinese Antarctic Ctr Surveying &amp; Mapping, State Key Lab Informat Engn Surveying Mapping &amp; R, Wuhan 430079, Peoples R China; [Li, Fei] Wuhan Univ, Collaborat Innovat Ctr Geospatial Technol, Wuhan 430079, Peoples R China; [Heygster, Georg] Univ Bremen, Inst Environm Phys, D-28359 Bremen, Germany; [Zhang, Shengkai] Wuhan Univ, Chinese Antarctic Ctr Surveying &amp; Mapping, Wuhan 430079, Peoples R China</t>
  </si>
  <si>
    <t>Wuhan University; Wuhan University; Wuhan University; University of Bremen; Wuhan University</t>
  </si>
  <si>
    <t>Li, F (corresponding author), Wuhan Univ, Chinese Antarctic Ctr Surveying &amp; Mapping, State Key Lab Informat Engn Surveying Mapping &amp; R, Wuhan 430079, Peoples R China.;Li, F (corresponding author), Wuhan Univ, Collaborat Innovat Ctr Geospatial Technol, Wuhan 430079, Peoples R China.</t>
  </si>
  <si>
    <t>zhutingting62008@163.com; fli@whu.edu.cn; heygster@uni-bremen.de; zskai@whu.edu.cn</t>
  </si>
  <si>
    <t>Heygster, Georg C./B-4928-2014</t>
  </si>
  <si>
    <t>Heygster, Georg/0000-0003-2232-7429</t>
  </si>
  <si>
    <t>1939-1404</t>
  </si>
  <si>
    <t>2151-1535</t>
  </si>
  <si>
    <t>IEEE J-STARS</t>
  </si>
  <si>
    <t>IEEE J. Sel. Top. Appl. Earth Observ. Remote Sens.</t>
  </si>
  <si>
    <t>10.1109/JSTARS.2016.2551318</t>
  </si>
  <si>
    <t>Engineering, Electrical &amp; Electronic; Geography, Physical; Remote Sensing; Imaging Science &amp; Photographic Technology</t>
  </si>
  <si>
    <t>Engineering; Physical Geography; Remote Sensing; Imaging Science &amp; Photographic Technology</t>
  </si>
  <si>
    <t>DR5HW</t>
  </si>
  <si>
    <t>WOS:000379935100030</t>
  </si>
  <si>
    <t>Pérez, CA; Aravena, JC; Silva, WA; McCulloch, R; Armesto, JJ; Parfitt, R</t>
  </si>
  <si>
    <t>Perez, C. A.; Aravena, J. C.; Silva, W. A.; McCulloch, R.; Armesto, J. J.; Parfitt, R.</t>
  </si>
  <si>
    <t>Patterns of ecosystem development in glacial foreland chronosequences: a comparative analysis of Chile and New Zealand</t>
  </si>
  <si>
    <t>NEW ZEALAND JOURNAL OF BOTANY</t>
  </si>
  <si>
    <t>Biological nitrogen fixation; Franz Josef; retrogression; soil/leaves stoichiometry; sub-Antarctic forests</t>
  </si>
  <si>
    <t>SOUTHERNMOST SOUTH-AMERICA; TEMPERATE RAIN-FOREST; SANTA INES ISLAND; NITROGEN-FIXATION; PRIMARY SUCCESSION; SOIL; PHOSPHORUS; LIMITATION; DYNAMICS; MAGELLAN</t>
  </si>
  <si>
    <t>After catastrophic disturbances, depleted substrates are readily colonised by organisms that capture nitrogen from the atmosphere and extract phosphorus from minerals. Our main objective was to compare the pattern of ecosystem development following deglaciation in Chile and New Zealand. Results show a similar pattern of C and N accumulation and decline in soil chronosequences, similar decline in biological nitrogen fixation (BNF) and similar N-15-enriched signal at later stages, providing evidence for the existence of progressive, maximal and retrogressive phases of ecosystem development. However, contrasting patterns between Chilean and New Zealand sites are evident during the progressive phase, when higher C/N, C/P and N/P ratios are found in soils and leaves in Chile than in New Zealand, suggesting a higher nutrient limitation and nutrient use efficiency in the former. Highest rates of BNF were found at the early stages of both the Chilean and New Zealand chronosequences. Contrasting patterns across regions were the lack of a decline in soil total P, and the depleted values in soils of N-15 during the progressive phase in the Chilean chronosequences, but enriched values, suggesting an open nitrogen cycle, during retrogression in both the Chilean and the New Zealand chronosequences. Overall, these results provide evidence for the existence of retrogression with ecosystem development in the sub-Antarctic region of the world, even when comparing contrasting biomes, climatic regions and geological substrates.</t>
  </si>
  <si>
    <t>[Perez, C. A.; Silva, W. A.; Armesto, J. J.] Inst Ecol &amp; Biodiversidad, Santiago, Chile; [Aravena, J. C.] Univ Magallanes, Inst Patagonia, Punta Arenas, Chile; [McCulloch, R.] Univ Stirling, Biol &amp; Environm Sci, Stirling, Scotland; [Armesto, J. J.] Pontificia Univ Catolica Chile, Dept Ecol, Santiago, Chile; [Parfitt, R.] Landcare Res, Res Div Soils &amp; Landscapes, Christchurch, New Zealand</t>
  </si>
  <si>
    <t>Universidad de Magallanes; University of Stirling; Pontificia Universidad Catolica de Chile; Landcare Research - New Zealand</t>
  </si>
  <si>
    <t>Pérez, CA (corresponding author), Inst Ecol &amp; Biodiversidad, Santiago, Chile.</t>
  </si>
  <si>
    <t>cperez@bio.puc.cl</t>
  </si>
  <si>
    <t>Aravena, Juan-Carlos/D-5687-2013; Armesto, Juan J/G-6467-2016</t>
  </si>
  <si>
    <t>McCulloch, Robert/0000-0001-5542-3703</t>
  </si>
  <si>
    <t>0028-825X</t>
  </si>
  <si>
    <t>1175-8643</t>
  </si>
  <si>
    <t>NEW ZEAL J BOT</t>
  </si>
  <si>
    <t>N. Z. J. Bot.</t>
  </si>
  <si>
    <t>10.1080/0028825X.2016.1143018</t>
  </si>
  <si>
    <t>DR3TQ</t>
  </si>
  <si>
    <t>WOS:000379825900005</t>
  </si>
  <si>
    <t>Jiménez, JE; Jahn, AE; Rozzi, R; Seavy, NE</t>
  </si>
  <si>
    <t>Jimenez, Jaime E.; Jahn, Alex E.; Rozzi, Ricardo; Seavy, Nathaniel E.</t>
  </si>
  <si>
    <t>First Documented Migration of Individual White-Crested Elaenias (Elaenia albiceps chilensis) in South America</t>
  </si>
  <si>
    <t>WILSON JOURNAL OF ORNITHOLOGY</t>
  </si>
  <si>
    <t>Amazonia; Brazil; Chile; migratory birds; Omora Ethnobotanical Park; sub-Antarctic</t>
  </si>
  <si>
    <t>HORN BIOSPHERE RESERVE; ANNUAL-CYCLE; GEOLOCATOR; BIRDS; CONNECTIVITY; PASSERINES; DIVERSITY; ABUNDANCE; PATTERNS; FORESTS</t>
  </si>
  <si>
    <t>Few details are available on the migration (rates, routes, dates) of Neotropical austral migrant birds, which breed and migrate wholly within South America. Only one long-distance austral migrant breeds in the South American temperate forest biome: the White-crested Elaenia (Elaenia albiceps chilensis). However, the migratory dates, routes, and wintering locations are poorly known. During the austral summers of 2011-2013, we attached light level geolocators to breeding White-crested Elaenias at the world's southernmost forests, on Navarino Island, Chile. The duration of fall migration of three Elaenias to the Amazonian wintering grounds was 64-96 days, while spring migration was 45-60 days. The average distance between breeding and wintering grounds was 5,932 km, which constitutes the longest migration of a Neotropical austral migrant studied to date. A better understanding of the annual cycle of Elaenias could offer new opportunities to examine the evolution of migration and population regulation of one of Patagonia's most common birds.</t>
  </si>
  <si>
    <t>[Jimenez, Jaime E.] Univ North Texas, Dept Biol Sci, Denton, TX 76203 USA; [Jimenez, Jaime E.; Rozzi, Ricardo] Univ Magallanes, Parque Etnobot Omora, Puerto Williams, Chile; [Jimenez, Jaime E.; Rozzi, Ricardo] Inst Ecol &amp; Biodivers, Santiago, Chile; [Jahn, Alex E.] Univ Estadual Paulista, Dept Zool, Rio Claro, SP, Brazil; [Rozzi, Ricardo] Univ North Texas, Dept Philosophy &amp; Relig Studies, Denton, TX 76203 USA; [Seavy, Nathaniel E.] Point Blue Conservat Sci, Petaluma, CA 94954 USA</t>
  </si>
  <si>
    <t>University of North Texas System; University of North Texas Denton; Universidad de Magallanes; Universidade Estadual Paulista; University of North Texas System; University of North Texas Denton</t>
  </si>
  <si>
    <t>Jiménez, JE (corresponding author), Univ North Texas, Dept Biol Sci, Denton, TX 76203 USA.;Jiménez, JE (corresponding author), Univ Magallanes, Parque Etnobot Omora, Puerto Williams, Chile.;Jiménez, JE (corresponding author), Inst Ecol &amp; Biodivers, Santiago, Chile.</t>
  </si>
  <si>
    <t>Jaime.Jimenez@unt.edu</t>
  </si>
  <si>
    <t>Jimenez, Jaime E./AAO-7531-2020; Rozzi, Ricardo/G-1047-2012</t>
  </si>
  <si>
    <t>Rozzi, Ricardo/0000-0001-5265-8726</t>
  </si>
  <si>
    <t>University of North Texas; Universidad de Magallanes; Institute of Ecology and Biodiversity [ICM P05-002, CONICYT PFB-23]; Fundacao de Amparo a Pesquisa do Estado de Sao Paulo [2012/17225-2]; Fundacao de Amparo a Pesquisa do Estado de Sao Paulo (FAPESP) [12/17225-2] Funding Source: FAPESP</t>
  </si>
  <si>
    <t>University of North Texas; Universidad de Magallanes; Institute of Ecology and Biodiversity; Fundacao de Amparo a Pesquisa do Estado de Sao Paulo(Fundacao de Amparo a Pesquisa do Estado de Sao Paulo (FAPESP)); Fundacao de Amparo a Pesquisa do Estado de Sao Paulo (FAPESP)(Fundacao de Amparo a Pesquisa do Estado de Sao Paulo (FAPESP))</t>
  </si>
  <si>
    <t>We thank University of North Texas, Universidad de Magallanes, and the Institute of Ecology and Biodiversity (ICM P05-002 y CONICYT PFB-23) for support. E. Bridge provided geolocator prototypes at a very low cost, and C. Taylor helped with downloading the data. O. Barroso and several students and volunteers helped to fit Elaenias with geologgers and with subsequent efforts to recapture the birds. A. E. Jahn thanks the Fundacao de Amparo a Pesquisa do Estado de Sao Paulo (#2012/17225-2) for support during data analysis and writing of the manuscript. Thanks for the comments of two reviewers and of Mary Bomberger Brown that improved the quality of the paper. Elaenias were captured under permits No. 7137, 5037, and 484 from Chile's Livestock and Agriculture Bureau (SAG).</t>
  </si>
  <si>
    <t>WILSON ORNITHOLOGICAL SOC</t>
  </si>
  <si>
    <t>WACO</t>
  </si>
  <si>
    <t>5400 BOSQUE BLVD, STE 680, WACO, TX 76710 USA</t>
  </si>
  <si>
    <t>1559-4491</t>
  </si>
  <si>
    <t>1938-5447</t>
  </si>
  <si>
    <t>WILSON J ORNITHOL</t>
  </si>
  <si>
    <t>Wilson J. Ornithol.</t>
  </si>
  <si>
    <t>10.1676/1559-4491-128.2.419</t>
  </si>
  <si>
    <t>DQ8GN</t>
  </si>
  <si>
    <t>WOS:000379447200018</t>
  </si>
  <si>
    <t>Kogarko, LN</t>
  </si>
  <si>
    <t>Kogarko, L. N.</t>
  </si>
  <si>
    <t>Fractionation of zirconium and hafnium during processes of mantle metasomatism</t>
  </si>
  <si>
    <t>DOKLADY EARTH SCIENCES</t>
  </si>
  <si>
    <t>CARBONATE; HENRYMEYERITE; GEOCHEMISTRY; ROCKS</t>
  </si>
  <si>
    <t>For the first time, fractionation of zirconium and hafnium in carbonatized mantle xenoliths from the eastern Antarctic has been studied. An elevation relative to the chondrite values of Zr/Hf in the metasomatized xenoliths has been revealed. The main reactions of the carbonate metasomatism lead to replacement of primary orthopyroxene by secondary clinopyroxene. A substantial broadening of the clinopyroxene crystallization field results in an increase of Zr/Hf in an equilibrated melt due to a higher partition coefficient of Hf in clinopyroxene, relative to that of Zr. Migration of reaction-active carbonate and carbonate-silicate melts, equilibrated to metasomatic wehrlite, causes an increase in the Zr/Hf value in the carbonatized mantle substrate.</t>
  </si>
  <si>
    <t>[Kogarko, L. N.] Russian Acad Sci, Vernadsky Inst Geochem &amp; Analyt Chem, Ul Kosygina 19, Moscow 119991, Russia</t>
  </si>
  <si>
    <t>Russian Academy of Sciences; Vernadsky Institute of Geochemistry &amp; Analytical Chemistry</t>
  </si>
  <si>
    <t>Kogarko, LN (corresponding author), Russian Acad Sci, Vernadsky Inst Geochem &amp; Analyt Chem, Ul Kosygina 19, Moscow 119991, Russia.</t>
  </si>
  <si>
    <t>kogarko@geokhi.ru</t>
  </si>
  <si>
    <t>Kogarko, Lia N/P-6337-2016</t>
  </si>
  <si>
    <t>Kogarko, Lia/0000-0001-6306-9038</t>
  </si>
  <si>
    <t>Russian Science Foundation [15-17-30019]; Russian Science Foundation [15-17-30019] Funding Source: Russian Science Foundation</t>
  </si>
  <si>
    <t>Russian Science Foundation(Russian Science Foundation (RSF)); Russian Science Foundation(Russian Science Foundation (RSF))</t>
  </si>
  <si>
    <t>This study was supported by the Russian Science Foundation, grant no. 15-17-30019.</t>
  </si>
  <si>
    <t>1028-334X</t>
  </si>
  <si>
    <t>1531-8354</t>
  </si>
  <si>
    <t>DOKL EARTH SCI</t>
  </si>
  <si>
    <t>Dokl. Earth Sci.</t>
  </si>
  <si>
    <t>10.1134/S1028334X16060076</t>
  </si>
  <si>
    <t>DR2TW</t>
  </si>
  <si>
    <t>WOS:000379757800014</t>
  </si>
  <si>
    <t>Wang, L; Jansen, M; Abernathey, R</t>
  </si>
  <si>
    <t>Wang, Lei; Jansen, Malte; Abernathey, Ryan</t>
  </si>
  <si>
    <t>Eddy Phase Speeds in a Two-Layer Model of Quasigeostrophic Baroclinic Turbulence with Applications to Ocean Observations</t>
  </si>
  <si>
    <t>EXTRATROPICAL PLANETARY-WAVES; MEAN FLOW; SOUTHERN-OCEAN; BETA-PLANE; PART I; DISPERSION-RELATION; SPECTRAL-ANALYSIS; MIDOCEAN EDDIES; KINETIC-ENERGY; ROSSBY WAVES</t>
  </si>
  <si>
    <t>The phase speed spectrum of ocean mesoscale eddies is fundamental to understanding turbulent baroclinic flows. Since eddy phase propagation has been shown to modulate eddy fluxes, an understanding of eddy phase speeds is also of practical importance for the development of improved eddy parameterizations for coarse resolution ocean models. However, it is not totally clear whether and how linear Rossby wave theory can be used to explain the phase speed spectra in various weakly turbulent flow regimes. Using linear analysis, theoretical constraints are identified that control the eddy phase speed in a two-layer quasigeostrophic (QG) model. These constraints are then verified in a series of nonlinear two-layer QG simulations, spanning a range of parameters with potential relevance to the ocean. In the two-layer QG model, the strength of the inverse cascade exerts an important control on the eddy phase speed. If the inverse cascade is weak, the phase speed spectrum is reasonably well approximated by the phase speed of the linearly most unstable mode. A significant inverse cascade instead leads to barotropization, which in turn leads to mean phase speeds closer to those of barotropic-mode Rossby waves. The two-layer QG results are qualitatively consistent with the observed eddy phase speed spectra in the Antarctic Circumpolar Current and may also shed light on the interpretation of phase speed spectra observed in other regions.</t>
  </si>
  <si>
    <t>[Wang, Lei; Jansen, Malte] Univ Chicago, Chicago, IL 60637 USA; [Abernathey, Ryan] Columbia Univ, New York, NY USA</t>
  </si>
  <si>
    <t>University of Chicago; Columbia University</t>
  </si>
  <si>
    <t>Wang, L (corresponding author), Univ Chicago, Dept Geophys Sci, 5734 S Ellis Ave, Chicago, IL 60637 USA.</t>
  </si>
  <si>
    <t>leiw@uchicago.edu</t>
  </si>
  <si>
    <t>GFD program; NASA [NNX14AI46G]; NSF [1536450]; NASA [NNX14AI46G, 681756] Funding Source: Federal RePORTER; Directorate For Geosciences; Division Of Ocean Sciences [1536450] Funding Source: National Science Foundation; Directorate For Geosciences; Division Of Ocean Sciences [1553593] Funding Source: National Science Foundation</t>
  </si>
  <si>
    <t>GFD program; NASA(National Aeronautics &amp; Space Administration (NASA)); NSF(National Science Foundation (NSF)); NASA(National Aeronautics &amp; Space Administration (NASA)); Directorate For Geosciences; Division Of Ocean Sciences(National Science Foundation (NSF)NSF - Directorate for Geosciences (GEO)); Directorate For Geosciences; Division Of Ocean Sciences(National Science Foundation (NSF)NSF - Directorate for Geosciences (GEO))</t>
  </si>
  <si>
    <t>Much of this work was carried out at the 2014 Geophysical Fluid Dynamics Summer School while L.W. was a visiting student at Woods Hole Oceanographic Institution. M.F.J. and R.P.A acknowledge support from the GFD program. R.P.A acknowledges additional support from NASA Award NNX14AI46G. M.F.J. acknowledges additional support from NSF Award 1536450. We thank Glenn Flierl, William Young, Rui Xin Huang, and Isaac Held for helpful comments and discussions.</t>
  </si>
  <si>
    <t>10.1175/JPO-D-15-0192.1</t>
  </si>
  <si>
    <t>DR0KU</t>
  </si>
  <si>
    <t>WOS:000379597200003</t>
  </si>
  <si>
    <t>Lubis, SW; Omrani, NE; Matthes, K; Wahl, S</t>
  </si>
  <si>
    <t>Lubis, Sandro W.; Omrani, Nour-Eddine; Matthes, Katja; Wahl, Sebastian</t>
  </si>
  <si>
    <t>Impact of the Antarctic Ozone Hole on the Vertical Coupling of the Stratosphere-Mesosphere-Lower Thermosphere System</t>
  </si>
  <si>
    <t>GENERAL-CIRCULATION; MIDDLE ATMOSPHERE; PLANETARY-WAVES; BAROCLINIC INSTABILITY; PROPAGATION; VARIABILITY; PARAMETERIZATION; SENSITIVITY; TROPOSPHERE; DEPLETION</t>
  </si>
  <si>
    <t>There is evidence that the strengthened stratospheric westerlies arising from the Antarctic ozone hole-induced cooling cause a polar mesospheric warming and a subsequent cooling in the lower thermosphere. While previous studies focus on the role of nonresolved (gravity) wave drag filtering, here the role of resolved (planetary) wave drag and radiative forcing on the Antarctic mesosphere and lower thermosphere (MLT) is explored in detail. Using simulations with NCAR's Community Earth System Model, version 1 (Whole Atmosphere Community Climate Model) [CESM1(WACCM)], it is found that in late spring and early summer the anomalous polar mesospheric warming induced by easterly nonresolved wave drag is dampened by anomalous dynamical cooling induced by westerly resolved wave drag. This resolved wave drag is attributed to planetary-scale wave (k51-3) activity, which is generated in situ as a result of increased instability of the summer mesospheric easterly jet induced by the ozone hole. On the other hand, the anomalous cooling in the polar lower thermosphere induced by westerly nonresolved wave drag is enhanced by anomalous dynamical cooling due to westerly resolved wave drag. In addition, radiative effects from increased greenhouse gases during the ozone hole period contribute partially to the cooling in the polar lower thermosphere. The polar MLT temperature response to the Antarctic ozone hole is, through thermal wind balance, accompanied by the downward migration of anomalous zonal-mean wind from the lower thermosphere to the stratopause. The results highlight that a proper accounting of both dynamical and radiative effects is required in order to correctly attribute the causes of the polar MLT response to the Antarctic ozone hole.</t>
  </si>
  <si>
    <t>[Lubis, Sandro W.; Omrani, Nour-Eddine; Matthes, Katja; Wahl, Sebastian] GEOMAR Helmholtz Ctr Ocean Res Kiel, Dusternbrooker Weg 20, D-24105 Kiel, Germany; [Omrani, Nour-Eddine] Univ Bergen, Inst Geophys, Bergen, Norway; [Omrani, Nour-Eddine] Bjerknes Ctr Climate Res, Bergen, Norway; [Matthes, Katja] Univ Kiel, Kiel, Germany</t>
  </si>
  <si>
    <t>Helmholtz Association; GEOMAR Helmholtz Center for Ocean Research Kiel; University of Bergen; Bjerknes Centre for Climate Research; University of Kiel</t>
  </si>
  <si>
    <t>Lubis, SW (corresponding author), GEOMAR Helmholtz Ctr Ocean Res Kiel, Dusternbrooker Weg 20, D-24105 Kiel, Germany.</t>
  </si>
  <si>
    <t>slubis@geomar.de</t>
  </si>
  <si>
    <t>Wahl, Sebastian/AFI-1518-2022; Omrani, Noue-Eddine/GQQ-7245-2022; Wahl, Sebastian/AAF-3644-2022; Matthes, Katja/F-7361-2014</t>
  </si>
  <si>
    <t>Matthes, Katja/0000-0003-1801-3072; Lubis, Sandro/0000-0001-6615-9880</t>
  </si>
  <si>
    <t>German-Israeli Foundation for Scientific Research and Development [GIF1151-83.8/2011]; Helmholtz Association through the Presidents Initiative and Networking Fund; GEOMAR Helmholtz Centre for Ocean Research Kiel</t>
  </si>
  <si>
    <t>German-Israeli Foundation for Scientific Research and Development(German-Israeli Foundation for Scientific Research and Development); Helmholtz Association through the Presidents Initiative and Networking Fund(Helmholtz Association); GEOMAR Helmholtz Centre for Ocean Research Kiel(Helmholtz Association)</t>
  </si>
  <si>
    <t>We acknowledge support received from the German-Israeli Foundation for Scientific Research and Development under Grant GIF1151-83.8/2011. This work has also been partially performed within the Helmholtz University Young Investigators Group NATHAN funded by the Helmholtz Association through the Presidents Initiative and Networking Fund and the GEOMAR Helmholtz Centre for Ocean Research Kiel. We are grateful to Christof Petrick and Wuke Wang for setting up some of the fully coupled model experiments used in this study. The authors thank Nili Harnik for useful discussions on the theory of baroclinic instability and traveling wave activity in the middle atmosphere. The authors are also grateful to two anonymous reviewers and Dr. Anne Smith, whose comments helped improve the manuscript. The model simulations were performed at the German Climate Computing Centre (Deutsches Klimarechenzentrum, DKRZ) Hamburg.</t>
  </si>
  <si>
    <t>10.1175/JAS-D-15-0189.1</t>
  </si>
  <si>
    <t>DQ7OO</t>
  </si>
  <si>
    <t>WOS:000379397300002</t>
  </si>
  <si>
    <t>Mokeddem, Z; McManus, JF</t>
  </si>
  <si>
    <t>Mokeddem, Zohra; McManus, Jerry F.</t>
  </si>
  <si>
    <t>Persistent climatic and oceanographic oscillations in the subpolar North Atlantic during the MIS 6 glaciation and MIS 5 interglacial</t>
  </si>
  <si>
    <t>MIS 6; MIS 5; stadial; interstadials; North Atlantic</t>
  </si>
  <si>
    <t>MERIDIONAL OVERTURNING CIRCULATION; ANTARCTIC INTERMEDIATE WATER; OXYGEN-ISOTOPE COMPOSITION; GLOBAL OCEAN CIRCULATION; DEEP-WATER; ICE-SHEET; STABLE-ISOTOPE; NORDIC SEAS; BENTHIC FORAMINIFERA; DANSGAARD-OESCHGER</t>
  </si>
  <si>
    <t>Rapidly accumulating sediments from the Bjorn drift deposit south of Iceland are studied for comparison of glacial/interglacial climate changes related to millennial variability of the subpolar surface and deep ocean circulation in the North Atlantic. High-resolution faunal, isotopic, and sedimentary analyses reveal a strong multimillennial climatic variability interpreted as oscillations in heat transport westward south of Iceland during marine isotope stage 6 (MIS 6), possibly related to the strength of the subpolar gyre (SPG). The oscillations persisted from MIS 6 through the following interglacial (MIS 5), although with diminished magnitude, and were respectively characterized by repeated advances of the polar front south of Iceland during MIS 6 and southward migrations of the Arctic front due to cold surface outflow through the East Greenland and East Iceland Currents during MIS 5. Incursions of cold, fresh surface waters, and drifting ice affected the dynamics of the SPG, episodically causing it to weaken and contract to the northwest. During these intervals of diminished SPG, the northward transport of subtropical heat and salt was strengthened and preferentially conveyed to the northeast past Iceland, enhancing deep-water formation in the Nordic Seas. By contrast, when the SPG was strong, more subtropical water and its associated heat were entrained within the relatively warm Irminger Current flowing westward south of Iceland. These oceanographic oscillations were associated with repeated multimillennial cooling and warming episodes during the glacial stage MIS 6, equivalent to the Dansgaard-Oeschger cycles of the last glaciation.</t>
  </si>
  <si>
    <t>[Mokeddem, Zohra; McManus, Jerry F.] Columbia Univ, Lamont Doherty Earth Observ, Palisades, NY 10964 USA</t>
  </si>
  <si>
    <t>Columbia University</t>
  </si>
  <si>
    <t>Mokeddem, Z; McManus, JF (corresponding author), Columbia Univ, Lamont Doherty Earth Observ, Palisades, NY 10964 USA.</t>
  </si>
  <si>
    <t>zohramokeddem@gmail.com; jmcmanus@ldeo.columbia.edu</t>
  </si>
  <si>
    <t>mcmanus, jerry/0000-0002-7365-1600</t>
  </si>
  <si>
    <t>NSF; Schlumberger Foundation Faculty for the Future program</t>
  </si>
  <si>
    <t>NSF(National Science Foundation (NSF)); Schlumberger Foundation Faculty for the Future program(Schlumberger)</t>
  </si>
  <si>
    <t>We thank D.W. Oppo for useful discussion and comments. We also thank O. Hyams, P. deMenocal, and J. Wright Lab for technical support and IODP-Bremen core repository for providing sediment samples. Financial support was provided by NSF and the Schlumberger Foundation Faculty for the Future program. Data from this study are available through the NOAA NCDC online database (https://www.ncdc.noaa.gov/paleo/study/20127).</t>
  </si>
  <si>
    <t>10.1002/2015PA002813</t>
  </si>
  <si>
    <t>DR5CL</t>
  </si>
  <si>
    <t>WOS:000379920500008</t>
  </si>
  <si>
    <t>Sushchevskaya, NM; Migdisova, NA; Dubinin, EP; Belyatsky, BV</t>
  </si>
  <si>
    <t>Sushchevskaya, N. M.; Migdisova, N. A.; Dubinin, E. P.; Belyatsky, B. V.</t>
  </si>
  <si>
    <t>Regional and Local Magmatic Anomalies and Tectonics of Rift Zones between the Antarctic and South American Plates</t>
  </si>
  <si>
    <t>GEOCHEMISTRY INTERNATIONAL</t>
  </si>
  <si>
    <t>spreading-center magmatism; geochemistry of tholeiites; plumes; Antarctica</t>
  </si>
  <si>
    <t>THOLEIITIC MAGMATISM; BRANSFIELD BASIN; TRACE-ELEMENT; POWELL BASIN; INDIAN RIDGE; SCOTIA SEA; MANTLE; ISOTOPE; OCEAN; HETEROGENEITY</t>
  </si>
  <si>
    <t>The study provides new understanding of magmatism at extinct and modern spreading zones around the western margin of East Antarctica from Bransfield Strait to the Bouvet Triple Junction (BTJ) in the Atlantic Ocean and reveals causes of geochemical heterogeneity of mantle magmatism during the early opening of the Southern Ocean. The results indicate the involvement of an enriched source component in the generation of parental melts, which was formed in several tectonic stages. The enriched (metasomatized) mantle generated at rift zones has geochemical characteristics typical of the western Gondwana lithosphere (with isotopic compositions similar to those inferred for the enriched HIMU and EM-2 sources). This mantle source may have been produced by the thermal erosion of the continental mantle during the early stages of the Karoo-Maud-Ferrar superplume activity. This enriched mantle generated in the apical parts of the plume (sub-oceanic) began to melt during tectonic displacement and fragmentation of Gondwana. The Bouvet Triple Junction, located along modern spreading zones between the Antarctic and South American plate, is characterized by a greater depth of melting and a higher degree of enrichment of primary tholeiitic magmas. The highest enrichment of magmas in this region is controlled by a contribution from a pyroxenite-rich component, which was also identified in the extinct spreading center in Powell Basin.</t>
  </si>
  <si>
    <t>[Sushchevskaya, N. M.; Migdisova, N. A.] Russian Acad Sci, Vernadsky Inst Geochem &amp; Analyt Chem, Ul Kosygina 19, Moscow 119991, Russia; [Dubinin, E. P.] Moscow MV Lomonosov State Univ, Fac Geol, Moscow 119991, Russia; [Belyatsky, B. V.] Karpinskii All Russia Res Inst Geol, Srendii Prosp 74, St Petersburg, Russia</t>
  </si>
  <si>
    <t>Russian Academy of Sciences; Vernadsky Institute of Geochemistry &amp; Analytical Chemistry; Lomonosov Moscow State University; A.P. Karpinsky Russian Geological Research Institute (VSEGEI)</t>
  </si>
  <si>
    <t>Sushchevskaya, NM (corresponding author), Russian Acad Sci, Vernadsky Inst Geochem &amp; Analyt Chem, Ul Kosygina 19, Moscow 119991, Russia.</t>
  </si>
  <si>
    <t>nadyas@geokhi.ru; edubinin08@rambler.ru; bbelyatsky@mail.ru</t>
  </si>
  <si>
    <t>Мигдисова, Наталья/A-4495-2017; Belyatsky, Boris/V-6644-2019</t>
  </si>
  <si>
    <t>Belyatsky, Boris/0000-0002-4022-9366</t>
  </si>
  <si>
    <t>Russian Foundation for Basic Research [15-05-03486, 15-05-2086, 13-05-12110 OFI-m]</t>
  </si>
  <si>
    <t>This study was supported by the Russian Foundation for Basic Research (projects nos. 15-05-03486, 15-05-2086, 13-05-12110 OFI-m).</t>
  </si>
  <si>
    <t>0016-7029</t>
  </si>
  <si>
    <t>1556-1968</t>
  </si>
  <si>
    <t>GEOCHEM INT+</t>
  </si>
  <si>
    <t>Geochem. Int.</t>
  </si>
  <si>
    <t>10.1134/S0016702916050104</t>
  </si>
  <si>
    <t>DQ4HY</t>
  </si>
  <si>
    <t>WOS:000379166000002</t>
  </si>
  <si>
    <t>Foo, SA; Sparks, KM; Uthicke, S; Karelitz, S; Barker, M; Byrne, M; Lamare, M</t>
  </si>
  <si>
    <t>Foo, Shawna A.; Sparks, Kate M.; Uthicke, Sven; Karelitz, Sam; Barker, Mike; Byrne, Maria; Lamare, Miles</t>
  </si>
  <si>
    <t>Contributions of genetic and environmental variance in early development of the Antarctic sea urchin Sterechinus neumayeri in response to increased ocean temperature and acidification</t>
  </si>
  <si>
    <t>REDUCED SEAWATER PH; CLIMATE-CHANGE; CARBONIC-ACID; ADAPTATION; EVOLUTION; FERTILIZATION; VULNERABILITY; EMBRYOS; ECHINODERMATA; DISSOCIATION</t>
  </si>
  <si>
    <t>Breeding designs such as the North Carolina II can be used to identify the sources of genetic and environmental variances in embryo performance. Here this approach is used for the Antarctic sea urchin S. neumayeri to explore how the contribution of sire and dam can influence the performance of cleavage stage embryos and blastulae, and how these contributions differ when exposed to stress from increased temperature and acidification. The interrelationship of sire-dam effects was also compared across developmental stages. The effects of warming (+3 degrees C) and acidification (-0.3 and -0.5 pHT units) on 24 sire-dam crosses were investigated. These stressors decreased cleavage success and the percentage of normal blastulae, with a negative interactive effect between stressors. The response to these factors differed among the sire-dam pairs indicating the influence of gamete compatibility. A positive genetic correlation indicated that genotypes that performed well as blastulae in low pH also performed well at increased temperatures. Performance at cleavage was a good predictor of performance at the later blastula stage. Significant dam by temperature interactions indicated differential performance among maternal half-siblings in response to increased temperature. Adaptation depends on additive genetic variance for stress tolerance being present in populations; however, there were no sire by stressor interactions found. This indicates that S. neumayeri will need to rely on phenotypic plasticity to persist through an ocean decreasing in pH and warming, at least with respect to early development.</t>
  </si>
  <si>
    <t>[Foo, Shawna A.] Univ Sydney, Sch Med Sci, Sydney, NSW, Australia; [Sparks, Kate M.; Karelitz, Sam; Barker, Mike; Lamare, Miles] Univ Otago, Dept Marine Sci, Dunedin, New Zealand; [Uthicke, Sven] Australian Inst Marine Sci, Townsville, Qld, Australia; [Byrne, Maria] Univ Sydney, Sch Med, Sydney, NSW, Australia; [Byrne, Maria] Univ Sydney, Sch Biol Sci, Sydney, NSW, Australia</t>
  </si>
  <si>
    <t>University of Sydney; University of Otago; Australian Institute of Marine Science; University of Sydney; University of Sydney</t>
  </si>
  <si>
    <t>Foo, SA (corresponding author), Univ Sydney, Sch Med Sci, Sydney, NSW, Australia.</t>
  </si>
  <si>
    <t>shawna@anatomy.usyd.edu.au</t>
  </si>
  <si>
    <t>Foo, Shawna/HKO-0078-2023; Uthicke, Sven/F-1810-2010; Byrne, Maria/K-6355-2016</t>
  </si>
  <si>
    <t>Uthicke, Sven/0000-0002-3476-6595; Byrne, Maria/0000-0002-8902-9808; Foo, Shawna/0000-0002-7083-2377</t>
  </si>
  <si>
    <t>New Zealand Antarctic Research Institute; University of Sydney</t>
  </si>
  <si>
    <t>New Zealand Antarctic Research Institute; University of Sydney(University of Sydney)</t>
  </si>
  <si>
    <t>Research was supported by a New Zealand Antarctic Research Institute Grant (MDL) and a University of Sydney Ph.D. Scholarship (SF). We thank Antarctica New Zealand for logistical support, and are grateful for sea urchin collections made by Mr. Rob Robbins (USAP) and Professor Steve Wing (University of Otago). Dr. Kim Currie (University of Otago) supervised the analysis of water samples. We thank two reviewers for valuable feedback.</t>
  </si>
  <si>
    <t>10.1007/s00227-016-2903-1</t>
  </si>
  <si>
    <t>DQ1BQ</t>
  </si>
  <si>
    <t>WOS:000378936200002</t>
  </si>
  <si>
    <t>Okon, J; Gizejewski, J; Janik, T</t>
  </si>
  <si>
    <t>Okon, Jan; Gizejewski, Jerzy; Janik, Tomasz</t>
  </si>
  <si>
    <t>New geological interpretation of multi-channel seismic profiles from the Pacific Margin of the Antarctic Peninsula</t>
  </si>
  <si>
    <t>Antarctica; Bransfield Strait; South Shetland Trench; marine seismic; subduction zone; glacier valleys; volcanic structure</t>
  </si>
  <si>
    <t>SOUTH SHETLAND ISLANDS; WEST-ANTARCTICA; BRANSFIELD STRAIT; CRUSTAL STRUCTURE; ICE-SHEET; EVOLUTION; LITHOSPHERE; RECORD; TRENCH; PLATE</t>
  </si>
  <si>
    <t>The Polish Geophysical Expedition to West Antarctica in 1979-1980 was carried out by the Institute of Geophysics, Polish Academy of Sciences. Beside deep seismic soundings, 12 multi-channel seismic profiles, with a total length of ca 1000 km have been recorded north and east of the South Shetland Islands and in the Bransfield Strait, but they have never before been completely interpreted and published. All profiles have been processed with modern processing flow including time migration. Profiles crossing the South Shetland Trench revealed distinct reflector inside continental slope, which has been interpreted as border between buried accretionary prism and overlying slope sediments of glacial-marine origin. Profiles in the Bransfield Strait show traces of the Last Glacial Maximum (LGM) in the form of glacial foreground valleys, with some of them used as weak spots for young age volcanic intrusions. This paper is the first comprehensive geological interpretation of collected dataset and differences between results from other expeditions are discussed.</t>
  </si>
  <si>
    <t>[Okon, Jan; Gizejewski, Jerzy; Janik, Tomasz] Polish Acad Sci, Inst Geofizyki, Ksiecia Janusza 64, PL-01452 Warsaw, Poland</t>
  </si>
  <si>
    <t>Okon, J (corresponding author), Polish Acad Sci, Inst Geofizyki, Ksiecia Janusza 64, PL-01452 Warsaw, Poland.</t>
  </si>
  <si>
    <t>jokon@igf.edu.pl; gizej@igf.edu.pl; janik@igf.edu.pl</t>
  </si>
  <si>
    <t>Janik, Tomasz/AAZ-8460-2021</t>
  </si>
  <si>
    <t>Janik, Tomasz/0000-0002-5915-9740</t>
  </si>
  <si>
    <t>Ministry of Science and Higher Education of Poland [3841/E-41/S/2015]; Leading National Research Centre (KNOW)</t>
  </si>
  <si>
    <t>Ministry of Science and Higher Education of Poland(Ministry of Science and Higher Education, Poland); Leading National Research Centre (KNOW)</t>
  </si>
  <si>
    <t>Authors are grateful to Rolf Mjelde (University of Bergen) and Adam Idziak (University of Silesia) for helpful comments and suggestions. This work was supported within statutory activities No 3841/E-41/S/2015 of the Ministry of Science and Higher Education of Poland. This publication has been partially financed from the funds of the Leading National Research Centre (KNOW) received by the Centre for Polar Studies for the period 2014-2018. Bathymetry map was taken from ETOPO1 (Amante and Eakins 2009), satellite image from Google Earth.</t>
  </si>
  <si>
    <t>POLISH ACAD SCIENCES</t>
  </si>
  <si>
    <t>PL DEFILAD 1, WARSZAWA, 00000, POLAND</t>
  </si>
  <si>
    <t>10.1515/popore-2016-0014</t>
  </si>
  <si>
    <t>DQ4DK</t>
  </si>
  <si>
    <t>WOS:000379153800005</t>
  </si>
  <si>
    <t>Domaciuk, M; Leszczuk, A; Szczuka, E; Kellmann-Sopyla, W; Koc, J; Gielwanowska, I</t>
  </si>
  <si>
    <t>Domaciuk, Marcin; Leszczuk, Agata; Szczuka, Ewa; Kellmann-Sopyla, Wioleta; Koc, Justyna; Gielwanowska, Irena</t>
  </si>
  <si>
    <t>Female sporogenesis in the native Antarctic grass Deschampsia antarctica Desv.</t>
  </si>
  <si>
    <t>Antarctic; Deschampsia antarctica; megasporocyte; meiosis; megaspore tetrad; callose</t>
  </si>
  <si>
    <t>KING GEORGE ISLAND; GENERATIVE REPRODUCTION; POLAR CARYOPHYLLACEAE; SOUTH SHETLAND; ULTRASTRUCTURE; ANGIOSPERMS; OVULES; CELLS; L.</t>
  </si>
  <si>
    <t>The development of megasporocytes and the functional megaspore formation in Deschampsia antarctica were analyzed with the use of microscopic methods. A single archesporial cell was formed directly under the epidermis in the micropylar region of the ovule without producing a parietal cell. In successive stages of development, the meiocyte was transformed into a megaspore tetrad after meiosis. Most megaspores were arranged in a linear fashion, but some tetrads were T-shaped. Only one of the 60 analyzed ovules contained a cell in the direct proximity of the megasporocyte, which could be an aposporous initial. Most of the evaluated D. antarctica ovules featured monosporic embryo sacs of the Polygonum type. Approximately 30% of ovules contained numerous megaspores that were enlarged. The megaspores were located at chalazal and micropylar poles, and some ovules featured two megaspores - terminal and medial - in the chalazal region, or even three megaspores at the chalazal pole. In those cases, the micropylar megaspore was significantly smaller than the remaining megaspores, and it did not have the characteristic features of functional megaspores. Meiocytes and megaspores of D. antarctica contained polysaccharides that were detectable by PAS-reaction and aniline blue staining. Starch granules and cell walls of megasporocytes, megaspores and nucellar cells were PAS-positive. Fluorescent callose deposits were identified in the micropylar end of the megasporocytes. During meiosis and after its completion, thick callose deposits were also visible in the periclinal walls and in a small amount in the anticlinal walls of megaspores forming linear and T-shaped tetrads. Callose deposits fluorescence was not observed in the walls of the nucellar cells.</t>
  </si>
  <si>
    <t>[Domaciuk, Marcin; Leszczuk, Agata; Szczuka, Ewa] Uniwersytet Marii Curie Sklodowskiej, Wydzial Biol &amp; Biotechnol, Zaklad Anat &amp; Cytol Roslin, Ul Akad 19, PL-20031 Lublin, Poland; [Kellmann-Sopyla, Wioleta; Koc, Justyna; Gielwanowska, Irena] Uniwersytet Warminsko Mazurski Olsztynie, Wydzial Biol &amp; Biotechnol, Katedra Fizjol Genetyki &amp; Biotechnol Roslin, Ul Oczapowskiego 1A, PL-10719 Olsztyn, Poland; [Gielwanowska, Irena] Antarktyki &amp; Polska Stacja Antarktyczna H Arctows, Zaklad Biol, Inst Biochem &amp; Biofizyki PAN, Ul Ustrzycka 10-12, PL-02141 Warsaw, Poland</t>
  </si>
  <si>
    <t>Maria Curie-Sklodowska University; Polish Academy of Sciences; Institute of Biochemistry &amp; Biophysics - Polish Academy of Sciences</t>
  </si>
  <si>
    <t>Gielwanowska, I (corresponding author), Uniwersytet Warminsko Mazurski Olsztynie, Wydzial Biol &amp; Biotechnol, Katedra Fizjol Genetyki &amp; Biotechnol Roslin, Ul Oczapowskiego 1A, PL-10719 Olsztyn, Poland.;Gielwanowska, I (corresponding author), Antarktyki &amp; Polska Stacja Antarktyczna H Arctows, Zaklad Biol, Inst Biochem &amp; Biofizyki PAN, Ul Ustrzycka 10-12, PL-02141 Warsaw, Poland.</t>
  </si>
  <si>
    <t>i.gielwanowska@uwm.edu.pl</t>
  </si>
  <si>
    <t>Szczuka, Ewa/0000-0002-0042-6656; Gielwanowska, Irena/0000-0002-9001-1285; Leszczuk, Agata/0000-0002-8876-8377</t>
  </si>
  <si>
    <t>10.1515/popore-2016-0016</t>
  </si>
  <si>
    <t>WOS:000379153800007</t>
  </si>
  <si>
    <t>Bielecka, L; Jerzak, B; Zloch, I</t>
  </si>
  <si>
    <t>Bielecka, Luiza; Jerzak, Bartlomiej; Zloch, Ilona</t>
  </si>
  <si>
    <t>Species composition, seasonal abundance and population structure of chaetognaths in Admiralty Bay (Antarctic)</t>
  </si>
  <si>
    <t>Antarctic; Chaetognatha; taxa composition; population structure; body size</t>
  </si>
  <si>
    <t>EUKROHNIA-HAMATA; VERTICAL-DISTRIBUTION; PARASAGITTA-ELEGANS; SOUTHERN-OCEAN; SAGITTA-GAZELLAE; PREDATION IMPACT; GERLACHE STRAIT; SEA ANTARCTICA; WEDDELL-SEA; PENINSULA</t>
  </si>
  <si>
    <t>Although chaetognaths inhabiting polar ecosystems are relatively well known, there are few reports on their functioning in the Antarctic coastal plankton community. The presented results provide the first comprehensive description of population structure of chaetognaths in the neritic zone west of the Antarctic Peninsula. The studies were performed on samples collected in Admiralty Bay, from December 1994 to June 1995. Following six chaetognath species were determined: Eukrohnia hamata, E. bathypelagica, E. fowleri, Pseudosagitta gazellae, P. maxima and Solidosagitta marri. The representatives of Eukrohnia were observed almost throughout the research period, whereas those of Pseudosagitta and Solidosagitta were found only during first four months of our investigation. Eukrohnia hamata showed a strong dominance in respect to abundance (max. 445 ind./1000 m(3)). The mean abundance of all taxa significantly fluctuated in the study period and across weeks. Generally, all species were represented by the first three maturity stages (I-III), individuals stage IV occurred sporadically, and mature specimens (stage V) were not recorded at all. Morphometric analysis of the most abundant species showed distinct differences in their total length and body proportions. Our findings may suggest that chaetognath populations in Admiralty Bay are migrant, dependent on the inflow of water from the Bransfield Strait, but to prove this statement further, round year study is necessary.</t>
  </si>
  <si>
    <t>[Bielecka, Luiza] Uniwersytet Gdanski, Inst Oceanog, Zaklad Funkcjonowania Ekosyst Morskich, Al Marszalka Pilsudskiego 46, PL-81378 Gdynia, Poland; [Jerzak, Bartlomiej] Uniwersytet Gdanski, Inst Oceanog, Zaklad Badan Planktonu Morskiego, Al Marszalka Pilsudskiego 46, PL-81378 Gdynia, Poland; [Zloch, Ilona] Uniwersytet Gdanski, Inst Oceanog, Zaklad Biol &amp; Ekol Morza, Al Marszalka Pilsudskiego 46, PL-81378 Gdynia, Poland</t>
  </si>
  <si>
    <t>Fahrenheit Universities; University of Gdansk; Fahrenheit Universities; University of Gdansk; Fahrenheit Universities; University of Gdansk</t>
  </si>
  <si>
    <t>Bielecka, L (corresponding author), Uniwersytet Gdanski, Inst Oceanog, Zaklad Funkcjonowania Ekosyst Morskich, Al Marszalka Pilsudskiego 46, PL-81378 Gdynia, Poland.</t>
  </si>
  <si>
    <t>ocelb@ug.edu.pl</t>
  </si>
  <si>
    <t>Bielecka, Luiza/0000-0002-1162-9272; Zloch, Ilona/0000-0002-3233-2021</t>
  </si>
  <si>
    <t>10.1515/popore-2016-0017</t>
  </si>
  <si>
    <t>WOS:000379153800008</t>
  </si>
  <si>
    <t>Bukatov, AE; Bukatov, AA; Babii, MV</t>
  </si>
  <si>
    <t>Bukatov, A. E.; Bukatov, A. A.; Babii, M. V.</t>
  </si>
  <si>
    <t>Regional variability of Antarctic sea ice extent</t>
  </si>
  <si>
    <t>Antarctica; sea ice extent; sea ice extent variability; sea ice extent anomalies</t>
  </si>
  <si>
    <t>Interannual and seasonal variability of regional distribution of Antarctic sea ice extent is studied using monthly mean data on sea ice concentration in 1970-2012. The correlation is estimated between the variations in the area of floating ice in West and East Antarctica as well as in the Atlantic, Pacific, and Indian sectors of the Southern Ocean and the indices of atmospheric circuiation in the Southern Hemisphere.</t>
  </si>
  <si>
    <t>[Bukatov, A. E.; Bukatov, A. A.; Babii, M. V.] Inst Marine Hydrophys, Ul Kapitanskaya 2, Sevastopol 299011, Russia</t>
  </si>
  <si>
    <t>Marine Hydrophysical Institute of RAS</t>
  </si>
  <si>
    <t>Bukatov, AE (corresponding author), Inst Marine Hydrophys, Ul Kapitanskaya 2, Sevastopol 299011, Russia.</t>
  </si>
  <si>
    <t>newisland@list.ru</t>
  </si>
  <si>
    <t>Bukatov, Aleksei/P-6015-2017; Bukatov, Anton/P-6733-2017</t>
  </si>
  <si>
    <t>Bukatov, Anton/0000-0002-1165-8428; Bukatov, Aleksei/0000-0001-8666-7938</t>
  </si>
  <si>
    <t>10.3103/S1068373916060042</t>
  </si>
  <si>
    <t>DQ6WH</t>
  </si>
  <si>
    <t>WOS:000379345800004</t>
  </si>
  <si>
    <t>Varikoden, H; Al-Shukaili, HSA; Babu, CA; Samah, AA</t>
  </si>
  <si>
    <t>Varikoden, Hamza; Al-Shukaili, Hilal Sulthan Ali; Babu, C. A.; Samah, A. A.</t>
  </si>
  <si>
    <t>Rainfall over Oman and its teleconnection with El Nino Southern Oscillation</t>
  </si>
  <si>
    <t>ARABIAN JOURNAL OF GEOSCIENCES</t>
  </si>
  <si>
    <t>EL Nino; Rainfall; Teleconnection; EOF analysis</t>
  </si>
  <si>
    <t>VARIABILITY</t>
  </si>
  <si>
    <t>The Sultanate of Oman is located in the southeastern part of the Arabian Peninsula and covers the larger part of the southern coasts of the Arabian Peninsula in both arid and semi-arid environments except for the southern part which is swept by the monsoon affecting the Arabian Sea during the period from June to September. The summer rainfall over Oman shows year-to-year variability, and this is caused by oceanic and atmospheric influences. In the present study, we tried to explore the influence of El Nino on the rainfall over Oman using different data sets. The empirical orthogonal function (EOF) technique employed to the zonal wind at 850 hPa for the 30-year period shows that the second and third modes of EOF are showing high variability over the Oman regions. The corresponding PCs were subjected to FFT analysis, and it showed a peak about 5-6 years. In addition to this, the zonal wind over the Oman regions is correlated with the global zonal wind and found a significant correlation (1 % significant level). It has already been proved that the wind and rainfall during summer monsoon is in phase. Moreover, the spectral analysis of rainfall at Masirah station and the Nino3.4 index show the similar mode of variability indicating a direct relationship. The correlation between rainfall and the Nino3.4 index is also showing a positive significant value, and therefore, it can be concluded that the El Nino in the Pacific favours rainfall over the Oman region.</t>
  </si>
  <si>
    <t>[Varikoden, Hamza] Indian Inst Trop Meteorol, Pune 08, Maharashtra, India; [Al-Shukaili, Hilal Sulthan Ali] Directorate Gen Climate Affairs, Muscat, Oman; [Babu, C. A.] Cochin Univ Sci &amp; Technol, Dept Atmospher Sci, Kochi, Kerala, India; [Samah, A. A.] Univ Malaya, Natl Ctr Antarctic Res, Kuala Lumpur, Malaysia</t>
  </si>
  <si>
    <t>Ministry of Earth Sciences (MoES) - India; Indian Institute of Tropical Meteorology (IITM); Cochin University Science &amp; Technology; Universiti Malaya</t>
  </si>
  <si>
    <t>Varikoden, H (corresponding author), Indian Inst Trop Meteorol, Pune 08, Maharashtra, India.</t>
  </si>
  <si>
    <t>hamza@tropmet.res.in</t>
  </si>
  <si>
    <t>ABU SAMAH, AZIZAN HJ/B-8295-2010</t>
  </si>
  <si>
    <t>1866-7511</t>
  </si>
  <si>
    <t>1866-7538</t>
  </si>
  <si>
    <t>ARAB J GEOSCI</t>
  </si>
  <si>
    <t>Arab. J. Geosci.</t>
  </si>
  <si>
    <t>10.1007/s12517-016-2540-5</t>
  </si>
  <si>
    <t>DQ0BE</t>
  </si>
  <si>
    <t>WOS:000378861500007</t>
  </si>
  <si>
    <t>Langton, SJ; Rabideaux, NM; Borrelli, C; Katz, ME</t>
  </si>
  <si>
    <t>Langton, Samantha J.; Rabideaux, Nathan M.; Borrelli, Chiara; Katz, Miriam E.</t>
  </si>
  <si>
    <t>Southeastern Atlantic deep-water evolution during the late-middle Eocene to earliest Oligocene (Ocean Drilling Program Site 1263 and Deep Sea Drilling Project Site 366)</t>
  </si>
  <si>
    <t>GEOSPHERE</t>
  </si>
  <si>
    <t>GLOBAL CARBON-CYCLE; SOUTHERN-OCEAN; DRAKE PASSAGE; THERMOHALINE CIRCULATION; GENERAL-CIRCULATION; INTERMEDIATE WATER; STABLE-ISOTOPE; PLATE MOTIONS; SCOTIA SEA; TRANSITION</t>
  </si>
  <si>
    <t>Comparison of new benthic foraminiferal delta O-18 and delta C-13 records from Ocean Drilling Program (ODP) Site 1263 (Walvis Ridge, southeast Atlantic, 2100 m paleodepth) and Deep Sea Drilling Project (DSDP) Site 366 (Sierra Leone Rise, eastern equatorial Atlantic, 2200-2800 m paleodepth) with published data from Atlantic and Southern Ocean sites provides the means to reconstruct the development of deep-water circulation in the southeastern Atlantic from the late-middle Eocene to the earliest Oligocene. Our comparison shows that in the late-middle Eocene (ca. 40 Ma), the South Atlantic was characterized by a homogeneous thermal structure. Thermal differentiation began ca. 38 Ma. By 37.6 Ma, Site 1263 was dominated by Southern Component Water; at the same time, warm saline deep water filled the deeper South Atlantic (recorded at southwest Atlantic ODP Site 699, paleodepth 3400 m, and southeast Atlantic ODP Site 1090, paleodepth 3200 m). The deep-water source to eastern equatorial Site 366 transitioned to Northern Component Water ca. 35.6-35 Ma. Progressive cooling at Site 1263 during the middle to late Eocene and deep-water thermal stratification in the South Atlantic may be attributed at least in part to the gradual deepening and strengthening of the proto-Antarctic Circumpolar Current from the late-middle Eocene to the earliest Oligocene, as the Drake and Tasman gateways opened. Our isotopic comparisons across depth and latitude provide evidence of the development of deep-water circulation similar to modern-day Atlantic Meridional Overturning Circulation.</t>
  </si>
  <si>
    <t>[Langton, Samantha J.; Rabideaux, Nathan M.; Katz, Miriam E.] Jonsson Rowland Sci Ctr, Rensselaer Polytech Inst, Dept Earth &amp; Environm Sci, 1W19 110 8th St, Troy, NY 12180 USA; [Borrelli, Chiara] Univ Rochester, Dept Earth &amp; Environm Sci, 227 Hutchison Hall,POB 270221, Rochester, NY 14627 USA; [Langton, Samantha J.] Environm Prod &amp; Serv Vermont, 210 Wembly Rd, New Windsor, NY 12553 USA; [Rabideaux, Nathan M.] Georgia State Univ, Dept Geosci, 24 Peachtree Ctr Ave,NE, Atlanta, GA 30302 USA</t>
  </si>
  <si>
    <t>Rensselaer Polytechnic Institute; University of Rochester; University System of Georgia; Georgia State University</t>
  </si>
  <si>
    <t>Katz, ME (corresponding author), Jonsson Rowland Sci Ctr, Rensselaer Polytech Inst, Dept Earth &amp; Environm Sci, 1W19 110 8th St, Troy, NY 12180 USA.</t>
  </si>
  <si>
    <t>katzm@rpi.edu</t>
  </si>
  <si>
    <t>Borrelli, Chiara/IQW-9421-2023; Rabideaux, Nathan M/K-7572-2015</t>
  </si>
  <si>
    <t>Rabideaux, Nathan/0000-0002-3406-0541</t>
  </si>
  <si>
    <t>National Science Foundation (NSF) [OCE 09-28607/09-27663]</t>
  </si>
  <si>
    <t>National Science Foundation (NSF)(National Science Foundation (NSF))</t>
  </si>
  <si>
    <t>We thank Richard Mortlock and James Wright (Rutgers University, New Jersey) and Eric Tappa (University of South Carolina) for their help with stable isotope analyses. This research was supported by National Science Foundation (NSF) grant OCE 09-28607/09-27663 (B.S. Cramer, M.E. Katz). We are grateful to Ben Cramer, Robbie Toggweiler, Ken Miller, and Yair Rosenthal for useful discussions and to Brianna King and Kyle Monahan for sample processing. This research used samples provided by the International Ocean Discovery Program (IODP). This paper benefitted from the thoughtful comments and suggestions of two anonymous reviewers.</t>
  </si>
  <si>
    <t>1553-040X</t>
  </si>
  <si>
    <t>Geosphere</t>
  </si>
  <si>
    <t>10.1130/GES01268.1</t>
  </si>
  <si>
    <t>DP9QI</t>
  </si>
  <si>
    <t>WOS:000378831100018</t>
  </si>
  <si>
    <t>Lee, CW; Lee, JH; Rimal, H; Park, H; Lee, JH; Oh, TJ</t>
  </si>
  <si>
    <t>Lee, Chang Woo; Lee, Joo-Ho; Rimal, Hemraj; Park, Hyun; Lee, Jun Hyuck; Oh, Tae-Jin</t>
  </si>
  <si>
    <t>Crystal Structure of Cytochrome P450 (CYP105P2) from Streptomyces peucetius and Its Conformational Changes in Response to Substrate Binding</t>
  </si>
  <si>
    <t>cytochrome P450; crystal structure; Streptomyces peucetius; X-ray crystallography</t>
  </si>
  <si>
    <t>COMPLETE GENOME SEQUENCE; COELICOLOR A3(2); COMPLEMENT CYPOME; DRUG DISCOVERY; MODEL; P450; BIOSYNTHESIS; AVERMITILIS; GENERATION; ENZYMES</t>
  </si>
  <si>
    <t>Cytochrome P450 monooxygenases (CYP, EC 1.14.14.1) belong to a large family of enzymes that catalyze the hydroxylation of various substrates. Here, we present the crystal structure of CYP105P2 isolated from Streptomyces peucetius ATCC27952 at a 2.1 angstrom resolution. The structure shows the presence of a pseudo-ligand molecule in the active site, which was co-purified fortuitously and is presumed to be a biphenyl derivative. Comparison with previously determined substrate-bound CYP structures showed that binding of the ligand produces large and distinctive conformational changes in alpha 2-alpha 3, alpha 7-alpha 9, and the C-terminal loop regions. This structural flexibility confirms our previous observation that CYP105P2 can accommodate a broad range of ligands. The structure complexed with a pseudo-ligand provides the first molecular view of CYP105P2-ligand interactions, and it indicates the involvement of hydrophobic residues (Pro82, Ala181, Met187, Leu189, Leu193, and Ile236) in the interactions between hydrophobic ligands and CYP105P2. These results provide useful insights into the structural changes involved in the recognition of different ligands by CYP105P2.</t>
  </si>
  <si>
    <t>[Lee, Chang Woo; Park, Hyun; Lee, Jun Hyuck] Korea Polar Res Inst, Div Polar Life Sci, Inchon 406840, South Korea; [Lee, Chang Woo; Park, Hyun; Lee, Jun Hyuck] Univ Sci &amp; Technol, Dept Polar Sci, Inchon 406840, South Korea; [Lee, Joo-Ho; Rimal, Hemraj; Oh, Tae-Jin] Sunmoon Univ, Dept BT Convergent Pharmaceut Engn, Asan 336708, South Korea</t>
  </si>
  <si>
    <t>Korea Institute of Ocean Science &amp; Technology (KIOST); Korea Polar Research Institute (KOPRI); Sun Moon University</t>
  </si>
  <si>
    <t>Lee, JH (corresponding author), Korea Polar Res Inst, Div Polar Life Sci, Inchon 406840, South Korea.;Lee, JH (corresponding author), Univ Sci &amp; Technol, Dept Polar Sci, Inchon 406840, South Korea.;Oh, TJ (corresponding author), Sunmoon Univ, Dept BT Convergent Pharmaceut Engn, Asan 336708, South Korea.</t>
  </si>
  <si>
    <t>justay@kopri.re.kr; shadowjhl@empal.com; rimalhem@gmail.com; hpark@kopri.re.kr; junhyucklee@kopri.re.kr; tjoh3782@sunmoon.ac.kr</t>
  </si>
  <si>
    <t>Lee, Joo Ho/AAS-2614-2021; Lee, Chang-Woo/L-5093-2015</t>
  </si>
  <si>
    <t>Lee, Joo Ho/0000-0001-7307-7744; Park, Hyun/0000-0002-8055-2010</t>
  </si>
  <si>
    <t>Antarctic Organisms: Cold-Adaptation Mechanisms grant - Korea Polar Research Institute [PE16070]</t>
  </si>
  <si>
    <t>Antarctic Organisms: Cold-Adaptation Mechanisms grant - Korea Polar Research Institute</t>
  </si>
  <si>
    <t>We would like to thank the staff at the X-ray core facility of the Korea Basic Science Institute (KBSI, Ochang, Korea), and at the BL-5C and BL-7A of the Pohang Accelerator Laboratory (Pohang, Korea) for their kind assistance with data collection. This work was supported by the Antarctic Organisms: Cold-Adaptation Mechanisms grant (PE16070) funded by the Korea Polar Research Institute.</t>
  </si>
  <si>
    <t>10.3390/ijms17060813</t>
  </si>
  <si>
    <t>DP9EK</t>
  </si>
  <si>
    <t>WOS:000378799300027</t>
  </si>
  <si>
    <t>Broach, KH; Miller, MF; Bowser, SS</t>
  </si>
  <si>
    <t>Broach, Kyle H.; Miller, Molly F.; Bowser, Samuel S.</t>
  </si>
  <si>
    <t>BIOTURBATION BY THE COMMON ANTARCTIC SCALLOP (ADAMUSSIUM COLBECKI) AND OPHIUROID (OPHIONOTUS VICTORIAE) UNDER MULTI-YEAR SEA ICE: ECOLOGIC AND STRATIGRAPHIC IMPLICATIONS</t>
  </si>
  <si>
    <t>PALAIOS</t>
  </si>
  <si>
    <t>ARGOPECTEN-IRRADIANS LAMARCK; GLOBAL CLIMATE-CHANGE; BAY ROSS SEA; OCEAN ACIDIFICATION; TROPHIC STRUCTURE; MCMURDO SOUND; TIDAL FLATS; MARINE; SEDIMENTS; ASSEMBLAGES</t>
  </si>
  <si>
    <t>The abundant epifaunal scallop Adamussium colbecki and ophiuroid Ophionotus victoriae bioturbate the seafloor under the multi-year sea ice in Explorers Cove, western McMurdo Sound, Antarctica by churning the upper few centimeters of the sandy substrate. Laboratory investigation of these animals' activities demonstrates that the scallops on average resuspend 45 cm 3 d(-1) ind(-1) via water jets ejected during swimming and clapping movement and that the ophiuroids on average disrupt 861 cm(3) d(-1) ind(-1) via rowing motion and self-burial in the upper centimeters of the substrate. At observed densities in Explorers Cove, bioturbation rates greatly exceed sediment accumulation rates and physical reworking processes, resulting in homogenized sediment lacking both lamination and discrete traces that would signal its biogenic modification. Adamussium colbecki employs water jets to resuspend the limited phytodetritus needed by the suspension-feeding scallop in the quiet sub-sea ice conditions and produces depressions similar to 3 cm deep that increase substrate surface area and microtopography in Explorers Cove. The scallop thus acts as an ecosystem engineer, modifying the sediment and controlling the flux of materials between the substrate and water as it claps for food gathering rather than for predator evasion like other scallops. The resulting rapid, shallow diffuse bioturbation differs from the more commonly reported vertical bioturbation by infaunal animals recorded in cores, yet it exerts strong control on the sedimentary record and may be characteristic of low-energy, oligotrophic environments beneath multi-year sea ice around Antarctica where a lack of fast predators and low sedimentation rate allow proliferation of epifaunal animals.</t>
  </si>
  <si>
    <t>[Broach, Kyle H.; Miller, Molly F.] Vanderbilt Univ, Dept Earth &amp; Environm Sci, 2301 Vanderbilt Pl, Nashville, TN 37235 USA; [Bowser, Samuel S.] New York State Dept Hlth, Wadsworth Ctr, Albany, NY 12201 USA</t>
  </si>
  <si>
    <t>Vanderbilt University; Wadsworth Center; State University of New York (SUNY) System</t>
  </si>
  <si>
    <t>Broach, KH (corresponding author), Vanderbilt Univ, Dept Earth &amp; Environm Sci, 2301 Vanderbilt Pl, Nashville, TN 37235 USA.</t>
  </si>
  <si>
    <t>kyle.h.broach@vanderbilt.edu</t>
  </si>
  <si>
    <t>NSF [ANT0739496, ANT0739583, ANT0944646]; Vanderbilt University Summer Research Program</t>
  </si>
  <si>
    <t>NSF(National Science Foundation (NSF)); Vanderbilt University Summer Research Program</t>
  </si>
  <si>
    <t>Supported by NSF ANT0739496 (MFM) and NSF ANT0739583, ANT0944646 (SSB). Additional funding was provided by the Vanderbilt University Summer Research Program. We thank Steve Clabuesch, Shawn Harper, Henry Kaiser, and Cecelia Shin for their diving expertise in severe conditions, Claire Beynon and Beverly Walker for field assistance, and Raytheon Polar Services Company and Petroleum Helicopters, Inc. for logistical support. Many thanks to the Crary Lab staff at McMurdo Station for facilitating data collection, especially Pat McMillan and the IT team including Karen Joyce, Holly Troy, Bill Jirsa, and Ed Fuller. Thank you to reviewers Olivero and Savrda whose thoughts and comments were exceptionally useful in revising the manuscript.</t>
  </si>
  <si>
    <t>SEPM-SOC SEDIMENTARY GEOLOGY</t>
  </si>
  <si>
    <t>TULSA</t>
  </si>
  <si>
    <t>6128 EAST 38TH ST, STE 308, TULSA, OK 74135-5814 USA</t>
  </si>
  <si>
    <t>0883-1351</t>
  </si>
  <si>
    <t>1938-5323</t>
  </si>
  <si>
    <t>Palaios</t>
  </si>
  <si>
    <t>10.2110/palo.2015.069</t>
  </si>
  <si>
    <t>Geology; Paleontology</t>
  </si>
  <si>
    <t>DP7AY</t>
  </si>
  <si>
    <t>WOS:000378652600002</t>
  </si>
  <si>
    <t>Avila, C</t>
  </si>
  <si>
    <t>Avila, Conxita</t>
  </si>
  <si>
    <t>Ecological and Pharmacological Activities of Antarctic Marine Natural Products</t>
  </si>
  <si>
    <t>PLANTA MEDICA</t>
  </si>
  <si>
    <t>chemical ecology; marine benthos; antarctic invertebrates; chemical defense; cytotoxicity; anti-inflammatory activity; antibacterial activity</t>
  </si>
  <si>
    <t>CUCUMBER STAUROCUCUMIS LIOUVILLEI; NUDIBRANCH BATHYDORIS-HODGSONI; TRITERPENE GLYCOSIDES; CHEMICAL ECOLOGY; FEEDING REPELLENCE; BENTHIC COMMUNITIES; COLONIAL ASCIDIANS; SOUTHERN-OCEAN; DEFENSIVE ROLE; INVERTEBRATES</t>
  </si>
  <si>
    <t>Antarctic benthic communities are regulated by abundant interactions of different types among organisms, such as predation, competition, etc. Predators are usually sea stars, with omnivorous habits, as well as other invertebrates. Against this strong predation pressure, many organisms have developed all sorts of defensive strategies, including chemical defenses. Natural products are thus quite common in Antarctic organisms with an important ecological and pharmacological potential. In this paper, the chemical defenses of the Antarctic organisms studied during the ECOQUIM and ACTIQUIM projects, as well as their pharmacological potential, are reviewed. For the ecological defenses, predation against the sea star Odontaster validus is analyzed and evaluated along depth gradients as well as considering the lifestyle of the organisms. For the pharmacological activity, the anticancer, anti-inflammatory, and antibacterial activities tested are evaluated here. Very often, only crude extracts or fractions have been tested so far, and therefore, the natural products responsible for such activities remain yet to be identified. Even if the sampling efforts are not uniform along depth, most ecologically active organisms are found between 200 and 500 m depth. Also, from the samples studied, about four times more sessile organisms possess chemical defenses against the sea star than the vagile ones; these represent 50% of sessile organisms and 35% of the vagile ones, out of the total tested, being active. Pharmacological activity has not been tested uniformly in all groups, but the results show that relevant activity is found in different phyla, especially in Porifera, Cnidaria, Bryozoa, and Tunicata, but also in others. No relationship between depth and pharmacological activity can be established with the samples tested so far. More studies are needed in order to better understand the ecological relationships among Antarctic invertebrates mediated by natural products and to fully explore their pharmacological potential.</t>
  </si>
  <si>
    <t>[Avila, Conxita] Univ Barcelona, Dept Anim Biol Invertebrates, Barcelona, Catalonia, Spain; [Avila, Conxita] Univ Barcelona, Biodivers Res Inst IRBio, Barcelona, Catalonia, Spain</t>
  </si>
  <si>
    <t>University of Barcelona; University of Barcelona</t>
  </si>
  <si>
    <t>Avila, C (corresponding author), Univ Barcelona, Dept Anim Biol Invertebrates, Fac Biol, Ave Diagonal 643, E-08028 Barcelona, Catalonia, Spain.</t>
  </si>
  <si>
    <t>conxita.avila@ub.edu</t>
  </si>
  <si>
    <t>Avila, Conxita/B-9466-2008</t>
  </si>
  <si>
    <t>Avila, Conxita/0000-0002-5489-8376</t>
  </si>
  <si>
    <t>Spanish Government [REN2002-12006-E/ANT, REN2003-00545, CGL2004-03356/ANT, CGL2007-65453/ANT, CTM2010-17415/ANT, CTM2008-03135-E/ANT, CTM2013-42667/ANT]</t>
  </si>
  <si>
    <t>Thanks are due to all the research teams participating in the ECOQUIM (REN2002-12006-E/ANT, REN2003-00545, and CGL2004-03356/ANT), ACTIQUIM (CGL2007-65453/ANT; CTM2010-17415/ANT), ACTIQUIMWHALES (CTM2008-03135-E/ANT), and DISTANTCOM (CTM2013-42667/ANT) projects, funded by the Spanish Government, and particularly C. Angulo, M. Bas, J. Cristobo, B. Figuerola, A. Gomez, J. Moles, L. Nunez-Pons, A. Riesgo, P. Rios, and S. Taboada. This research has been developed in the frame of AntEco, a SCAR program on the State of the Antarctic Ecosystem.</t>
  </si>
  <si>
    <t>GEORG THIEME VERLAG KG</t>
  </si>
  <si>
    <t>STUTTGART</t>
  </si>
  <si>
    <t>RUDIGERSTR 14, D-70469 STUTTGART, GERMANY</t>
  </si>
  <si>
    <t>0032-0943</t>
  </si>
  <si>
    <t>1439-0221</t>
  </si>
  <si>
    <t>PLANTA MED</t>
  </si>
  <si>
    <t>Planta Med.</t>
  </si>
  <si>
    <t>10.1055/s-0042-105652</t>
  </si>
  <si>
    <t>Plant Sciences; Chemistry, Medicinal; Integrative &amp; Complementary Medicine; Pharmacology &amp; Pharmacy</t>
  </si>
  <si>
    <t>Plant Sciences; Pharmacology &amp; Pharmacy; Integrative &amp; Complementary Medicine</t>
  </si>
  <si>
    <t>DQ0TN</t>
  </si>
  <si>
    <t>WOS:000378913600004</t>
  </si>
  <si>
    <t>Weber, NJ; Lazzara, MA; Keller, LM; Cassano, JJ</t>
  </si>
  <si>
    <t>Weber, Nicholas J.; Lazzara, Matthew A.; Keller, Linda M.; Cassano, John J.</t>
  </si>
  <si>
    <t>The Extreme Wind Events in the Ross Island Region of Antarctica</t>
  </si>
  <si>
    <t>WEATHER AND FORECASTING</t>
  </si>
  <si>
    <t>HIGH SOUTHERN LATITUDES; MESOSCALE-PREDICTION-SYSTEM; SELF-ORGANIZING MAPS; ICE SHELF; ATMOSPHERIC CIRCULATION; AMPS; SEA; MCMURDO; FIELD; FLOW</t>
  </si>
  <si>
    <t>Numerous incidents of structural damage at the U.S. Antarctic Program's (USAP) McMurdo Station due to extreme wind events (EWEs) have been reported over the past decade. Utilizing nearly 20 yr (similar to 1992-2013) of University of Wisconsin automatic weather station (AWS) data from three different stations in the Ross Island region (Pegasus North, Pegasus South, and Willie Field), statistical analysis shows no significant trends in EWE frequency, intensity, or duration. EWEs more frequently occur during the transition seasons. To assess the dynamical environment of these EWEs, Antarctic Mesoscale Prediction System (AMPS) forecast back trajectories are computed and analyzed in conjunction with several other AMPS fields for the strongest events at McMurdo Station. The synoptic analysis reveals that McMurdo Station EWEs are nearly always associated with strong southerly flow due to an approaching Ross Sea cyclone and an upper-level trough around Cape Adare. A Ross Ice Shelf air stream (RAS) environment is created with enhanced barrier winds along the Transantarctic Mountains, downslope winds in the lee of the glaciers and local topography, and a tip jet effect around Ross Island. The position and intensity of these Ross Sea cyclones are most influenced by the occurrence of a central Pacific ENSO event, which causes the upper-level trough to move westward. An approaching surface cyclone would then be in position to trigger an event, depending on how the wind direction and speed impinges on the complex topography around McMurdo Station.</t>
  </si>
  <si>
    <t>[Weber, Nicholas J.; Lazzara, Matthew A.; Keller, Linda M.] Univ Wisconsin, Ctr Space Sci &amp; Engn, Antarctic Meteorol Res Ctr, 1225 W Dayton St, Madison, WI 53706 USA; [Weber, Nicholas J.; Keller, Linda M.] Univ Wisconsin, Dept Atmospher &amp; Ocean Sci, Madison, WI USA; [Lazzara, Matthew A.] Madison Area Tech Coll, Sch Arts &amp; Sci, Dept Phys Sci, Madison, WI USA; [Cassano, John J.] Univ Colorado, Cooperat Inst Res Environm Sci, Boulder, CO 80309 USA; [Cassano, John J.] Univ Colorado, Dept Atmospher &amp; Ocean Sci, Boulder, CO 80309 USA; [Weber, Nicholas J.] Univ Washington, Dept Atmospher Sci, Seattle, WA 98195 USA</t>
  </si>
  <si>
    <t>University of Wisconsin System; University of Wisconsin Madison; University of Wisconsin System; University of Wisconsin Madison; University of Colorado System; University of Colorado Boulder; University of Colorado System; University of Colorado Boulder; University of Washington; University of Washington Seattle</t>
  </si>
  <si>
    <t>Keller, LM (corresponding author), Univ Wisconsin, Ctr Space Sci &amp; Engn, Antarctic Meteorol Res Ctr, 1225 W Dayton St, Madison, WI 53706 USA.</t>
  </si>
  <si>
    <t>lmkeller@wisc.edu</t>
  </si>
  <si>
    <t>Weber, Nicholas/0000-0002-3527-5974; Lazzara, Matthew/0000-0002-4343-498X</t>
  </si>
  <si>
    <t>Division of Polar Programs at the National Science Foundation, NSF of the U.S. Antarctic AWS Program [ANT-0944018, ANT-1043478, ANT-1141908, ANT-1245663, ANT-1245737]; Antarctic Meteorological Research Center; Directorate For Geosciences; Office of Polar Programs (OPP) [1245737] Funding Source: National Science Foundation; Directorate For Geosciences; Office of Polar Programs (OPP) [1245663] Funding Source: National Science Foundation</t>
  </si>
  <si>
    <t>Division of Polar Programs at the National Science Foundation, NSF of the U.S. Antarctic AWS Program(National Science Foundation (NSF)NSF - Directorate for Geosciences (GEO)); Antarctic Meteorological Research Center; Directorate For Geosciences; Office of Polar Programs (OPP)(National Science Foundation (NSF)NSF - Directorate for Geosciences (GEO)); Directorate For Geosciences; Office of Polar Programs (OPP)(National Science Foundation (NSF)NSF - Directorate for Geosciences (GEO))</t>
  </si>
  <si>
    <t>Thanks are extended to D. J. Rasmussen for the data retrieval and analysis that formed the foundation of this study, and to Sam Batzli for the maps of the Ross Island area. The authors gratefully acknowledge the NOAA Air Resources Laboratory (ARL) for the provision of the HYSPLIT transport and dispersion model used in this publication. We also thank the two anonymous reviewers who helped us clarify and improve the paper. The authors appreciate the support of the Division of Polar Programs at the National Science Foundation, NSF Grants ANT-0944018, ANT-1043478, ANT-1141908, ANT-1245663, and ANT-1245737 in support of the U.S. Antarctic AWS Program and Antarctic Meteorological Research Center.</t>
  </si>
  <si>
    <t>0882-8156</t>
  </si>
  <si>
    <t>1520-0434</t>
  </si>
  <si>
    <t>WEATHER FORECAST</t>
  </si>
  <si>
    <t>Weather Forecast.</t>
  </si>
  <si>
    <t>10.1175/WAF-D-15-0125.1</t>
  </si>
  <si>
    <t>DP5HU</t>
  </si>
  <si>
    <t>WOS:000378527700016</t>
  </si>
  <si>
    <t>Carravieri, A; Cherel, Y; Jaeger, A; Churlaud, C; Bustamante, P</t>
  </si>
  <si>
    <t>Carravieri, Alice; Cherel, Yves; Jaeger, Audrey; Churlaud, Carine; Bustamante, Paco</t>
  </si>
  <si>
    <t>Penguins as bioindicators of mercury contamination in the southern Indian Ocean: geographical and temporal trends</t>
  </si>
  <si>
    <t>Antarctica; Indian Ocean; Metal; Museum specimens; Stable isotopes</t>
  </si>
  <si>
    <t>PERSISTENT ORGANIC POLLUTANTS; FOOD-CHAIN STRUCTURE; STABLE-ISOTOPES; ADELIE LAND; FORAGING BEHAVIOR; EMPEROR PENGUINS; PYGOSCELIS-PAPUA; TROPHIC POSITION; DIET; FEATHERS</t>
  </si>
  <si>
    <t>Penguins have been recently identified as useful bioindicators of mercury (Hg) transfer to food webs in the Southern Ocean over different spatial and temporal scales. Here, feather Hg concentrations were measured in adults and chicks of all the seven penguin species breeding in the southern Indian Ocean, over a large latitudinal gradient spanning Antarctic, subantarctic and subtropical sites. Hg was also measured in feathers of museum specimens of penguins collected at the same sites in the 1950s and 1970s. Our aim was to evaluate geographical and historical variations in Hg transfer to penguins, while accounting for feeding habits by using the stable isotope technique (delta C-13, habitat; delta N-15, diet/trophic level). Adult feather Hg concentrations in contemporary individuals ranged from 0.7 +/- 0.2 to 5.9 +/- 1.9 mu g g(-1) dw in Adelie and gentoo penguins, respectively. Inter-specific differences in Hg accumulation were strong among both adults and chicks, and mainly linked to feeding habits. Overall, penguin species that feed in Antarctic waters had lower feather Hg concentrations than those that feed in subantarctic and subtropical waters, irrespective of age class and dietary group, suggesting different Hg incorporation into food webs depending on the water mass. While accounting for feeding habits, we detected different temporal variations in feather Hg concentrations depending on species. Notably, the subantarctic gentoo and macaroni penguins had higher Hg burdens in the contemporary rather than in the historical sample, despite similar or lower trophic levels, respectively. Whereas increases in Hg deposition have been recently documented in the Southern Hemisphere, future monitoring is highly needed to confirm or not this temporal trend in penguins, especially in the context of actual changing Hg emission patterns and global warming. (C) 2016 Published by Elsevier Ltd.</t>
  </si>
  <si>
    <t>[Carravieri, Alice; Cherel, Yves; Jaeger, Audrey] Univ La Rochelle, Ctr Etud Biol Chize, UMR 7372, CNRS, F-79360 Villiers En Bois, France; [Carravieri, Alice; Churlaud, Carine; Bustamante, Paco] Univ La Rochelle, Littoral Environm &amp; Soc LIENSs, UMR 7266, CNRS, 2 Rue Olympe de Gouges, F-17000 La Rochelle, France; [Jaeger, Audrey] Univ Reunion, Ecol Marine Trop Oceans Pacifique &amp; Indien ENTROP, UMR 9220, UR,CNRS,IRD, 15 Ave Rene Cassin, St Denis 97744, Reunion, France</t>
  </si>
  <si>
    <t>Centre National de la Recherche Scientifique (CNRS); CNRS - Institute of Ecology &amp; Environment (INEE); La Rochelle Universite; Centre National de la Recherche Scientifique (CNRS); CNRS - Institute of Ecology &amp; Environment (INEE); La Rochelle Universite; Institut de Recherche pour le Developpement (IRD); University of La Reunion; Centre National de la Recherche Scientifique (CNRS); CNRS - Institute of Ecology &amp; Environment (INEE)</t>
  </si>
  <si>
    <t>Carravieri, A (corresponding author), Univ La Rochelle, Ctr Etud Biol Chize, UMR 7372, CNRS, F-79360 Villiers En Bois, France.</t>
  </si>
  <si>
    <t>alice.carravieri@gmail.com</t>
  </si>
  <si>
    <t>Jaeger, Audrey/HMD-6340-2023; Bustamante, Paco/G-5833-2011</t>
  </si>
  <si>
    <t>Jaeger, Audrey/0000-0002-5649-0315; Bustamante, Paco/0000-0003-3877-9390</t>
  </si>
  <si>
    <t>Poitou-Charentes Region; University of La Rochelle; Agence Nationale de la Recherche; Institut Polaire Francais Paul Emile Victor (IPEV) [109]; Terres Australes et Antarctiques Francaises (TAAF)</t>
  </si>
  <si>
    <t>Poitou-Charentes Region(Region Nouvelle-Aquitaine); University of La Rochelle; Agence Nationale de la Recherche(Agence Nationale de la Recherche (ANR)); Institut Polaire Francais Paul Emile Victor (IPEV); Terres Australes et Antarctiques Francaises (TAAF)</t>
  </si>
  <si>
    <t>The authors thank the numerous fieldworkers who helped with collecting penguin feathers, F. Capoulun for the preparation of feather samples, G. Guillou and P. Richard for running stable isotope analysis, and P. Blevin for running part of the Hg analysis. The authors are grateful to the Plateforme Analyses Elementaires of LIENSs laboratory for the access to their analytical facilities. The present work was supported financially and logistically by the Poitou-Charentes Region, the University of La Rochelle, the Agence Nationale de la Recherche (program POLARTOP, O. Chastel), the Institut Polaire Francais Paul Emile Victor (IPEV, program no. 109, H. Weimerskirch) and the Terres Australes et Antarctiques Francaises (TAAF).</t>
  </si>
  <si>
    <t>10.1016/j.envpol.2016.02.010</t>
  </si>
  <si>
    <t>DO6VO</t>
  </si>
  <si>
    <t>WOS:000377921800022</t>
  </si>
  <si>
    <t>Marx, SK; Rashid, S; Stromsoe, N</t>
  </si>
  <si>
    <t>Marx, Samuel K.; Rashid, Shaqer; Stromsoe, Nicola</t>
  </si>
  <si>
    <t>Global-scale patterns in anthropogenic Pb contamination reconstructed from natural archives</t>
  </si>
  <si>
    <t>Global contamination; Heavy metals; Lead; Environmental archives</t>
  </si>
  <si>
    <t>ATMOSPHERIC LEAD DEPOSITION; OMBROTROPHIC PEAT BOG; HEAVY-METALS; LAKE-SEDIMENTS; TRACE-ELEMENTS; ACCUMULATION RATES; POLLUTION HISTORY; JURA MOUNTAINS; ANTARCTIC SNOW; DUST TRANSPORT</t>
  </si>
  <si>
    <t>During the past two centuries metal loads in the Earth's atmosphere and ecosystems have increased significantly over pre-industrial levels. This has been associated with deleterious effects to ecosystem processes and human health. The magnitude of this toxic metal burden, as well as the spatial and temporal patterns of metal enrichment, is recorded in sedimentary archives across the globe. This paper presents a compilation of selected Pb contamination records from lakes (n = 10), peat mires (n = 10) and ice fields (n = 7) from Europe, North and South America, Asia, Australia and the Northern and Southern Hemisphere polar regions. These records quantify changes in Pb enrichment in remote from source environments. The presence of anthropogenic Pb in the environment has a long history, extending as far back as the early to mid-Holocene in North America, Europe and East Asia. However, results show that Pb contamination in the Earth's environment became globally ubiquitous at the beginning of the Second Industrial Revolution (c.1850-1890 CE), after which the magnitude of Pb contamination increased significantly. This date therefore serves as an effective global marker for the onset of the Anthropocene. Current global average Pb enrichment rates are between 6 and 35 times background, however Pb contamination loads are spatially variable. For example, they are &gt;100 times background in Europe and North America and 5-15 times background in Antarctica. Despite a recent decline in Pb loads in some regions, most notably Europe and North America, anthropogenic Pb remains highly enriched and universally present in global ecosystems, while concentrations are increasing in some regions (Australia, Asia and parts of South America and Antarctica). There is, however, a paucity of Pb enrichment records outside of Europe, which limits assessments of global contamination. (C) 2016 Elsevier Ltd. All rights reserved.</t>
  </si>
  <si>
    <t>[Marx, Samuel K.; Rashid, Shaqer] Univ Wollongong, Sch Earth &amp; Environm Sci, GeoQuEST Res Ctr, Wollongong, NSW 2522, Australia; [Stromsoe, Nicola] Univ Queensland, Climate Res Grp, Sch Geog Planning &amp; Environm Management, St Lucia, Qld 4072, Australia</t>
  </si>
  <si>
    <t>University of Wollongong; University of Queensland</t>
  </si>
  <si>
    <t>Marx, SK (corresponding author), Univ Wollongong, Sch Earth &amp; Environm Sci, GeoQuEST Res Ctr, Wollongong, NSW 2522, Australia.</t>
  </si>
  <si>
    <t>s.marx@uow.edu.au</t>
  </si>
  <si>
    <t>Marx, Samuel K/D-1122-2013</t>
  </si>
  <si>
    <t>10.1016/j.envpol.2016.02.006</t>
  </si>
  <si>
    <t>WOS:000377921800031</t>
  </si>
  <si>
    <t>Li, HH; Sung, PJ; Ho, HC</t>
  </si>
  <si>
    <t>Li, Hsing-Hui; Sung, Ping-Jyun; Ho, Hsuan-Ching</t>
  </si>
  <si>
    <t>The complete mitochondrial genome of the Antarctic stalked jellyfish, Haliclystus antarcticus Pfeffer, 1889 (Staurozoa: Stauromedusae)</t>
  </si>
  <si>
    <t>GENOMICS DATA</t>
  </si>
  <si>
    <t>Antarctic stalked jellyfish; Mitogenome; Mt genome; Genetics</t>
  </si>
  <si>
    <t>AUTOMATIC ANNOTATION</t>
  </si>
  <si>
    <t>In present study, the complete mitogenome sequence of the Antarctic stalked jellyfish, Haliclystus antarcticus Pfeffer (Staurozoa: Stauromedusae) has been sequenced by next-generation sequencing method. The assembled mitogenome comprises of 15,766 bp including 13 protein coding genes, 7 transfer RNAs, and 2 ribosomal RNA genes. The overall base of Antarctic stalked jellyfish constitutes of 26.5% for A, 19.6% for C, 19.8% for G, 34.1% for T and show 90% identity to Sessile Jelly, Haliclystus sanjuanensis, in the northeastern Pacific Ocean. The complete mitogenome of the Antarctic stalked jellyfish, contributes fundamental and significant DNA molecular data for further phylogeography and evolutionary analysis for seahorse phylogeny. The complete sequence was deposited in DBBJ/EMBL/GenBank under accession number KU947038. (C) 2016 The Authors. Published by Elsevier Inc.</t>
  </si>
  <si>
    <t>[Ho, Hsuan-Ching] Natl Museum Marine Biol &amp; Aquarium, Pingtung 944, Taiwan; Natl Dong Hwa Univ, Grad Inst Marine Biotechnol, Pingtung 944, Taiwan</t>
  </si>
  <si>
    <t>National Museum of Marine Biology &amp; Aquarium; National Dong Hwa University</t>
  </si>
  <si>
    <t>Ho, HC (corresponding author), Natl Museum Marine Biol &amp; Aquarium, Pingtung 944, Taiwan.</t>
  </si>
  <si>
    <t>hohc@nmmba.gov.tw</t>
  </si>
  <si>
    <t>Sung, Ping-Jyun/Z-4162-2019</t>
  </si>
  <si>
    <t>2213-5960</t>
  </si>
  <si>
    <t>GENOM DATA</t>
  </si>
  <si>
    <t>Genom. Data</t>
  </si>
  <si>
    <t>10.1016/j.gdata.2016.04.012</t>
  </si>
  <si>
    <t>Genetics &amp; Heredity</t>
  </si>
  <si>
    <t>DO4OF</t>
  </si>
  <si>
    <t>WOS:000377761900026</t>
  </si>
  <si>
    <t>Wen, M; Xu, J; Ding, L; Zhang, LY; Du, L; Wang, JF; Wang, YM; Xue, CH</t>
  </si>
  <si>
    <t>Wen, Min; Xu, Jie; Ding, Lin; Zhang, Lingyu; Du, Lei; Wang, Jingfeng; Wang, Yuming; Xue, Changhu</t>
  </si>
  <si>
    <t>Eicosapentaenoic acid-enriched phospholipids improve Aβ1-40-induced cognitive deficiency in a rat model of Alzheimer's disease</t>
  </si>
  <si>
    <t>JOURNAL OF FUNCTIONAL FOODS</t>
  </si>
  <si>
    <t>Alzheimer's disease; A beta 1-40; EPA-PLs; Inflammation; Hyperphosphorylated tau; Apoptosis</t>
  </si>
  <si>
    <t>POLYUNSATURATED FATTY-ACIDS; BETA-INFUSED RATS; DOCOSAHEXAENOIC ACID; AMYLOID-BETA; MOUSE MODEL; KRILL OIL; LEARNING-ABILITY; FISH-OIL; CONNECTING PHOSPHOLIPIDS; ETHYL-EICOSAPENTAENOATE</t>
  </si>
  <si>
    <t>Abundant studies have proven that the protective effects of omega-3 polyunsaturated fatty acids enriched phospholipids (n-3 PUFA-PLs) mainly derived from fish roe and Antarctic krill have beneficial effects on cognition. However, the n-3 PUFA-PLs are usually a mixture of eicosapentaenoic acid (EPA) and docosahexaenoic acid (DHA) enriched phospholipids. Hence, the effects of EPA-PLs alone on cognitive deficiency are still unclear. In the present study, we obtained almost pure EPA-PLs (EPA:DHA = 47.9:2.08) from the sea cucumber, Cucumaria frondosa, and investigated its effects on A beta-induced cognitive impairment in rats. Administration of EPA-PLs (150 and 300 mg/kg.day, i.g., 27 days) did not increase brain DHA but significantly improved A beta-induced cognitive deficiency. Further mechanism research indicated that EPA-PLs alleviated A beta-induced neurotoxicity including oxidative stress, apoptosis, neuro-infiammation cascade, and hyper-phosphorylated tau in a dose-dependent pattern. These findings first suggest that EPA-PLs could also improve A beta induced cognitive deficiency in a similar mechanism with DHA-PLs. (c) 2016 Elsevier Ltd. All rights reserved.</t>
  </si>
  <si>
    <t>[Wen, Min; Xu, Jie; Ding, Lin; Zhang, Lingyu; Wang, Jingfeng; Wang, Yuming; Xue, Changhu] Ocean Univ China, Coll Food Sci &amp; Engn, 5 Yu Shan Rd, Qingdao 266003, Shandong, Peoples R China; [Du, Lei] Hokkaido Univ, Fac Fisheries Sci, 3-1-1 Minato Cho, Hakodate, Hokkaido 0418611, Japan</t>
  </si>
  <si>
    <t>Ocean University of China; Hokkaido University</t>
  </si>
  <si>
    <t>Wang, YM; Xue, CH (corresponding author), Ocean Univ China, Coll Food Sci &amp; Engn, 5 Yu Shan Rd, Qingdao 266003, Shandong, Peoples R China.</t>
  </si>
  <si>
    <t>wangyuming@ouc.edu.cn; xuech@ouc.edu.cn</t>
  </si>
  <si>
    <t>wang, dan/JEF-0836-2023; wang, jing/GRS-7509-2022; yuming, wang/K-8179-2012</t>
  </si>
  <si>
    <t>Zhang, Lingyu/0000-0002-4501-8445</t>
  </si>
  <si>
    <t>State Key Program of National Natural Science of China [31330060]; National Natural Science Foundation of China [31371757]; National Natural Science Foundation of China-Shandong Joint Fund for Marine Science Research Centers [U1406402]; Program for New Century Excellent Talents in University [NCET-13-0534]</t>
  </si>
  <si>
    <t>State Key Program of National Natural Science of China(National Natural Science Foundation of China (NSFC)); National Natural Science Foundation of China(National Natural Science Foundation of China (NSFC)); National Natural Science Foundation of China-Shandong Joint Fund for Marine Science Research Centers; Program for New Century Excellent Talents in University(Program for New Century Excellent Talents in University (NCET))</t>
  </si>
  <si>
    <t>This study is supported by the State Key Program of National Natural Science of China (Grant No. 31330060), National Natural Science Foundation of China (No. 31371757), National Natural Science Foundation of China-Shandong Joint Fund for Marine Science Research Centers (U1406402), and the Program for New Century Excellent Talents in University (NCET-13-0534).</t>
  </si>
  <si>
    <t>1756-4646</t>
  </si>
  <si>
    <t>J FUNCT FOODS</t>
  </si>
  <si>
    <t>J. Funct. Food.</t>
  </si>
  <si>
    <t>10.1016/j.jff.2016.04.034</t>
  </si>
  <si>
    <t>Food Science &amp; Technology; Nutrition &amp; Dietetics</t>
  </si>
  <si>
    <t>DP3BJ</t>
  </si>
  <si>
    <t>WOS:000378367100052</t>
  </si>
  <si>
    <t>Pasik, M; Adamek, A; Rajner, M; Kurczynski, Z; Pachuta, A; Wozniak, M; Bylina, P; Próchniewicz, D</t>
  </si>
  <si>
    <t>Pasik, Mariusz; Adamek, Artur; Rajner, Marcin; Kurczynski, Zdzislaw; Pachuta, Andrzej; Wozniak, Marek; Bylina, Pawel; Prochniewicz, Dominik</t>
  </si>
  <si>
    <t>PARTICIPATION OF EMPLOYEES AND STUDENTS OF THE FACULTY OF GEODESY AND CARTOGRAPHY IN POLAR RESEARCH</t>
  </si>
  <si>
    <t>REPORTS ON GEODESY AND GEOINFORMATICS</t>
  </si>
  <si>
    <t>polar research; Spitsbergen; Antarctic; King George Island</t>
  </si>
  <si>
    <t>This year the Faculty of Geodesy and Cartography, Warsaw University of Technology celebrates its 95th jubilee, which provides an opportunity to present the Faculty's rich traditions in polar research. Employees and students of the faculty for almost 60 years have taken part in research expeditions to the polar circle. The article presents various studies typical of geodesy and cartography, as well as miscellany of possible measurement applications and geodetic techniques used to support interdisciplinary research. Wide range of geodetic techniques used in polar studies includes classic angular and linear surveys, photogrammetric techniques, gravimetric measurements, GNSS satellite techniques and satellite imaging. Those measurements were applied in glaciological, geological, geodynamic, botanical researches as well as in cartographic studies. Often they were used in activities aiming to ensure continuous functioning of Polish research stations on both hemispheres. This study is a short overview of thematic scope and selected research results conducted by our employees and students.</t>
  </si>
  <si>
    <t>[Pasik, Mariusz; Adamek, Artur; Rajner, Marcin; Kurczynski, Zdzislaw; Pachuta, Andrzej; Wozniak, Marek; Bylina, Pawel; Prochniewicz, Dominik] Warsaw Univ Technol, Fac Geodesy &amp; Cartog, Pl Politech 1, PL-00661 Warsaw, Poland</t>
  </si>
  <si>
    <t>Warsaw University of Technology</t>
  </si>
  <si>
    <t>Pasik, M (corresponding author), Warsaw Univ Technol, Fac Geodesy &amp; Cartog, Pl Politech 1, PL-00661 Warsaw, Poland.</t>
  </si>
  <si>
    <t>m.pasik@gik.pw.edu.pl; artex_pl@yahoo.com; m.rajner@gik.pw.edu.pl; z.kurczynski@gik.pw.edu.pl; a.pachuta@gik.pw.edu.pl; m.wozniak@gik.pw.edu.pl; p.bylina@gik.pw.edu.pl; d.prochniewicz@gik.pw.edu.pl</t>
  </si>
  <si>
    <t>Prochniewicz, Dominik/AEY-6688-2022; Rajner, Marcin/AAE-2734-2019; Rajner, Marcin/AAE-2731-2019; Rajner, Marcin/B-4618-2019</t>
  </si>
  <si>
    <t>Prochniewicz, Dominik/0000-0003-4840-3709; Pachuta, Andrzej/0000-0003-3575-7655; Bylina, Pawel/0000-0003-1311-7905</t>
  </si>
  <si>
    <t>DE GRUYTER OPEN LTD</t>
  </si>
  <si>
    <t>WARSAW</t>
  </si>
  <si>
    <t>BOGUMILA ZUGA 32A ST, 01-811 WARSAW, POLAND</t>
  </si>
  <si>
    <t>2391-8365</t>
  </si>
  <si>
    <t>2391-8152</t>
  </si>
  <si>
    <t>REP GEOD GEOINFORMAT</t>
  </si>
  <si>
    <t>Rep. Geod. Geoinformatics</t>
  </si>
  <si>
    <t>10.1515/rgg-2016-0016</t>
  </si>
  <si>
    <t>Remote Sensing</t>
  </si>
  <si>
    <t>DO8OM</t>
  </si>
  <si>
    <t>WOS:000378042900015</t>
  </si>
  <si>
    <t>Flynn, GJ; Nittler, LR; Engrand, C</t>
  </si>
  <si>
    <t>Flynn, George J.; Nittler, Larry R.; Engrand, Cecile</t>
  </si>
  <si>
    <t>Composition of Cosmic Dust: Sources and-Implications for the Early Solar Systm</t>
  </si>
  <si>
    <t>ELEMENTS</t>
  </si>
  <si>
    <t>interplanetary dust particles; micrometeorites; cosmic dust; zodiacal cloud; protoplanetary disk; grain condensation; grain aggregation</t>
  </si>
  <si>
    <t>INTERPLANETARY DUST; ANTARCTIC MICROMETEORITES; EXTRATERRESTRIAL ORIGIN; PARTICLES; OXYGEN; SNOW; CHONDRITES; SPHERULES; NITROGEN; RATIOS</t>
  </si>
  <si>
    <t>Many cosmic dust particles have escaped the aqueous and thermal processing, the gravitational compaction, and the impact shocks that often overprint the record, in most larger samples, of how Solar System materials formed. The least-altered types of cosmic dust can, therefore, act as probes into the conditions of the solar protoplanetary disk when the first solids formed. Analyses of these primitive particles indicate that the protoplanetary disk was well mixed, that it contained submicron grains formed in a diversity of environments, that these grains were aerodynamically transported prior to aggregation, which was likely aided by organic grain coatings, and that some minerals that condensed directly from the disk are not found in other materials. These protoplanetary aggregates are not represented in any type of meteorite or terrestrial rock. They can only be studied from cosmic dust.</t>
  </si>
  <si>
    <t>[Flynn, George J.] SUNY Coll Plattsburgh, Dept Phys, Plattsburgh, NY 12901 USA; [Nittler, Larry R.] Carnegie Inst Sci, Dept Terr Magnetism, Washington, DC 20015 USA; [Engrand, Cecile] Univ Paris 11, CNRS, Ctr Sci Nucl &amp; Sci Mat, UMR8609,Univ Paris Saclay,IN2P3, Batiment 104,91405 Orsay Campus, Paris, France</t>
  </si>
  <si>
    <t>State University of New York (SUNY) System; SUNY Plattsburgh; Carnegie Institution for Science; Universite Paris Saclay; Centre National de la Recherche Scientifique (CNRS); CNRS - National Institute of Nuclear and Particle Physics (IN2P3); Universite Paris Cite</t>
  </si>
  <si>
    <t>Flynn, GJ (corresponding author), SUNY Coll Plattsburgh, Dept Phys, Plattsburgh, NY 12901 USA.</t>
  </si>
  <si>
    <t>george.flynn@plattsburgh.edu; Inittler@carnegiescience.edu; cecile.engrand@csnsm.in2p3.fr</t>
  </si>
  <si>
    <t>MINERALOGICAL SOC AMER</t>
  </si>
  <si>
    <t>CHANTILLY</t>
  </si>
  <si>
    <t>3635 CONCORDE PKWY STE 500, CHANTILLY, VA 20151-1125 USA</t>
  </si>
  <si>
    <t>1811-5209</t>
  </si>
  <si>
    <t>1811-5217</t>
  </si>
  <si>
    <t>Elements</t>
  </si>
  <si>
    <t>10.2113/gselements.12.3.177</t>
  </si>
  <si>
    <t>DO5UC</t>
  </si>
  <si>
    <t>WOS:000377847300004</t>
  </si>
  <si>
    <t>Sandford, SA; Engrand, C; Rotundi, A</t>
  </si>
  <si>
    <t>Sandford, Scott A.; Engrand, Cecile; Rotundi, Alessandra</t>
  </si>
  <si>
    <t>Organic Matter in Cosmic Dust</t>
  </si>
  <si>
    <t>cosmic dust; organics; carbonaceous matter; hydrocarbons; microanalysis</t>
  </si>
  <si>
    <t>INTERPLANETARY DUST; ANTARCTIC MICROMETEORITES; AROMATIC-HYDROCARBONS; SOLAR-SYSTEM; C-H; PARTICLES; STARDUST; MOLECULES; ORIGIN; SNOW</t>
  </si>
  <si>
    <t>Organics are a significant component of most cosmic dust, as revealed from actual samples of extraterrestrial dust in the Earth's stratosphere, in Antarctic ice and snow, in near-Earth orbit, and in asteroids and comets. Cosmic dust contains a diverse population of organic materials that owe their origins to a variety of chemical processes occurring in many different environments. The presence of isotopic enrichments of D and N-15 suggests that many of these organic materials have an interstellar or protosolar heritage. The study of these samples is of considerable importance because they are the best preserved materials of the early Solar System available.</t>
  </si>
  <si>
    <t>[Sandford, Scott A.] NASA, Ames Res Ctr, Moffett Field, CA 94035 USA; [Engrand, Cecile] CSNSM, Bat 104,91405 Orsay Campus, Orsay, France; [Rotundi, Alessandra] Univ Naples Parthenope, Naples, Italy; [Rotundi, Alessandra] INAF Ist Astrofis &amp; Planetol Spaziali, Rome, Italy</t>
  </si>
  <si>
    <t>National Aeronautics &amp; Space Administration (NASA); NASA Ames Research Center; Parthenope University Naples; Istituto Nazionale Astrofisica (INAF)</t>
  </si>
  <si>
    <t>Sandford, SA (corresponding author), NASA, Ames Res Ctr, Moffett Field, CA 94035 USA.</t>
  </si>
  <si>
    <t>Scott.A.Sandford@nasa.gov; Cecile.Engrand@csnsm.in2p3.fr; rotundi@uniparthenope.it</t>
  </si>
  <si>
    <t>Rotundi, Alessandra/0000-0001-5467-157X</t>
  </si>
  <si>
    <t>NASA Astrobiology Institute; Italian Space Agency; Italian Programma Nazionale delle Ricerche in Antartide (PNRA); ANR OGRESSE; Centre National d'Etudes Spatiales (CNES); CNRS/IN2P3</t>
  </si>
  <si>
    <t>NASA Astrobiology Institute; Italian Space Agency(Agenzia Spaziale Italiana (ASI)); Italian Programma Nazionale delle Ricerche in Antartide (PNRA)(Ministry of Education, Universities and Research (MIUR)); ANR OGRESSE(Agence Nationale de la Recherche (ANR)); Centre National d'Etudes Spatiales (CNES)(Centre National D'etudes Spatiales); CNRS/IN2P3(Centre National de la Recherche Scientifique (CNRS))</t>
  </si>
  <si>
    <t>Sandford acknowledges funding support from the NASA Astrobiology Institute. Rotundi thanks the Italian Space Agency and the Italian Programma Nazionale delle Ricerche in Antartide (PNRA) for funding. Engrand acknowledges support from CNRS/IN2P3, ANR OGRESSE and Centre National d'Etudes Spatiales (CNES). This article benefitted greatly from reviews by F. von Blanckenburg, S. Taylor, G. Flynn, and D. Brownlee.</t>
  </si>
  <si>
    <t>10.2113/gselements.12.3.185</t>
  </si>
  <si>
    <t>WOS:000377847300005</t>
  </si>
  <si>
    <t>Jerosch, K; Kuhn, G; Krajnik, I; Scharf, FK; Dorschel, B</t>
  </si>
  <si>
    <t>Jerosch, Kerstin; Kuhn, Gerhard; Krajnik, Ingo; Scharf, Frauke Katharina; Dorschel, Boris</t>
  </si>
  <si>
    <t>A geomorphological seabed classification for the Weddell Sea, Antarctica</t>
  </si>
  <si>
    <t>MARINE GEOPHYSICAL RESEARCH</t>
  </si>
  <si>
    <t>Weddell Sea; Geomorphic seabed classes; Benthic Positioning Index; Shelf edge; Sediment type assignment</t>
  </si>
  <si>
    <t>TROUGH-MOUTH FAN; HABITAT COMPLEXITY; SURFACE-AREA; DEEP-WATER; MARGIN; LEVEL; COMMUNITIES; SEDIMENTS; SYSTEMS; ORIGIN</t>
  </si>
  <si>
    <t>Sea floor morphology plays an important role in many scientific disciplines such as ecology, hydrology and sedimentology since geomorphic features can act as physical controls for e.g. species distribution, oceanographically flow-path estimations or sedimentation processes. In this study, we provide a terrain analysis of the Weddell Sea based on the 500 m x 500 m resolution bathymetry data provided by the mapping project IBCSO. Seventeen seabed classes are recognized at the sea floor based on a fine and broad scale Benthic Positioning Index calculation highlighting the diversity of the glacially carved shelf. Beside the morphology, slope, aspect, terrain rugosity and hillshade were calculated and supplied to the data archive PANGAEA. Applying zonal statistics to the geomorphic features identified unambiguously the shelf edge of the Weddell Sea with a width of 45-70 km and a mean depth of about 1200 m ranging from 270 m to 4300 m. A complex morphology of troughs, flat ridges, pinnacles, steep slopes, seamounts, outcrops, and narrow ridges, structures with approx. 5-7 km width, build an approx. 40-70 km long swath along the shelf edge. The study shows where scarps and depressions control the connection between shelf and abyssal and where high and low declination within the scarps e.g. occur. For evaluation purpose, 428 grain size samples were added to the seabed class map. The mean values of mud, sand and gravel of those samples falling into a single seabed class was calculated, respectively, and assigned to a sediment texture class according to a common sediment classification scheme.</t>
  </si>
  <si>
    <t>[Jerosch, Kerstin; Kuhn, Gerhard; Krajnik, Ingo; Scharf, Frauke Katharina; Dorschel, Boris] Alfred Wegener Inst, Bremerhaven, Germany</t>
  </si>
  <si>
    <t>Jerosch, K (corresponding author), Alfred Wegener Inst, Bremerhaven, Germany.</t>
  </si>
  <si>
    <t>kerstin.jerosch@awi.de</t>
  </si>
  <si>
    <t>Jerosch, Kerstin/ABC-8913-2020</t>
  </si>
  <si>
    <t>Jerosch, Kerstin/0000-0003-0728-2154; Kuhn, Gerhard/0000-0001-6069-7485; Dorschel, Boris/0000-0002-3495-5927</t>
  </si>
  <si>
    <t>Deutsche Forschungsgemeinschaft (DFG) [JE 680/1]</t>
  </si>
  <si>
    <t>Deutsche Forschungsgemeinschaft (DFG)(German Research Foundation (DFG))</t>
  </si>
  <si>
    <t>We would like to thank D. Beaver for enlightening discussions and Torben Gentz for technical help and support. Two anonymous reviewers deserve a big Thank you for careful reading and providing good advice and helpful comments. This work was supported by the Deutsche Forschungsgemeinschaft (DFG) in the framework of the Priority Programme Antarctic Research with comparative investigations in Arctic ice areas'' by a Grant JE 680/1.</t>
  </si>
  <si>
    <t>0025-3235</t>
  </si>
  <si>
    <t>1573-0581</t>
  </si>
  <si>
    <t>MAR GEOPHYS RES</t>
  </si>
  <si>
    <t>Mar. Geophys. Res.</t>
  </si>
  <si>
    <t>10.1007/s11001-015-9256-x</t>
  </si>
  <si>
    <t>Geochemistry &amp; Geophysics; Oceanography</t>
  </si>
  <si>
    <t>DO6VH</t>
  </si>
  <si>
    <t>WOS:000377921100004</t>
  </si>
  <si>
    <t>Horn, M; Uenzelmann-Neben, G</t>
  </si>
  <si>
    <t>Horn, Michael; Uenzelmann-Neben, Gabriele</t>
  </si>
  <si>
    <t>The spatial extent of the Deep Western Boundary Current into the Bounty Trough: new evidence from parasound sub-bottom profiling</t>
  </si>
  <si>
    <t>Parasound sub-bottom profiler; Milankovitch cycles; Deep Western Boundary Current (DWBC); Bounty Trough</t>
  </si>
  <si>
    <t>ANTARCTIC CIRCUMPOLAR CURRENT; EASTERN NEW-ZEALAND; PACIFIC-OCEAN; SEDIMENTARY SYSTEM; SOUTHWEST PACIFIC; EVOLUTION; INFLOW; BASIN; WATER; STRATIGRAPHY</t>
  </si>
  <si>
    <t>Deep currents such as the Pacific Deep Western Boundary Current (DWBC) are strengthened periodically in Milankovitch cycles. We studied periodic fluctuations in seismic reflection pattern and reflection amplitude in order to detect cycles in the sedimentary layers of Bounty Trough and bounty fan, east of New Zealand. There, the occurrence of the obliquity frequency is caused only by the DWBC. Therefore, it provides direct evidence for the spatial extent of the DWBC. We can confirm the extent of the DWBC west of the outer sill, previously only inferred via erosional features at the outer sill. Further, our data allow an estimation of the extent of the DWBC into the Bounty Trough, limiting the DWBC presence to east of 178.15A degrees E. Using the presented method a larger dataset will allow a chronological and areal mapping of sedimentation processes and hence provide information on glacial/interglacial cycles.</t>
  </si>
  <si>
    <t>[Horn, Michael; Uenzelmann-Neben, Gabriele] Helmholtz Ctr Polar &amp; Marine Res, Alfred Wegener Inst, Alten Hafen 26, D-27568 Bremerhaven, Germany</t>
  </si>
  <si>
    <t>Uenzelmann-Neben, G (corresponding author), Helmholtz Ctr Polar &amp; Marine Res, Alfred Wegener Inst, Alten Hafen 26, D-27568 Bremerhaven, Germany.</t>
  </si>
  <si>
    <t>michael.horn@awi.de; Gabriele.Uenzelmann-Neben@awi.de</t>
  </si>
  <si>
    <t>Uenzelmann-Neben, Gabriele/0000-0002-0115-5923</t>
  </si>
  <si>
    <t>Bundesministerium fur Bildung und Forschung [03G0169A, 03G0213A]</t>
  </si>
  <si>
    <t>Bundesministerium fur Bildung und Forschung(Federal Ministry of Education &amp; Research (BMBF))</t>
  </si>
  <si>
    <t>We are grateful for the support of Captain H. Andresen and his crew during RV Sonne cruise 169 and Captain O. Meyer and his crew during RV Sonne cruise 213/2 as well as the Parasound watch keepers during both cruises. Additionally, we would like to thank Dr. Robert Larter and Dr. Neil Mitchell for their helpful comments and suggestions on an earlier version of this manuscript. We are further grateful for the helpful comments of two anonymous reviewers and the editor R. Urgeles. The cruises and this research were funded by the Bundesministerium fur Bildung und Forschung under contract number 03G0169A and 03G0213A. The Parasound data this paper is based on can be found in the PAGAEA (www.pangaea.de) Database.</t>
  </si>
  <si>
    <t>10.1007/s11001-016-9268-1</t>
  </si>
  <si>
    <t>WOS:000377921100006</t>
  </si>
  <si>
    <t>Zeng, YX; Dong, PY; Qiao, ZY; Zheng, TL</t>
  </si>
  <si>
    <t>Zeng Yinxin; Dong Peiyan; Qiao Zongyun; Zheng Tianling</t>
  </si>
  <si>
    <t>Diversity of the aerobic anoxygenic phototrophy gene pufM in Arctic and Antarctic coastal seawaters</t>
  </si>
  <si>
    <t>diversity; aerobic anoxygenic phototrophic bacteria; pufM; Arctic; Antarctic</t>
  </si>
  <si>
    <t>KING-GEORGE-ISLAND; COMMUNITY STRUCTURE; MEDITERRANEAN SEA; PHOTOHETEROTROPHIC BACTERIA; SURFACE WATERS; ABUNDANCE; SUMMER; OCEAN; BACTERIOPLANKTON; PHOTOSYNTHESIS</t>
  </si>
  <si>
    <t>Aerobic anoxygenic phototrophic (AAP) bacteria serve important functions in marine carbon and energy cycling because of their capability to utilize dissolved organic substrates and harvest light energy. AAP bacteria are widely distributed in marine environments, and their diversity has been examined in marine habitats. However, information about AAP bacteria at high latitudes remains insufficient to date. Therefore, this study determined the summer AAP bacterial diversity in Arctic Kongsfjorden and in the Antarctic coastal seawater of King George Island on the basis of pufM, a gene that encodes a pigment-binding protein subunit of the reaction center complex. Four pufM clone libraries were constructed, and 674 positive clones were obtained from four investigated stations (two in Kongsfjorden and two in the Antarctic Maxwell Bay). Arctic clones were clustered within the Alphaproteobacteria, whereas Antarctic clones were classified into the Alphaproteobacteria and Betaproteobacteria classes. Rhodobacteraceae-like pufM genes dominated in all samples. In addition, sequences closely related to pufM encoded on a plasmid in Sulfitobacter guttiformis were predominant in both Arctic and Antarctic samples. This result indicates the transpolar or even global distribution of pufM genes in marine environments. Meanwhile, differences between the Arctic and Antarctic sequences may prove polar endemism. These results indicate the important role of Rhodobacteraceae as AAP bacteria in bipolar coastal waters.</t>
  </si>
  <si>
    <t>[Zeng Yinxin; Qiao Zongyun] Polar Res Inst China, State Ocean Adm, Key Lab Polar Sci, Shanghai 200136, Peoples R China; [Zeng Yinxin; Qiao Zongyun] Jimei Univ, Coll Biol Engn, Xiamen 361021, Peoples R China; [Dong Peiyan; Zheng Tianling] Xiamen Univ, Sch Life Sci, State Key Lab Marine Environm Sci, Xiamen 361005, Peoples R China</t>
  </si>
  <si>
    <t>Polar Research Institute of China; Jimei University; Xiamen University</t>
  </si>
  <si>
    <t>Zeng, YX (corresponding author), Polar Res Inst China, State Ocean Adm, Key Lab Polar Sci, Shanghai 200136, Peoples R China.;Zeng, YX (corresponding author), Jimei Univ, Coll Biol Engn, Xiamen 361021, Peoples R China.</t>
  </si>
  <si>
    <t>Zheng, TL/G-3974-2010</t>
  </si>
  <si>
    <t>National Natural Science Foundation of China [41076131, 41476171]; Chinese Polar Environment Comprehensive Investigation and Assessment Program [CHINARE2015-02-01, CHINARE2015-04-01]</t>
  </si>
  <si>
    <t>The National Natural Science Foundation of China under contract Nos 41076131and 41476171; the Chinese Polar Environment Comprehensive Investigation and Assessment Program under contract Nos CHINARE2015-02-01 and CHINARE2015-04-01.</t>
  </si>
  <si>
    <t>10.1007/s13131-016-0877-y</t>
  </si>
  <si>
    <t>DN8RU</t>
  </si>
  <si>
    <t>WOS:000377347900010</t>
  </si>
  <si>
    <t>Obbels, D; Verleyen, E; Mano, MJ; Namsaraev, Z; Sweetlove, M; Tytgat, B; Fernandez-Carazo, R; De Wever, A; D'hondt, S; Ertz, D; Elster, J; Sabbe, K; Willems, A; Wilmotte, A; Vyverman, W</t>
  </si>
  <si>
    <t>Obbels, Dagmar; Verleyen, Elie; Mano, Marie-Jose; Namsaraev, Zorigto; Sweetlove, Maxime; Tytgat, Bjorn; Fernandez-Carazo, Rafael; De Wever, Aaike; D'hondt, Sofie; Ertz, Damien; Elster, Josef; Sabbe, Koen; Willems, Anne; Wilmotte, Annick; Vyverman, Wim</t>
  </si>
  <si>
    <t>Bacterial and eukaryotic biodiversity patterns in terrestrial and aquatic habitats in the Sor Rondane Mountains, Dronning Maud Land, East Antarctica</t>
  </si>
  <si>
    <t>Antarctica; terrestrial biodiversity; eukaryotes; bacteria; green algae; cyanobacteria</t>
  </si>
  <si>
    <t>RIBOSOMAL-RNA SEQUENCES; MCMURDO DRY VALLEYS; MICROBIAL DIVERSITY; CYANOBACTERIAL DIVERSITY; TRANSANTARCTIC MOUNTAINS; COMMUNITY STRUCTURE; LIVINGSTON ISLAND; ICE-FREE; SOILS; UTSTEINEN</t>
  </si>
  <si>
    <t>The bacterial and microeukaryotic biodiversity were studied using pyrosequencing analysis on a 454 GS FLX+ platform of partial SSU rRNA genes in terrestrial and aquatic habitats of the Sor Rondane Mountains, including soils, on mosses, endolithic communities, cryoconite holes and supraglacial and subglacial meltwater lenses. This inventory was complemented with Denaturing Gradient Gel Electrophoresis targeting Chlorophyta and Cyanobacteria. OTUs belonging to the Rotifera, Chlorophyta, Tardigrada, Ciliophora, Cercozoa, Fungi, Bryophyta, Bacillariophyta, Collembola and Nematoda were present with a relative abundance of at least 0.1% in the eukaryotic communities. Cyanobacteria, Proteobacteria, Bacteroidetes, Acidobacteria, FBP and Actinobacteria were the most abundant bacterial phyla. Multivariate analyses of the pyrosequencing data revealed a general lack of differentiation of both eukaryotes and prokaryotes according to habitat type. However, the bacterial community structure in the aquatic habitats was dominated by the filamentous cyanobacteria Leptolyngbya and appeared to be significantly different compared with those in dry soils, on mosses, and in endolithic habitats. A striking feature in all datasets was the detection of a relatively large amount of sequences new to science, which underscores the need for additional biodiversity assessments in Antarctic inland locations.</t>
  </si>
  <si>
    <t>[Obbels, Dagmar; Verleyen, Elie; Sweetlove, Maxime; De Wever, Aaike; D'hondt, Sofie; Sabbe, Koen; Vyverman, Wim] Univ Ghent, Dept Biol, Lab Protistol &amp; Aquat Ecol, Krijgslaan 281,S8, B-9000 Ghent, Belgium; [Mano, Marie-Jose; Namsaraev, Zorigto; Fernandez-Carazo, Rafael; Wilmotte, Annick] Univ Liege, Inst Chem, Ctr Prot Engn, Sart TilmanB6, B-4000 Liege, Belgium; [Namsaraev, Zorigto] RAS, Winogradsky Inst Microbiol, Pr T 60 Letya Oktyabrya 7-2, Moscow 117312, Russia; [Namsaraev, Zorigto] NRC Kurchatov Inst, Akad Kurchatova Pl 1, Moscow 123182, Russia; [Tytgat, Bjorn; Willems, Anne] Univ Ghent, Dept Biochem &amp; Microbiol, Microbiol Lab, KL Ledeganckstr 35, B-9000 Ghent, Belgium; [De Wever, Aaike] Royal Belgian Inst Nat Sci, Operat Directorate Nat Environm, Vautierstr 29, B-1000 Brussels, Belgium; [Ertz, Damien] Bot Garden Meise, Dept Bryophytes Thallophytes, Nieuwelaan 38, B-1860 Meise, Belgium; [Ertz, Damien] Federat Wallonia Brussels, Gen Adm Noncompulsory Educ &amp; Sci Res, Rue A Lavallee 1, B-1080 Brussels, Belgium; [Elster, Josef] Univ South Bohemia, Acad Sci Czech Republ, Inst Bot, Ctr Polar Ecol,Fac Sci, Dukelska 135, Trebon 37982, Czech Republic</t>
  </si>
  <si>
    <t>Ghent University; University of Liege; Russian Academy of Sciences; Research Center of Biotechnology RAS; National Research Centre - Kurchatov Institute; Ghent University; Royal Belgian Institute of Natural Sciences; Czech Academy of Sciences; Institute of Botany of the Czech Academy of Sciences; University of South Bohemia Ceske Budejovice</t>
  </si>
  <si>
    <t>Obbels, D (corresponding author), Univ Ghent, Dept Biol, Lab Protistol &amp; Aquat Ecol, Krijgslaan 281,S8, B-9000 Ghent, Belgium.;Obbels, D (corresponding author), Univ Ghent, Dept Biol, Krijgslaan 281,S8, B-9000 Ghent, Belgium.</t>
  </si>
  <si>
    <t>dagmar.obbels@ugent.be</t>
  </si>
  <si>
    <t>Elster, Josef/B-1031-2008; Wilmotte, Annick/H-1686-2011; De Wever, Aaike/A-4691-2009; Namsaraev, Zorigto/A-3696-2014; Willems, Anne/B-2872-2010</t>
  </si>
  <si>
    <t>Namsaraev, Zorigto/0000-0002-9701-5721; Wilmotte, Annick/0000-0003-3546-3489; Elster, Josef/0000-0002-4535-5636; Willems, Anne/0000-0002-8421-2881</t>
  </si>
  <si>
    <t>Belgian Federal Science Policy (BelSPO) project ANTAR-IMPACT (Inventory and evaluation of the environmental impact of the Antarctic research station 'Princes Elizabeth') [SD/BA/853]; Belgian Federal Science Policy (BelSPO) project BELDIVA [EA/XX/05]; Belgian Federal Science Policy (BelSPO) project CCAMBIO (Climate Change Antarctic Microbial Biodiversity) [SD/BA/03]; Special Research Fund BOF-UGent [0J28410]; InBev-Baillet Latour Fund through the DELAQUA (Deglaciation, ice-sheet thickness and climate change in Dronning Maud Land during the late Quaternary) project; Institute for Science and Technology in Flanders; FRIA (Fonds pour la formation a la Recherche dans l'Industrie et dans l'Agriculture) [FRFC 2.4570.09]; FRS-FNRS (Fund for Scientific Research) [FRFC 2.4570.09]</t>
  </si>
  <si>
    <t>Belgian Federal Science Policy (BelSPO) project ANTAR-IMPACT (Inventory and evaluation of the environmental impact of the Antarctic research station 'Princes Elizabeth'); Belgian Federal Science Policy (BelSPO) project BELDIVA; Belgian Federal Science Policy (BelSPO) project CCAMBIO (Climate Change Antarctic Microbial Biodiversity); Special Research Fund BOF-UGent; InBev-Baillet Latour Fund through the DELAQUA (Deglaciation, ice-sheet thickness and climate change in Dronning Maud Land during the late Quaternary) project; Institute for Science and Technology in Flanders; FRIA (Fonds pour la formation a la Recherche dans l'Industrie et dans l'Agriculture)(Fonds de la Recherche Scientifique - FNRS); FRS-FNRS (Fund for Scientific Research)(Fonds de la Recherche Scientifique - FNRS)</t>
  </si>
  <si>
    <t>This work was supported by the Belgian Federal Science Policy (BelSPO) projects ANTAR-IMPACT (Inventory and evaluation of the environmental impact of the Antarctic research station 'Princes Elizabeth') [SD/BA/853], BELDIVA (Belgian Microbial diversity project in Antarctica) [EA/XX/05] and CCAMBIO (Climate Change Antarctic Microbial Biodiversity) [SD/BA/03] and Special Research Fund BOF-UGent [grant 0J28410]. The InBev-Baillet Latour Fund provided additional funding for fieldwork through the DELAQUA (Deglaciation, ice-sheet thickness and climate change in Dronning Maud Land during the late Quaternary) project. DO was funded by the Institute for Science and Technology in Flanders, M-JM and ZN were funded by the FRIA (Fonds pour la formation a la Recherche dans l'Industrie et dans l'Agriculture) and FRS-FNRS (Fund for Scientific Research) [FRFC 2.4570.09], respectively. Annick Wilmotte is Research Associate of the FRS-FNRS.</t>
  </si>
  <si>
    <t>fiw041</t>
  </si>
  <si>
    <t>10.1093/femsec/fiw041</t>
  </si>
  <si>
    <t>DO0MS</t>
  </si>
  <si>
    <t>WOS:000377473600001</t>
  </si>
  <si>
    <t>Madhavan, S; Xiong, XX; Wu, AS; Wenny, BN; Chiang, KF; Chen, N; Wang, ZP; Li, YH</t>
  </si>
  <si>
    <t>Madhavan, Sriharsha; Xiong, Xiaoxiong; Wu, Aisheng; Wenny, Brian N.; Chiang, Kwofu; Chen, Na; Wang, Zhipeng; Li, Yonghong</t>
  </si>
  <si>
    <t>Noise Characterization and Performance of MODIS Thermal Emissive Bands</t>
  </si>
  <si>
    <t>IEEE TRANSACTIONS ON GEOSCIENCE AND REMOTE SENSING</t>
  </si>
  <si>
    <t>Aqua; blackbody (BB); calibration; MODerate-resolution Imaging Spectroradiometer (MODIS); noise equivalent dn difference (NEdN); noise; noise equivalent temperature difference (NEdT); thermal emissive bands (TEBs); Terra</t>
  </si>
  <si>
    <t>ON-ORBIT CALIBRATION; TERRA</t>
  </si>
  <si>
    <t>The MODerate-resolution Imaging Spectroradiometer (MODIS) is a premier Earth-observing sensor of the early 21st century, flying onboard the Terra (T) and Aqua (A) spacecraft. Both instruments far exceeded their six-year design life and continue to operate satisfactorily for more than 15 and 13 years, respectively. The MODIS instrument is designed to make observations at nearly a 100% duty cycle covering the entire Earth in less than two days. The MODIS sensor characteristics include a spectral coverage from 0.41 to 14.4 mu m, of which those wavelengths ranging from 3.7 to 14. 4 mu m cover the thermal infrared region which is interspaced in 16 thermal emissive bands (TEBs). Each of the TEB contains ten detectors which record samples at a spatial resolution of 1 km. In order to ensure a high level of accuracy for the TEB-measured top-of-atmosphere radiances, an onboard blackbody (BB) is used as the calibration source. This paper reports the noise characterization and performance of the TEB on various counts. First, the stability of the onboard BB is evaluated to understand the effectiveness of the calibration source. Next, key noise metrics such as the noise equivalent temperature difference and the noise equivalent dn difference (NEdN) for the various TEBs are determined from multiple temperature sources. These sources include the nominally controlled BB temperature of 290 K for T-MODIS and 285 K for A-MODIS, as well as a BB warm up-cool down cycle that is performed over a temperature range from roughly 270 to 315 K. The space-view port that measures the background signal serves as a viable cold temperature source for measuring noise. In addition, a well characterized Earth-view target, the Dome Concordia site located in the Antarctic plateau, is used for characterizing the stability of the sensor, indirectly providing a measure of the NEdN. Based on this rigorous characterization, a list of the noisy and inoperable detectors for the TEB for both instruments is reported to provide the science user communities quality control of the MODIS Level 1B calibrated product.</t>
  </si>
  <si>
    <t>[Madhavan, Sriharsha; Wenny, Brian N.; Chen, Na] Sci &amp; Syst Applicat Inc, Moderate Resolut Imaging Spectroradiometer Charac, Lanham, MD 20706 USA; [Wu, Aisheng; Chiang, Kwofu; Wang, Zhipeng; Li, Yonghong] Sci &amp; Syst Applicat Inc, Lanham, MD 20706 USA; [Xiong, Xiaoxiong] NASA, Goddard Space Flight Ctr, Sci &amp; Explorat Directorate, Greenbelt, MD 20771 USA</t>
  </si>
  <si>
    <t>Science Systems and Applications Inc; Science Systems and Applications Inc; National Aeronautics &amp; Space Administration (NASA); NASA Goddard Space Flight Center</t>
  </si>
  <si>
    <t>Madhavan, S (corresponding author), Sci &amp; Syst Applicat Inc, Moderate Resolut Imaging Spectroradiometer Charac, Lanham, MD 20706 USA.</t>
  </si>
  <si>
    <t>sriharsha.madhavan@ssaihq.com</t>
  </si>
  <si>
    <t>Gu, Yucheng/GPX-1847-2022; Wang, Zhipeng/ABA-2900-2020</t>
  </si>
  <si>
    <t>Gu, Yucheng/0000-0002-6400-6167; Wang, Zhipeng/0000-0002-9108-9009; Wenny, Brian/0000-0002-4352-757X</t>
  </si>
  <si>
    <t>Science Earth Science System NASA Funding Source: Medline</t>
  </si>
  <si>
    <t>Science Earth Science System NASA</t>
  </si>
  <si>
    <t>0196-2892</t>
  </si>
  <si>
    <t>1558-0644</t>
  </si>
  <si>
    <t>IEEE T GEOSCI REMOTE</t>
  </si>
  <si>
    <t>IEEE Trans. Geosci. Remote Sensing</t>
  </si>
  <si>
    <t>10.1109/TGRS.2015.2514061</t>
  </si>
  <si>
    <t>DO0OB</t>
  </si>
  <si>
    <t>WOS:000377477100011</t>
  </si>
  <si>
    <t>Dmitryjuk, M; Lopienska-Biernat, E</t>
  </si>
  <si>
    <t>Dmitryjuk, Malgorzata; Lopienska-Biernat, Elzbieta</t>
  </si>
  <si>
    <t>The gene expression and the activity of enzyme synthesis of trehalose during development of Ascaris suum (Nematoda) eggs</t>
  </si>
  <si>
    <t>INVERTEBRATE REPRODUCTION &amp; DEVELOPMENT</t>
  </si>
  <si>
    <t>Trehalose-6-phosphate synthase; treha lose-6 phosphate phosphatase; tps1; tps2 and tpp genes</t>
  </si>
  <si>
    <t>TREHALOSE-6-PHOSPHATE PHOSPHATASE; PANAGROLAIMUS-DAVIDI; ANTARCTIC NEMATODE; MOLECULAR-CLONING; ESCHERICHIA-COLI; PURIFICATION; METABOLISM; LARVAE; ANHYDROBIOSIS; LUMBRICOIDES</t>
  </si>
  <si>
    <t>The activity of trehalose-6-phosphate synthase (TPS) and trehalose-6-phosphate phosphatase (TPP) and their mRNA expression was determined in Ascaris suum eggs developing from a zygote to invasive larvae in an in vitro culture. The stages of nematode embryonic development, i.e. cleavage, gastrulation and formation of larvae, were always accompanied by an increase in TPS activity. An increase in TPP activity, the second enzyme of the analysed pathway, followed in subsequent developmental stages. Key changes in trehalose metabolism were observed in the tadpole stage. The development of moving larvae was accompanied by the highest mRNA expression and activity level of TPP, which converts metabolic intermediate T6P to trehalose. The trehalose synthesis enzymes activity was positively correlated with their mRNA expression. For three genes: tps1, tps2 (TPS coding) and tpp (TPP coding) there was very strong and statistically significant correlation with the activity of a specific enzyme.The Pearson's coefficient was r = 0.903714 (p &lt; 0.001) for tps1 gene, r = 0.803012 (&lt; 0.01) for tps2 and r = 0.856244 (p &lt; 0.01) for tpp over development time.</t>
  </si>
  <si>
    <t>[Dmitryjuk, Malgorzata; Lopienska-Biernat, Elzbieta] Univ Warmia &amp; Mazury, Fac Biol &amp; Biotechnol, Dept Biochem, Olsztyn, Poland</t>
  </si>
  <si>
    <t>University of Warmia &amp; Mazury</t>
  </si>
  <si>
    <t>Dmitryjuk, M (corresponding author), Univ Warmia &amp; Mazury, Fac Biol &amp; Biotechnol, Dept Biochem, Olsztyn, Poland.</t>
  </si>
  <si>
    <t>m.dmit@uwm.edu.pl</t>
  </si>
  <si>
    <t>Łopieńska-Biernat, Elzbieta/AAN-6140-2020</t>
  </si>
  <si>
    <t>Łopieńska-Biernat, Elzbieta/0000-0003-3265-5207; Dmitryjuk, Malgorzata/0000-0002-9986-3847</t>
  </si>
  <si>
    <t>0792-4259</t>
  </si>
  <si>
    <t>2157-0272</t>
  </si>
  <si>
    <t>INVERTEBR REPROD DEV</t>
  </si>
  <si>
    <t>Invertebr. Reprod. Dev.</t>
  </si>
  <si>
    <t>10.1080/07924259.2016.1160000</t>
  </si>
  <si>
    <t>Reproductive Biology; Zoology</t>
  </si>
  <si>
    <t>DN9TV</t>
  </si>
  <si>
    <t>WOS:000377424500002</t>
  </si>
  <si>
    <t>Jena, B; Kurian, PJ; Avinash, K</t>
  </si>
  <si>
    <t>Jena, Babula; Kurian, P. John; Avinash, Kumar</t>
  </si>
  <si>
    <t>Morphology of submarine channel-levee systems in the eastern Bay of Bengal near Andaman region</t>
  </si>
  <si>
    <t>JOURNAL OF COASTAL CONSERVATION</t>
  </si>
  <si>
    <t>GIS; Echosounder; Submarine channel; Meanders; Bengal fan</t>
  </si>
  <si>
    <t>DEEP-SEA FAN; LATE QUATERNARY SEDIMENTATION; SCAN SONAR GLORIA; INDIAN-OCEAN; TURBIDITY CURRENTS; HEINRICH EVENTS; GROWTH-PATTERN; EVOLUTION; CANYON; WORLD</t>
  </si>
  <si>
    <t>Multibeam echo-sounder (MBES), sub-bottom profiler, singlebeam tracks and public-domain bathymetry geophysical datasets were analyzed in a Geographic Information System (GIS) for accuracy assessment and further used to update the previous map (Curray et al. Mar Pet Geol 19: 1191-1223, 2003) of submarine channel-levee systems in the eastern Bengal Fan near the Andaman region. Comparative analysis of singlebeam with MBES indicated 2.8 % of root-mean-square difference in bathymetry, and could clearly bring out distinct submarine channel profiles. The channel map revealed that the previously named E6 [updated as E7(1a)] and E7 [updated as E7(1b)] channels emanate from the middle and lower Bengal Fan, respectively and merge together at 91.28A degrees E, 10.64A degrees N where they form a second order channel [E7(2)] that flows southward along the east of Ninety-east Ridge. Similarly, two first order channels [E6(1a) and E6(1b)] emanate from the lower Bengal Fan which merge together at 88.78A degrees E, 06.92A degrees N to form a second order channel [E6(2)] that flows along the west of Ninety-east Ridge towards the equator. This channel was previously thought to be linked to the middle Bengal Fan. High-resolution MBES tracks over the channel shows extensive meandering patterns with the channel gently deepening and widening towards south. Variations in the morphology and stratigraphy indicate that the E7 channel is characterized by a curvilinear course, with higher observed sinuosity wherever gradient decreases.</t>
  </si>
  <si>
    <t>[Jena, Babula; Kurian, P. John; Avinash, Kumar] Minist Earth Sci MoES, ESSO Natl Ctr Antarct &amp; Ocean Res, Vasco Da Gama 403804, Goa, India</t>
  </si>
  <si>
    <t>Jena, B (corresponding author), Minist Earth Sci MoES, ESSO Natl Ctr Antarct &amp; Ocean Res, Vasco Da Gama 403804, Goa, India.</t>
  </si>
  <si>
    <t>Avinash, Kumar/0000-0002-6511-8435</t>
  </si>
  <si>
    <t>National Centre for Antarctic and Ocean Research (NCAOR); Ministry of Earth Sciences (MoES), Government of India</t>
  </si>
  <si>
    <t>National Centre for Antarctic and Ocean Research (NCAOR); Ministry of Earth Sciences (MoES), Government of India(Ministry of Earth Science (MoES), Government of India)</t>
  </si>
  <si>
    <t>The authors are thankful to the Director, National Centre for Antarctic and Ocean Research (NCAOR) and Ministry of Earth Sciences (MoES), Government of India for funding and permission to publish the results. The various institutions like the National Geophysical Data Center (NGDC), British Oceanographic Data Centre (BODC) are acknowledged for making the datasets available through their web sites. We also acknowledge anonymous reviewers for carefully going through the manuscript. This is NCAOR contribution number 06/2016.</t>
  </si>
  <si>
    <t>1400-0350</t>
  </si>
  <si>
    <t>1874-7841</t>
  </si>
  <si>
    <t>J COAST CONSERV</t>
  </si>
  <si>
    <t>J. Coast. Conserv.</t>
  </si>
  <si>
    <t>10.1007/s11852-016-0431-2</t>
  </si>
  <si>
    <t>Biodiversity Conservation; Environmental Sciences; Marine &amp; Freshwater Biology; Water Resources</t>
  </si>
  <si>
    <t>Biodiversity &amp; Conservation; Environmental Sciences &amp; Ecology; Marine &amp; Freshwater Biology; Water Resources</t>
  </si>
  <si>
    <t>DN9WS</t>
  </si>
  <si>
    <t>WOS:000377432000003</t>
  </si>
  <si>
    <t>Mbengue, MM</t>
  </si>
  <si>
    <t>Mbengue, Makane Moise</t>
  </si>
  <si>
    <t>Scientific Fact-finding at the International Court of Justice: An Appraisal in the Aftermath of the Whaling Case</t>
  </si>
  <si>
    <t>LEIDEN JOURNAL OF INTERNATIONAL LAW</t>
  </si>
  <si>
    <t>Scientific fact-finding; experts; International Court of Justice Statute Article 50; standard of review; World Trade Organization</t>
  </si>
  <si>
    <t>The 2014 judgment of the International Court of Justice, regarding Whaling in the Antarctic, brought into focus scientific fact-finding in disputes before the Court. This article examines the Court's practice with respect to first, the mode of appointment and method of examining experts assisting the Court in fact-finding; and second, the standard of review employed in analysing a scientific fact to arrive at a judicial decision. In doing so, the article also refers to jurisprudence of the World Trade Organization to draw parallels and best practices therefrom. This analysis is aimed at structuring a coherent and predictable approach for scientific fact-finding before the International Court of Justice.</t>
  </si>
  <si>
    <t>[Mbengue, Makane Moise] Univ Geneva, Fac Law, CH-1211 Geneva 4, Switzerland; [Mbengue, Makane Moise] Univ Geneva, Inst Environm Sci, CH-1211 Geneva 4, Switzerland; [Mbengue, Makane Moise] Sci Po Paris, Sch Law, Paris, France</t>
  </si>
  <si>
    <t>University of Geneva; University of Geneva</t>
  </si>
  <si>
    <t>Mbengue, MM (corresponding author), Univ Geneva, Fac Law, CH-1211 Geneva 4, Switzerland.;Mbengue, MM (corresponding author), Univ Geneva, Inst Environm Sci, CH-1211 Geneva 4, Switzerland.;Mbengue, MM (corresponding author), Sci Po Paris, Sch Law, Paris, France.</t>
  </si>
  <si>
    <t>makane.mbengue@unige.ch</t>
  </si>
  <si>
    <t>Mbengue, Makane Moise/0000-0002-8349-1946</t>
  </si>
  <si>
    <t>0922-1565</t>
  </si>
  <si>
    <t>1478-9698</t>
  </si>
  <si>
    <t>LEIDEN J INT LAW</t>
  </si>
  <si>
    <t>Leiden J. Int. Law</t>
  </si>
  <si>
    <t>10.1017/S0922156516000133</t>
  </si>
  <si>
    <t>DO0JH</t>
  </si>
  <si>
    <t>WOS:000377464700012</t>
  </si>
  <si>
    <t>Barthélemy, A; Fichefet, T; Goosse, H</t>
  </si>
  <si>
    <t>Barthelemy, Antoine; Fichefet, Thierry; Goosse, Hugues</t>
  </si>
  <si>
    <t>Spatial heterogeneity of ocean surface boundary conditions under sea ice</t>
  </si>
  <si>
    <t>Model; Ocean surface boundary conditions; Ice thickness distribution; Arctic; Antarctic</t>
  </si>
  <si>
    <t>HEAT-FLUX; THICKNESS DISTRIBUTION; MASS-BALANCE; MODEL; SENSITIVITY; IMPACT; CIRCULATION; SIMULATIONS; VARIABILITY; RESOLUTION</t>
  </si>
  <si>
    <t>The high heterogeneity of sea ice properties implies that its effects on the ocean are spatially variable at horizontal scales as small as a few meters. Previous studies have shown that taking this variability into account in models could be required to simulate adequately mixed layer processes and the upper ocean temperature and salinity structures. Although many advanced sea ice models include a subgrid-scale ice thickness distribution, potentially providing heterogeneous surface boundary conditions, the information is lost in the coupling with a unique ocean grid cell underneath. The present paper provides a thorough examination of boundary conditions at the ocean surface in the NEMO-LIM model, which can be used as a guideline for studies implementing subgrid-scale ocean vertical mixing schemes. Freshwater, salt, solar heat and non-solar heat fluxes are examined, as well as the norm of the surface stress. All of the thermohaline fluxes vary considerably between the open water and ice fractions of grid cells. To a lesser extent, this is also the case for the surface stress. Moreover, the salt fluxes in both hemispheres and the solar heat fluxes in the Arctic show a dependence on the ice thickness category, with more intense fluxes for thinner ice, which promotes further subgrid-scale heterogeneity. Our analysis also points out biases in the simulated open water fraction and in the ice thickness distribution, which should be investigated in more details in order to ensure that the latter is used to the best advantage. (C) 2016 Elsevier Ltd. All rights reserved.</t>
  </si>
  <si>
    <t>[Barthelemy, Antoine; Fichefet, Thierry; Goosse, Hugues] Catholic Univ Louvain, Georges Lemaitre Ctr Earth &amp; Climate Res TECLIM, Earth &amp; Life Inst, Louvain La Neuve, Belgium</t>
  </si>
  <si>
    <t>Universite Catholique Louvain</t>
  </si>
  <si>
    <t>antoine.barthelemy@uclouvain.be; thierry.fichefet@uclouvain.be; hugues.goosse@uclouvain.be</t>
  </si>
  <si>
    <t>Fonds de la Recherche Scientifique (F.R.S.-FNRS/Belgium); F.R.S.-FNRS [2.5020.11]</t>
  </si>
  <si>
    <t>Fonds de la Recherche Scientifique (F.R.S.-FNRS/Belgium)(Fonds de la Recherche Scientifique - FNRS); F.R.S.-FNRS(Fonds de la Recherche Scientifique - FNRS)</t>
  </si>
  <si>
    <t>A. Barthelemy and H. Goosse are respectively Research Assistant and Research Director with the Fonds de la Recherche Scientifique (F.R.S.-FNRS/Belgium), which supports this work. Computational resources have been provided by the supercomputing facilities of the Universite catholique de Louvain (CISM/UCL) and the Consortium des Equipements de Calcul Intensif en Federation Wallonie Bruxelles (CECI) funded by the F.R.S.-FNRS under convention 2.5020.11. We are grateful to Gurvan Madec, Martin Vancoppenolle, Julien Le Sommer and Eric Deleersnijder for their careful reading of the original manuscript. We also thank two anonymous reviewers for their valuable comments that contributed to improve this manuscript.</t>
  </si>
  <si>
    <t>10.1016/j.ocemod.2016.05.003</t>
  </si>
  <si>
    <t>DN9IA</t>
  </si>
  <si>
    <t>WOS:000377391600007</t>
  </si>
  <si>
    <t>Li, W; Podar, M; Morgan-Kiss, RM</t>
  </si>
  <si>
    <t>Li, Wei; Podar, Mircea; Morgan-Kiss, Rachael M.</t>
  </si>
  <si>
    <t>Ultrastructural and Single-Cell-Level Characterization Reveals Metabolic Versatility in a Microbial Eukaryote Community from an Ice-Covered Antarctic Lake</t>
  </si>
  <si>
    <t>APPLIED AND ENVIRONMENTAL MICROBIOLOGY</t>
  </si>
  <si>
    <t>MCMURDO DRY VALLEYS; BACTERIOPLANKTON POPULATIONS; MARINE BACTERIOPLANKTON; PTERIDOMONAS-DANICA; BETA-DIVERSITY; POLAR NIGHT; PROTISTS; PHYTOPLANKTON; BACTERIA; ECOLOGY</t>
  </si>
  <si>
    <t>The McMurdo Dry Valleys (MCM) of southern Victoria Land, Antarctica, harbor numerous ice-covered bodies of water that provide year-round liquid water oases for isolated food webs dominated by the microbial loop. Single-cell microbial eukaryotes (protists) occupy major trophic positions within this truncated food web, ranging from primary producers (e.g., chlorophytes, haptophytes, and cryptophytes) to tertiary predators (e.g., ciliates, dinoflagellates, and choanoflagellates). To advance the understanding of MCM protist ecology and the roles of MCM protists in nutrient and energy cycling, we investigated potential metabolic strategies and microbial interactions of key MCM protists isolated from a well-described lake (Lake Bonney). Fluorescence-activated cell sorting (FACS) of enrichment cultures, combined with single amplified genome/amplicon sequencing and fluorescence microscopy, revealed that MCM protists possess diverse potential metabolic capabilities and interactions. Two metabolically distinct bacterial clades (Flavobacteria and Methylobacteriaceae) were independently associated with two key MCM lake microalgae (Isochrysis and Chlamydomonas, respectively). We also report on the discovery of two heterotrophic nanoflagellates belonging to the Stramenopila supergroup, one of which lives as a parasite of Chlamydomonas, a dominate primary producer in the shallow, nutrient-poor layers of the lake. IMPORTANCE Single-cell eukaryotes called protists play critical roles in the cycling of organic matter in aquatic environments. In the ice-covered lakes of Antarctica, protists play key roles in the aquatic food web, providing the majority of organic carbon to the rest of the food web (photosynthetic protists) and acting as the major consumers at the top of the food web (predatory protists). In this study, we utilized a combination of techniques (microscopy, cell sorting, and genomic analysis) to describe the trophic abilities of Antarctic lake protists and their potential interactions with other microbes. Our work reveals that Antarctic lake protists rely on metabolic versatility for their energy and nutrient requirements in this unique and isolated environment.</t>
  </si>
  <si>
    <t>[Li, Wei; Morgan-Kiss, Rachael M.] Miami Univ, Dept Microbiol, Oxford, OH 45056 USA; [Podar, Mircea] Oak Ridge Natl Lab, Biosci Div, Oak Ridge, TN USA</t>
  </si>
  <si>
    <t>University System of Ohio; Miami University; United States Department of Energy (DOE); Oak Ridge National Laboratory</t>
  </si>
  <si>
    <t>Morgan-Kiss, RM (corresponding author), Miami Univ, Dept Microbiol, Oxford, OH 45056 USA.</t>
  </si>
  <si>
    <t>morganr2@miamioh.edu</t>
  </si>
  <si>
    <t>Podar, Mircea/B-7299-2012</t>
  </si>
  <si>
    <t>Podar, Mircea/0000-0003-2776-0205</t>
  </si>
  <si>
    <t>National Science Foundation (NSF) [1056396]; Directorate For Geosciences; Office of Polar Programs (OPP) [1056396] Funding Source: National Science Foundation</t>
  </si>
  <si>
    <t>National Science Foundation (NSF)(National Science Foundation (NSF)); Directorate For Geosciences; Office of Polar Programs (OPP)(National Science Foundation (NSF)NSF - Directorate for Geosciences (GEO))</t>
  </si>
  <si>
    <t>This work, including the efforts of Rachael M. Morgan-Kiss, was funded by National Science Foundation (NSF) (1056396).</t>
  </si>
  <si>
    <t>0099-2240</t>
  </si>
  <si>
    <t>1098-5336</t>
  </si>
  <si>
    <t>APPL ENVIRON MICROB</t>
  </si>
  <si>
    <t>Appl. Environ. Microbiol.</t>
  </si>
  <si>
    <t>10.1128/AEM.00478-16</t>
  </si>
  <si>
    <t>DN4FI</t>
  </si>
  <si>
    <t>WOS:000377018400024</t>
  </si>
  <si>
    <t>Slee, A; Shulmeister, J; Kiernan, K; Jenkinson, A</t>
  </si>
  <si>
    <t>Slee, Adrian; Shulmeister, James; Kiernan, Kevin; Jenkinson, Andrew</t>
  </si>
  <si>
    <t>STONE-BANKED LOBES AS A PRODUCT OF MILD FREEZE-THAW ACTION: AN EXAMPLE FROM WESTERN TASMANIA, AUSTRALIA</t>
  </si>
  <si>
    <t>GEOGRAFISKA ANNALER SERIES A-PHYSICAL GEOGRAPHY</t>
  </si>
  <si>
    <t>freeze-thaw; stone-banked lobe; periglacial</t>
  </si>
  <si>
    <t>SOLIFLUCTION LOBES; PERIGLACIAL LANDFORMS; ALPINE VEGETATION; YUKON-TERRITORY; SOUTHERN RANGE; KLUANE RANGE; FROST-HEAVE; HILL ONE; RAINFALL; CANADA</t>
  </si>
  <si>
    <t>This paper interprets a stone-banked lobe on the upper western face of Mt Rufus, at an altitude of 1380 m in western Tasmania, Australia. The morphology of the deposit resembles that of a solifluction lobe. Field observations show vertical and downslope movement of pebbles, cobbles and small boulders over a single winter season. The movement is largely related to frost pull (10-15 cm) and shallow freeze-thaw processes promoting the downslope (up to 50 cm yr(-1)) creep of material and the accumulation of coarse clasts at the lobe riser. The climate of Mt Rufus is strongly maritime and this is reflected in the limited duration and depth of penetration of frozen ground at this site during the 2013 winter. Despite the relatively mild climatic conditions, freeze-thaw processes are clearly the dominant geomorphic force operating at the site. These findings support observations of active stone-banked lobes on sub-Antarctic islands where intense freezing is absent. Both there and at Mt Rufus, movement is dominated by freeze-thaw processes operating in the upper c. 20 cm of the regolith. These are typical landforms of marginal freeze-thaw settings.</t>
  </si>
  <si>
    <t>[Slee, Adrian; Shulmeister, James] Univ Queensland, Sch Geog Planning &amp; Environm Management, St Lucia, Qld 4072, Australia; [Kiernan, Kevin] Summerleas Rd, Fern Tree, Tas, Australia; [Jenkinson, Andrew] Australian Nucl Sci &amp; Technol Org, Inst Environm Res, Locked Bag 2001, Kirrawee, NSW 2232, Australia; [Kiernan, Kevin] 215 Summerleas Rd, Fern Tree, Tas 7054, Australia</t>
  </si>
  <si>
    <t>University of Queensland; Australian Nuclear Science &amp; Technology Organisation</t>
  </si>
  <si>
    <t>Slee, A (corresponding author), Univ Queensland, Sch Geog Planning &amp; Environm Management, St Lucia, Qld 4072, Australia.</t>
  </si>
  <si>
    <t>Slee, Adrian/ABB-2100-2021; shulmeister, james/J-2859-2015</t>
  </si>
  <si>
    <t>shulmeister, james/0000-0001-5863-9462</t>
  </si>
  <si>
    <t>ARC [DP110103081]; AINSE [AIN-GRA09011]</t>
  </si>
  <si>
    <t>ARC(Australian Research Council); AINSE</t>
  </si>
  <si>
    <t>The authors thank Roland Eberhard for field support and Tasmanian Parks and Wildlife Service for permission to establish the study site. This study was funded through an ARC Discovery Grant (DP110103081) to Shulmeister and Kiernan with prior support from an AINSE grant (AIN-GRA09011) to Kiernan for the radiocarbon dating.</t>
  </si>
  <si>
    <t>0435-3676</t>
  </si>
  <si>
    <t>1468-0459</t>
  </si>
  <si>
    <t>GEOGR ANN A</t>
  </si>
  <si>
    <t>Geogr. Ann. Ser. A-Phys. Geogr.</t>
  </si>
  <si>
    <t>10.1111/geoa.12126</t>
  </si>
  <si>
    <t>DN6XS</t>
  </si>
  <si>
    <t>WOS:000377220400001</t>
  </si>
  <si>
    <t>Wright, SW; Hallegraeff, GM; Mantoura, RFC</t>
  </si>
  <si>
    <t>Wright, Simon W.; Hallegraeff, Gustaaf M.; Mantoura, R. Fauzi C.</t>
  </si>
  <si>
    <t>Shirley Winifred Jeffrey 1930-2014</t>
  </si>
  <si>
    <t>HISTORICAL RECORDS OF AUSTRALIAN SCIENCE</t>
  </si>
  <si>
    <t>Biographical-Item</t>
  </si>
  <si>
    <t>[Wright, Simon W.] Australian Antarctic Div, Kingston, Tas, Australia; [Hallegraeff, Gustaaf M.] Univ Tasmania, Inst Marine &amp; Antarct Studies, Hobart, Tas, Australia; [Mantoura, R. Fauzi C.] Plymouth Marine Lab, Plymouth, Devon, England</t>
  </si>
  <si>
    <t>Australian Antarctic Division; University of Tasmania; Plymouth Marine Laboratory</t>
  </si>
  <si>
    <t>Wright, SW (corresponding author), Australian Antarctic Div, Kingston, Tas, Australia.</t>
  </si>
  <si>
    <t>simon.wright@aad.gov.au</t>
  </si>
  <si>
    <t>Hallegraeff, Gustaaf/C-8351-2013</t>
  </si>
  <si>
    <t>0727-3061</t>
  </si>
  <si>
    <t>1448-5508</t>
  </si>
  <si>
    <t>HIST REC AUST SCI</t>
  </si>
  <si>
    <t>Hist. Rec. Aust. Sci.</t>
  </si>
  <si>
    <t>10.1071/HR16002</t>
  </si>
  <si>
    <t>DN1VQ</t>
  </si>
  <si>
    <t>WOS:000376853900008</t>
  </si>
  <si>
    <t>Tomanova, K; Vacha, M</t>
  </si>
  <si>
    <t>Tomanova, K.; Vacha, M.</t>
  </si>
  <si>
    <t>The magnetic orientation of the Antarctic amphipod Gondogeneia antarctica is cancelled by very weak radiofrequency fields</t>
  </si>
  <si>
    <t>Amphipoda; Magnetoreception; Radical pair mechanism; Larmor frequency; Narrow-band magnetic field</t>
  </si>
  <si>
    <t>RADICAL-PAIR MECHANISM; COMPASS ORIENTATION; MIGRATORY BIRDS; MAGNETORECEPTION; AXIS; CRYPTOCHROME; NAVIGATION; DIRECTION</t>
  </si>
  <si>
    <t>Studies on weak man-made radiofrequency (RF) electromagnetic fields affecting animal magnetoreception aim for a better understanding of the reception mechanism and also point to a new phenomenon having possible consequences in ecology and environmental protection. RF impacts on magnetic compasses have recently been demonstrated in migratory birds and other vertebrates. We set out to investigate the effect of RF on the magnetic orientation of the Antarctic krill species Gondogeneia antarctica, a small marine crustacean widespread along the Antarctic littoral line. Here, we show that upon release, G. antarctica (held under laboratory conditions) escaped in the magnetically seaward direction along the magnetic sea-land axis (y-axis) of the home beach. However, the animals were disoriented after being exposed to RF. Orientation was lost not only in an RF field with a magnetic flux density of 20 nT, as expected according to the literature, but even under the 2 nT originally intended as a control. Our results extend recent findings of the extraordinary sensitivity of animal magnetoreception to weak RF fields in marine invertebrates.</t>
  </si>
  <si>
    <t>[Tomanova, K.; Vacha, M.] Masaryk Univ, Fac Sci, Dept Anim Physiol &amp; Immunol, Kamenice 735-5, Brno 62500, Czech Republic</t>
  </si>
  <si>
    <t>Masaryk University Brno</t>
  </si>
  <si>
    <t>Vacha, M (corresponding author), Masaryk Univ, Fac Sci, Dept Anim Physiol &amp; Immunol, Kamenice 735-5, Brno 62500, Czech Republic.</t>
  </si>
  <si>
    <t>vacha@sci.muni.cz</t>
  </si>
  <si>
    <t>/HPH-4954-2023; /ABD-1386-2021</t>
  </si>
  <si>
    <t>/0000-0002-4856-6826;</t>
  </si>
  <si>
    <t>Czech Antarctic Station funds; Grantova Agentura Ceske Republiky (Czech Science Foundation) [GA13-11908J]</t>
  </si>
  <si>
    <t>Czech Antarctic Station funds; Grantova Agentura Ceske Republiky (Czech Science Foundation)</t>
  </si>
  <si>
    <t>Authors acknowledge funding from Czech Antarctic Station funds and the Grantova Agentura Ceske Republiky (Czech Science Foundation; GA13-11908J).</t>
  </si>
  <si>
    <t>10.1242/jeb.132878</t>
  </si>
  <si>
    <t>DN2EX</t>
  </si>
  <si>
    <t>WOS:000376878000022</t>
  </si>
  <si>
    <t>Wang, QL; Ji, FL; Wang, JY; Jiang, B; Li, L; An, LJ; Li, YC; Bao, YM</t>
  </si>
  <si>
    <t>Wang, Qingling; Ji, Fangling; Wang, Jingyun; Jiang, Bo; Li, Lu; An, Lijia; Li, Yachen; Bao, Yongming</t>
  </si>
  <si>
    <t>Characterization of a salt-activated protease with temperature-dependent secretion in Stenotrophomonas maltophilia FF11 isolated from frozen Antarctic krill</t>
  </si>
  <si>
    <t>JOURNAL OF INDUSTRIAL MICROBIOLOGY &amp; BIOTECHNOLOGY</t>
  </si>
  <si>
    <t>Stenotrophomonas maltophilia; Euphausia superba; Protease; Antarctic krill; Subtilase; Psychrotrophic microbe</t>
  </si>
  <si>
    <t>BIOCHEMICAL-CHARACTERIZATION; HETEROLOGOUS EXPRESSION; EXTRACELLULAR PROTEASE; PURIFICATION; BACTERIUM; CLONING; STRAINS</t>
  </si>
  <si>
    <t>Seafood is sometimes wasted due to the growth of psychrotolerant microbes which secrete proteases and break down proteins. Stenotrophomonas maltophilia FF11, isolated from frozen Antarctic krill, grows at a wide range of temperatures and secretes more proteases at low temperatures. According to zymogram analysis, two kinds of proteases were produced from this strain. A major protease was produced largely at 15 A degrees C, but not at 37 A degrees C. The temperature-dependent secreted protease was purified to homogeneity. Its molecular mass was determined at 37.4 kDa and its amino acid sequence was also obtained. This protease is a member of the subtilase group according to the NCBI blast analysis. The enzyme was highly stable at high salt concentration (4 M). Interestingly, its activity increased about 1.6-fold under high salt condition. The enzyme remains active and stable in different organic solvents (50 %, v/v) such as dimethylsulfoxide, dimethyl formamide, dioxane and acetone. These properties may provide potential applications in quality control for sea foods, in protein degradation at high salt concentration, in biocatalysis and biotransformation within non-aqueous media, such as detergent and transesterification.</t>
  </si>
  <si>
    <t>[Wang, Qingling; Ji, Fangling; Wang, Jingyun; Jiang, Bo; Li, Lu; An, Lijia; Bao, Yongming] Dalian Univ Technol, Sch Life Sci &amp; Biotechnol, 2 Linggong Rd, Dalian 116024, Peoples R China; [Bao, Yongming] Dalian Univ Technol, Sch Food &amp; Environm Sci &amp; Engn, Panjin 12422, Peoples R China; [Li, Yachen] Dalian Med Univ, Dept Occupat &amp; Environm Hlth, Dalian 116044, Peoples R China</t>
  </si>
  <si>
    <t>Dalian University of Technology; Dalian University of Technology; Dalian Medical University</t>
  </si>
  <si>
    <t>Bao, YM (corresponding author), Dalian Univ Technol, Sch Life Sci &amp; Biotechnol, 2 Linggong Rd, Dalian 116024, Peoples R China.;Bao, YM (corresponding author), Dalian Univ Technol, Sch Food &amp; Environm Sci &amp; Engn, Panjin 12422, Peoples R China.;Li, YC (corresponding author), Dalian Med Univ, Dept Occupat &amp; Environm Hlth, Dalian 116044, Peoples R China.</t>
  </si>
  <si>
    <t>liy76@yahoo.com; biosci@dlut.edu.cn</t>
  </si>
  <si>
    <t>yang, zhou/KBB-6972-2024; wang, jing/GRS-7509-2022; WANG, JINGYI/GSJ-1241-2022; lin, lin/KCZ-0185-2024</t>
  </si>
  <si>
    <t>National High Technology Research and Development Program [2011AA090800]</t>
  </si>
  <si>
    <t>National High Technology Research and Development Program(National High Technology Research and Development Program of China)</t>
  </si>
  <si>
    <t>This work was supported by the National High Technology Research and Development Program (Grant No. 2011AA090800).</t>
  </si>
  <si>
    <t>1367-5435</t>
  </si>
  <si>
    <t>1476-5535</t>
  </si>
  <si>
    <t>J IND MICROBIOL BIOT</t>
  </si>
  <si>
    <t>J. Ind. Microbiol. Biotechnol.</t>
  </si>
  <si>
    <t>10.1007/s10295-016-1749-3</t>
  </si>
  <si>
    <t>DN2ZA</t>
  </si>
  <si>
    <t>WOS:000376930500010</t>
  </si>
  <si>
    <t>Henn, JJ; Anderson, CB; Pastur, GM</t>
  </si>
  <si>
    <t>Henn, Jonathan J.; Anderson, Christopher B.; Martinez Pastur, Guillermo</t>
  </si>
  <si>
    <t>Landscape-level impact and habitat factors associated with invasive beaver distribution in Tierra del Fuego</t>
  </si>
  <si>
    <t>Castor canadensis; Exotic species; Google Earth(C); Patagonia</t>
  </si>
  <si>
    <t>RIPARIAN PLANT-COMMUNITIES; TIMBER QUALITY; FORESTS; BIODIVERSITY; CONSERVATION; STREAMS</t>
  </si>
  <si>
    <t>Understanding the amount of impact and distribution of invasive species is important for both basic ecological research and making management decisions. Because of their extensive impacts in southern Patagonia, invasive North American beavers (Castor canadensis) are considered both a scientific and conservation priority. However, little is known about the landscape-scale effects of these exotic ecosystem engineers. Using satellite imagery, we estimated the impact of beavers in the Argentine portion of Tierra del Fuego Island and determined the habitat factors (vegetation cover, forest type, stream presence and topography) related to their presence using both non-parametric statistical and information-theoretic approaches. Results indicated that more than 31,000 ha (1.6 % of the study area) were impacted by beavers and that the presence, but not the amount, of beaver impacts were spatially clustered. Impacts were greater in the Mountain ecoregion (2.8 % of the ecoregion) and lower in the Steppe (0.1 %). The best model for predicting beaver presence included variables related to water availability (presence of peatlands and streams), forage availability (forest type cover), and topography (slope and elevation). These findings support previous assertions that this invasion is the largest alteration to the sub-Antarctic forests in the Holocene. They also serve as a foundation for the development of maps based on habitat- and landscape-scale conditions to assist with the orientation of control, eradication, and restoration efforts currently being planned.</t>
  </si>
  <si>
    <t>[Henn, Jonathan J.; Anderson, Christopher B.; Martinez Pastur, Guillermo] Consejo Nacl Invest Cient &amp; Tecn, Ctr Austral Invest Cient CADIC, Houssay 200, RA-9410 Ushuaia, Tierra Fuego, Argentina; [Henn, Jonathan J.] Univ Wisconsin, Dept Zool, 430 Lincoln Dr, Madison, WI 53706 USA; [Anderson, Christopher B.] Natl Univ Tierra del Fuego UNTDF, Inst Polar Sci Environm &amp; Nat Resources, Onas 450, RA-9410 Ushuaia, Tierra Fuego, Argentina</t>
  </si>
  <si>
    <t>Consejo Nacional de Investigaciones Cientificas y Tecnicas (CONICET); University of Wisconsin System; University of Wisconsin Madison</t>
  </si>
  <si>
    <t>Henn, JJ (corresponding author), Consejo Nacl Invest Cient &amp; Tecn, Ctr Austral Invest Cient CADIC, Houssay 200, RA-9410 Ushuaia, Tierra Fuego, Argentina.</t>
  </si>
  <si>
    <t>henn.jonathan@gmail.com</t>
  </si>
  <si>
    <t>Anderson, Christopher/V-4882-2019; Martínez Pastur, Guillermo J./H-8188-2014; Henn, Jonathan J/AAG-5862-2021</t>
  </si>
  <si>
    <t>Anderson, Christopher/0000-0001-8120-5689; Martínez Pastur, Guillermo J./0000-0003-2614-5403; Henn, Jonathan J/0000-0003-1551-9238</t>
  </si>
  <si>
    <t>Fulbright and National Geographic Young Explorers [9233-12]; 'Operationalisation of ecosystem services and natural capital: from concepts to real-world applications' (OpenNESS) Project, under European Commission's Seventh Framework Programme [308428]</t>
  </si>
  <si>
    <t>Fulbright and National Geographic Young Explorers; 'Operationalisation of ecosystem services and natural capital: from concepts to real-world applications' (OpenNESS) Project, under European Commission's Seventh Framework Programme</t>
  </si>
  <si>
    <t>The authors greatly appreciate the help of Gaston Kreps and Juan Manuel Cellini in the field and Sandra Luque for discussions of analysis. Financing provided by Fulbright and National Geographic Young Explorers (9233-12) Grants to J.J.H. and the 'Operationalisation of ecosystem services and natural capital: from concepts to real-world applications' (OpenNESS) Project, financed under the European Commission's Seventh Framework Programme (308428).</t>
  </si>
  <si>
    <t>10.1007/s10530-016-1110-9</t>
  </si>
  <si>
    <t>DM9CZ</t>
  </si>
  <si>
    <t>WOS:000376663400013</t>
  </si>
  <si>
    <t>Martinez-Dios, A; Dominguez-Carrió, C; Zapata-Guardiola, R; Gill, JM</t>
  </si>
  <si>
    <t>Martinez-Dios, Ariadna; Dominguez-Carrio, Carlos; Zapata-Guardiola, Rebeca; Gill, Josep-Maria</t>
  </si>
  <si>
    <t>New insights on Antarctic gorgonians' age, growth and their potential as paleorecords</t>
  </si>
  <si>
    <t>Antarctic primnoids; Longevity; Growth rings; Radioisotope dating; Radial Growth Rates</t>
  </si>
  <si>
    <t>DEEP-SEA CORALS; STRONTIUM CONCENTRATIONS; PRIMNOA-RESEDAEFORMIS; SKELETAL COMPOSITION; SEAWATER STRONTIUM; CLIMATE-CHANGE; BAMBOO CORALS; ROSS SEA; TEMPERATURE; PHYTOPLANKTON</t>
  </si>
  <si>
    <t>Antarctic benthic communities have long been regarded as relicts of the past, since they have developed in a very stable environment and are formed by slow-growing and extraordinary long-lived organisms. However, little is known about the life history traits of gorgonian species, which are considered key components of the Antarctic benthos. In this study, age, Radial Growth Rates (RGR) and skeletal composition of Thouarella variabilis, Fannyella abies and Fannyella rossii colonies (Octocorallia, Primnoidae) that inhabit Antarctic shelf waters were examined. The radioisotopes C-14 and Pb-210 used for dating revealed that these colonies are long-lived, with ages spanning from 50 to 1100 years, thus confirming the archaic character of the Antarctic ecosystem. Some RGR obtained are among the lowest rates ever reported for primnoid species and gorgonians as a whole, with Thouarella species showing rates of 5.08 mu m yr(-1). Growth ring deposition seemed to occur every 2-3 years on average, although this result cannot be confirmed. Irregularities in the growth rings could be observed under the Scanning Electron Microscope (SEM) as fluctuations in the skeletal composition, which may be indicative of changes in the environmental conditions, most possibly primary production. (C) 2016 Elsevier Ltd. All rights reserved.</t>
  </si>
  <si>
    <t>[Martinez-Dios, Ariadna; Dominguez-Carrio, Carlos; Zapata-Guardiola, Rebeca; Gill, Josep-Maria] CSIC, ICM, Passeig Maritim Barceloneta 37-49, E-08003 Barcelona, Spain</t>
  </si>
  <si>
    <t>Consejo Superior de Investigaciones Cientificas (CSIC); CSIC - Centro Mediterraneo de Investigaciones Marinas y Ambientales (CMIMA); CSIC - Instituto de Ciencias del Mar (ICM)</t>
  </si>
  <si>
    <t>Martinez-Dios, A (corresponding author), CSIC, ICM, Passeig Maritim Barceloneta 37-49, E-08003 Barcelona, Spain.</t>
  </si>
  <si>
    <t>ariadnamd8@gmail.com</t>
  </si>
  <si>
    <t>Dominguez-Carrió, Carlos/K-5723-2017</t>
  </si>
  <si>
    <t>Dominguez-Carrió, Carlos/0000-0002-0025-9376; Martinez-Dios, Ariadna/0000-0001-7136-4010</t>
  </si>
  <si>
    <t>ECOWED Project [CTM2012-39350-C02-01]</t>
  </si>
  <si>
    <t>ECOWED Project</t>
  </si>
  <si>
    <t>We thank Polarstern and Tangaroa crew and Pablo Lopez-Gonzalez for providing the speciments. We are also grateful with the Marine Benthic Ecology and Conservation group from the Marine Science Institute of Barcelona, especially to Stefano Ambroso, Enrique Isla and SEM responsible Jose-Manuel Fortuno. We thank the radioisotopes technicians Dr. Santiago Hurtado and Francisco Javier Santos for their assistance in dating process, and technicians at the Faculty of Geology Alejandro Gallardo, Dolors Barso and Montserat Sibila. Isabel Cacho and Jaume Piera for their invaluable guidance in data treatment. This research was funded by ECOWED Project (CTM2012-39350-C02-01).</t>
  </si>
  <si>
    <t>10.1016/j.dsr.2016.03.007</t>
  </si>
  <si>
    <t>DM7MN</t>
  </si>
  <si>
    <t>WOS:000376544800006</t>
  </si>
  <si>
    <t>Bender, ML; Tilbrook, B; Cassar, N; Jonsson, B; Poisson, A; Trull, TW</t>
  </si>
  <si>
    <t>Bender, Michael L.; Tilbrook, Bronte; Cassar, Nicolas; Jonsson, Bror; Poisson, Alain; Trull, Thomas W.</t>
  </si>
  <si>
    <t>Ocean productivity south of Australia during spring and summer</t>
  </si>
  <si>
    <t>POLAR FRONTAL ZONES; NET COMMUNITY PRODUCTION; TRIPLE-ISOTOPE COMPOSITION; ANTARCTIC CIRCUMPOLAR CURRENT; SEASONAL EVOLUTION; PACIFIC SECTOR; BIOLOGICAL PRODUCTION; CARBON EXPORT; MIXED-LAYER; PHYTOPLANKTON</t>
  </si>
  <si>
    <t>We estimated mixed layer gross and net community production on a total of 20 crossings in the Australian sector of the Southern Ocean during the summer half-years (October-March) of 2007-2010. These estimates were calculated from measurements of O-2/Ar ratios and triple isotope compositions of O-2 in similar to 250 seawater samples collected underway. For comparison purposes, we also measured the seasonal drawdown of mixed layer NO3- and SiO2 concentrations during 2006-2007 and 2007-2008. Across all samples, average values of gross and net O-2 production (measured by O-2/Ar and O-2 isotopes), were about 86 +/- 90 and 18 +/- 17 mmol O-2 m(-2) day(-1), respectively. Gross production was highest at the Subtropical Front (up to similar to 230 mmol O-2 m(-2) day(-1)), and decreased southward (to similar to 10 near the southern boundary of the Antarctic Circumpolar Current). In contrast, net community production showed little meridional variation. Net and gross O-2 production increased throughout the spring-to-fall period, although most SiO2 drawdown occurred in December. Consistent with satellite chlorophyll estimates, we saw no evidence for an intense spring bloom (e.g. as has been observed in the North Atlantic). Volumetric net and gross O-2 production in the mixed layer, normalized to chlorophyll, increased (with considerable scatter) with average irradiance in the mixed layer. These relationships provide a basis for estimating production from Argo float data and properties observed by satellite. (C) 2016 Elsevier Ltd. All rights reserved.</t>
  </si>
  <si>
    <t>[Bender, Michael L.; Jonsson, Bror] Princeton Univ, Dept Geosci, Princeton, NJ 08544 USA; [Tilbrook, Bronte; Trull, Thomas W.] CSIRO, Oceans &amp; Atmosphere &amp; Antarctic Climate &amp; Ecosyst, Hobart, Tas 7001, Australia; [Cassar, Nicolas] Duke Univ, Nicholas Sch Environm, Div Earth &amp; Ocean Sci, Durham, NC 27708 USA; [Poisson, Alain] Univ Perpignan, Lab IMAGES, 52 Ave Paul Alduy,Via Domitia, F-66860 Perpignan, France</t>
  </si>
  <si>
    <t>Princeton University; Commonwealth Scientific &amp; Industrial Research Organisation (CSIRO); Duke University; Universite Perpignan Via Domitia</t>
  </si>
  <si>
    <t>Bender, ML (corresponding author), Princeton Univ, Dept Geosci, Princeton, NJ 08544 USA.</t>
  </si>
  <si>
    <t>Cassar, Nicolas/B-4260-2011; Tilbrook, Bronte/W-4007-2019</t>
  </si>
  <si>
    <t>Tilbrook, Bronte/0000-0001-9385-3827</t>
  </si>
  <si>
    <t>NASA; Office of Polar Programs, NSF; Australian Climate Change Research Program; Antarctic Climate and Ecosystems Co-operative Research Centre; Integrated Marine Observing System</t>
  </si>
  <si>
    <t>NASA(National Aeronautics &amp; Space Administration (NASA)); Office of Polar Programs, NSF; Australian Climate Change Research Program; Antarctic Climate and Ecosystems Co-operative Research Centre(Australian GovernmentDepartment of Industry, Innovation and ScienceCooperative Research Centres (CRC) Programme); Integrated Marine Observing System</t>
  </si>
  <si>
    <t>Sampling on Astrolabe was supported by a French-Australian research collaboration and involved many dedicated field personnel and help from ships' officers and crew. The Institute Polaire Francais are thanked for allowing access to the ship and for help with field operations, as is the assistance provided by Drs. C. Goyet and N. Metzl. The Australian Climate Change Research Program, Antarctic Climate and Ecosystems Co-operative Research Centre, and the Integrated Marine Observing System funded the collection of water samples and nutrient analyses, and the operation of underway sensors reported in this study. Bender, Cassar, and Jonsson gratefully acknowledge financial support from NASA and the Office of Polar Programs, NSF. Alan Poole and Matt Sherlock from CSIRO were frequently called on to ensure equipment functioned for the voyages.</t>
  </si>
  <si>
    <t>10.1016/j.dsr.2016.02.018</t>
  </si>
  <si>
    <t>WOS:000376544800007</t>
  </si>
  <si>
    <t>Pasquet, S; Bouruet-Aubertot, P; Reverdin, G; Turnherr, A; St Laurent, L</t>
  </si>
  <si>
    <t>Pasquet, Simon; Bouruet-Aubertot, Pascale; Reverdin, Gilles; Turnherr, Andreas; St Laurent, Lou</t>
  </si>
  <si>
    <t>Finescale parameterizations of energy dissipation in a region of strong internal tides and sheared flow, the Lucky-Strike segment of the Mid-Atlantic Ridge</t>
  </si>
  <si>
    <t>Internal tides; Turbulence; Mixing; Parameterization; Mid-atlantic ridge</t>
  </si>
  <si>
    <t>MONTEREY SUBMARINE-CANYON; ANTARCTIC BOTTOM WATER; TURBULENT DISSIPATION; TRANSPORT; INTENSE; WAVES; OCEAN; THERMOCLINE; PROFILES; SEAMOUNT</t>
  </si>
  <si>
    <t>The relevance of finescale parameterizations of dissipation rate of turbulent kinetic energy is addressed using finescale and microstructure measurements collected in the Lucky Strike segment of the Mid Atlantic Ridge (MAR). There, high amplitude internal tides and a strongly sheared mean flow sustain a high level of dissipation rate and turbulent mixing. Two sets of parameterizations are considered: the first ones (Gregg, 1989; Kunze et al., 2006) were derived to estimate dissipation rate of turbulent kinetic energy induced by internal wave breaking, while the second one aimed to estimate dissipation induced by shear instability of a strongly sheared mean flow and is a function of the Richardson number (Kunze et al., 1990; Polzin, 1996). The latter parameterization has low skill in reproducing the observed dissipation rate when shear unstable events are resolved presumably because there is no scale separation between the duration of unstable events and the inverse growth rate of unstable billows. Instead GM based parameterizations were found to be relevant although slight biases were observed. Part of these biases result from the small value of the upper vertical wavenumber integration limit in the computation of shear variance in Kunze et al. (2006) parameterization that does not take into account internal wave signal of high vertical wavenumbers. We showed that significant improvement is obtained when the upper integration limit is set using a signal to noise ratio criterion and that the spatial structure of dissipation rates is reproduced with this parameterization. (C) 2016 Elsevier Ltd. All rights reserved.</t>
  </si>
  <si>
    <t>[Pasquet, Simon; Bouruet-Aubertot, Pascale; Reverdin, Gilles] Univ Paris 06, Sorbonne Univ, LOCEAN, F-75252 Paris 05, France; [Turnherr, Andreas] Lamont Doherty Earth Observ, Palisades, NY USA; [St Laurent, Lou] WHOI, Woods Hole, MA USA</t>
  </si>
  <si>
    <t>Museum National d'Histoire Naturelle (MNHN); Sorbonne Universite; Columbia University</t>
  </si>
  <si>
    <t>Bouruet-Aubertot, P (corresponding author), Univ Paris 06, Sorbonne Univ, LOCEAN, F-75252 Paris 05, France.</t>
  </si>
  <si>
    <t>pascale.bouruet-aubertot@upmc.fr</t>
  </si>
  <si>
    <t>Thurnherr, Andreas/0000-0002-1977-7122; Reverdin, Gilles/0000-0002-5583-8236</t>
  </si>
  <si>
    <t>LEFE/IDAO INSU program; Ifremer; INSU</t>
  </si>
  <si>
    <t>LEFE/IDAO INSU program; Ifremer; INSU(Centre National de la Recherche Scientifique (CNRS))</t>
  </si>
  <si>
    <t>The measurements were performed during the GRAVILUCK cruise on French ship time funded by Ifremer and INSU and coordinated by Valerie Ballu (doi 10.17600/6010110). This project was funded by LEFE/IDAO INSU program. We acknowledge Claudie Marec and Antonio Lourenco for their technical support for CTD/LADCP measurements and post-processing of these data. We acknowledge Eric Kunze for providing details regarding the implementation of his parameterization and Yannis Cuypers for useful discussions.</t>
  </si>
  <si>
    <t>10.1016/j.dsr.2015.12.016</t>
  </si>
  <si>
    <t>WOS:000376544800008</t>
  </si>
  <si>
    <t>Pycroft, J; Abrell, J; Ciscar, JC</t>
  </si>
  <si>
    <t>Pycroft, Jonathan; Abrell, Jan; Ciscar, Juan-Carlos</t>
  </si>
  <si>
    <t>The Global Impacts of Extreme Sea-Level Rise: A Comprehensive Economic Assessment</t>
  </si>
  <si>
    <t>ENVIRONMENTAL &amp; RESOURCE ECONOMICS</t>
  </si>
  <si>
    <t>Climate change; Sea-level rise; Computable general equilibrium (CGE) models; Impact assessment</t>
  </si>
  <si>
    <t>CLIMATE-CHANGE</t>
  </si>
  <si>
    <t>This paper investigates the world-wide economic cost of rapid sea-level rise of the kind that could be caused by accelerated ice flow from the West Antarctic and/or the Greenland ice sheets. Such an event would have direct impacts on economic activities located near the coastline and indirect impacts further inland. Using data from the DIVA model on sea floods, river floods, land loss, salinisation and forced migration, we analyse the effects of these damages in a computable general equilibrium model for 25 world regions. We consider three sea-level rise scenarios that correspond to 0.47, 1.12 and 1.75 m by the 2080s. By incorporating a wider range of damage categories, implemented in an economy-wide framework and including very rapid sea-level rise, the study offers a new contribution to climate change impact studies. We find that the loss of GDP worldwide is 0.5 % in the highest sea-level rise scenario, with a loss of welfare (equivalent variation) of almost 2 % world-wide. Within these aggregates, there are large regional disparities, with the Central Europe North region and parts of South-East Asia and South Asia being especially prone to high costs (welfare losses in the range of 4-12 %). The analysis assumes that there is not public adaptation, which would substantially lower the costs. In this way, the analysis demonstrates what is at risk, and could be used to justify adaptation expenses.</t>
  </si>
  <si>
    <t>[Pycroft, Jonathan; Abrell, Jan; Ciscar, Juan-Carlos] European Commiss, IPTS, Calle Inca Garcilaso 3, Seville 41092, Spain; [Abrell, Jan] Swiss Fed Inst Technol, Ctr Energy Policy &amp; Econ, Ramistr 101, CH-8092 Zurich, Switzerland</t>
  </si>
  <si>
    <t>European Commission Joint Research Centre; EC JRC Institute for Prospective Technological Studies (IPTS); Swiss Federal Institutes of Technology Domain; ETH Zurich</t>
  </si>
  <si>
    <t>Pycroft, J (corresponding author), European Commiss, IPTS, Calle Inca Garcilaso 3, Seville 41092, Spain.</t>
  </si>
  <si>
    <t>Jonathan.Pycroft@ec.europa.eu</t>
  </si>
  <si>
    <t>wang, baylor09/C-5190-2009</t>
  </si>
  <si>
    <t>Abrell, Jan/0000-0003-1435-0952</t>
  </si>
  <si>
    <t>0924-6460</t>
  </si>
  <si>
    <t>1573-1502</t>
  </si>
  <si>
    <t>ENVIRON RESOUR ECON</t>
  </si>
  <si>
    <t>Environ. Resour. Econ.</t>
  </si>
  <si>
    <t>10.1007/s10640-014-9866-9</t>
  </si>
  <si>
    <t>Economics; Environmental Studies</t>
  </si>
  <si>
    <t>Business &amp; Economics; Environmental Sciences &amp; Ecology</t>
  </si>
  <si>
    <t>DM9JY</t>
  </si>
  <si>
    <t>WOS:000376683300004</t>
  </si>
  <si>
    <t>Martens, HR; Simons, M; Owen, S; Rivera, L</t>
  </si>
  <si>
    <t>Martens, Hilary R.; Simons, Mark; Owen, Susan; Rivera, Luis</t>
  </si>
  <si>
    <t>Observations of ocean tidal load response in South America from subdaily GPS positions</t>
  </si>
  <si>
    <t>Time-series analysis; Satellite geodesy; Tides and planetary waves; South America</t>
  </si>
  <si>
    <t>NORMAL-MODE; EARTH; DISPLACEMENTS; GEOCENTER; GRAVITY; TIDES; CONSTRAINTS; EFFICIENT; ACCURACY; DENSITY</t>
  </si>
  <si>
    <t>We explore Earth's elastic deformation response to ocean tidal loading (OTL) using kinematic Global Positioning System (GPS) observations and forward-modelled predictions across South America. Harmonic coefficients are extracted from up to 14 yr of GPS-inferred receiver locations, which we estimate at 5 min intervals using precise point positioning. We compare the observed OTL-induced surface displacements against predictions derived from spherically symmetric, non-rotating, elastic and isotropic (SNREI) Earth models. We also compare sets of modelled predictions directly for various ocean-tide and Earth-model combinations. The vector differences between predicted displacements computed using separate ocean-tide models reveal uniform-displacement components common to all stations in the South America network. Removal of the network-mean OTL-induced displacements from each site substantially reduces the vector differences between observed and predicted displacements. We focus on the dominant astronomical tidal harmonics from three distinct frequency bands: semidiurnal (M-2), diurnal (O-1) and fortnightly (M-f). In each band, the observed OTL-induced surface displacements strongly resemble the modelled displacement-response patterns, and the residuals agree to about 0.3 mm or better. Even with the submillimetre correspondence between observations and predictions, we detect regional-scale spatial coherency in the final set of residuals, most notably for the M-2 harmonic. The spatial coherency appears relatively insensitive to the specific choice of ocean-tide or SNREI-Earth model. Varying the load model or 1-D elastic structure yields predicted OTL-induced displacement differences of order 0.1 mm or less for the network. Furthermore, estimates of the observational uncertainty place the noise level below the magnitude of the residual displacements for most stations, supporting our interpretation that random errors cannot account for the entire misfit. Therefore, the spatially coherent residuals may reveal deficiencies in the a priori SNREI Earth models. In particular, the residuals may indicate sensitivity to regional deviations from standard globally averaged Earth structure due to the presence of the South American craton.</t>
  </si>
  <si>
    <t>[Martens, Hilary R.; Simons, Mark] CALTECH, Seismol Lab, Div Geol &amp; Planetary Sci, Pasadena, CA 91125 USA; [Owen, Susan] CALTECH, Jet Prop Lab, Pasadena, CA USA; [Rivera, Luis] Univ Strasbourg, CNRS, Inst Phys Globe Strasbourg, UMR7516, Strasbourg, France</t>
  </si>
  <si>
    <t>California Institute of Technology; National Aeronautics &amp; Space Administration (NASA); NASA Jet Propulsion Laboratory (JPL); California Institute of Technology; Universites de Strasbourg Etablissements Associes; Universite de Strasbourg; Centre National de la Recherche Scientifique (CNRS); CNRS - National Institute for Earth Sciences &amp; Astronomy (INSU)</t>
  </si>
  <si>
    <t>Martens, HR (corresponding author), CALTECH, Seismol Lab, Div Geol &amp; Planetary Sci, Pasadena, CA 91125 USA.</t>
  </si>
  <si>
    <t>hmartens@caltech.edu</t>
  </si>
  <si>
    <t>Martens, Hilary/IUQ-1997-2023; Simons, Mark/N-4397-2015</t>
  </si>
  <si>
    <t>LIVIA CRISTINA, PINAS RIVERA/0000-0002-1631-4923; Martens, Hilary R./0000-0003-2860-9013</t>
  </si>
  <si>
    <t>National Science Foundation [EAR-1417245]; NASA [NNX14AO04H]; National Aeronautics and Space Administration; Directorate For Geosciences; Division Of Earth Sciences [1417245] Funding Source: National Science Foundation; NASA [NNX14AO04H, 678351] Funding Source: Federal RePORTER</t>
  </si>
  <si>
    <t>National Science Foundation(National Science Foundation (NSF)); NASA(National Aeronautics &amp; Space Administration (NASA)); National Aeronautics and Space Administration(National Aeronautics &amp; Space Administration (NASA)); Directorate For Geosciences; Division Of Earth Sciences(National Science Foundation (NSF)NSF - Directorate for Geosciences (GEO)); NASA(National Aeronautics &amp; Space Administration (NASA))</t>
  </si>
  <si>
    <t>We are indebted to Duncan Agnew, Richard Ray, Matt King and an anonymous reviewer for insightful ideas and valuable critiques that greatly improved our manuscript. We also sincerely thank Shailen Desai for helpful discussions on OTL analysis and tidal geocentre variations as well as Angelyn Moore and Willy Bertiger for providing ongoing GIPSY support. Dan Bower graciously supplied scripts to extract and plot the seismic tomography data shown in Supporting Infirmation Fig. S5. The GPS data used in our study was made available by the governments of Brazil (Instituto Brasileiro de Geografia e Estatistica), Argentina (Instituto Geografico Nacional), and Uruguay (Servicio Geographico Militar). We used geographic information from the Scientific Committee on Antarctic Research (SCAR) Antarctic Digital Database (ADD) to develop a land-sea mask around Antarctica. We gratefully acknowledge support from the National Science Foundation Geophysics Program funding under Grant No. EAR-1417245. This manuscript is based upon work supported by the NASA Earth and Space Science Fellowship to HRM under Grant No. NNX14AO04H. Some figures were generated using Generic Mapping Tools (Wessel et al. 2013). Part of this research was carried out at the Jet Propulsion Laboratory, California Institute of Technology, under a contract with the National Aeronautics and Space Administration.</t>
  </si>
  <si>
    <t>10.1093/gji/ggw087</t>
  </si>
  <si>
    <t>DM5HX</t>
  </si>
  <si>
    <t>Green Submitted, Green Accepted, Bronze</t>
  </si>
  <si>
    <t>WOS:000376380000021</t>
  </si>
  <si>
    <t>Blakowski, MA; Aciego, SM; Delmonte, B; Baroni, C; Salvatore, MC; Sims, KWW</t>
  </si>
  <si>
    <t>Blakowski, Molly A.; Aciego, Sarah M.; Delmonte, Barbara; Baroni, Carlo; Salvatore, Maria Cristina; Sims, Kenneth W. W.</t>
  </si>
  <si>
    <t>A Sr-Nd-Hf isotope characterization of dust source areas in Victoria Land and the McMurdo Sound sector of Antarctica</t>
  </si>
  <si>
    <t>Dust; Sr-Nd isotopes; Nd-Hf isotopes; Antarctica; Paleoclimate</t>
  </si>
  <si>
    <t>COSMOGENIC NUCLIDES DOCUMENT; SURFACE EXPOSURE AGES; TERRA-NOVA BAY; C ICE-CORE; EAST ANTARCTICA; AEOLIAN DUST; DRY VALLEYS; DOME C; MOUNT EREBUS; MINERAL DUST</t>
  </si>
  <si>
    <t>Determining the geographical provenance of dust provides crucial insight into the global dust cycle. For the East Antarctic Ice Sheet (EAIS), the importance of Southern hemisphere potential dust sources has been thoroughly investigated using radiogenic isotopes, whereas proximal dust source areas located on the periphery of the ice sheet remain poorly documented from a geochemical standpoint. In this work, we expand the existing isotopic (Sr-Nd) catalogue of dust and sand-sized sediments from Victoria Land and the McMurdo Sound sector, and incorporate Hf isotopic data to place additional constraints on dust source identification. The isotopic field for materials considered in this study is characterized by Sr-87/Sr-86 ratios ranging from 0.703 to 0.783, epsilon Nd between -12.01 and 6.36, and epsilon Hf from -16.77 to 6.89. As reported in previous works, the data reveal close relationships between Antarctic sediments and distinct parent lithologies; in addition, our findings emphasize the background presence of very fine dusts originating from dominant global sources and regional volcanic activity as barriers to direct source-to sink comparison of isotopic signatures. Thus, geochemical characterizations of dust sources to the Antarctic ice sheet involving multiple size fractions, including coarser-grained particles more susceptible to short-range transport, can help us to rule out global sources of dust when examining local sediment cores and ice cores. (C) 2016 Elsevier Ltd. All rights reserved.</t>
  </si>
  <si>
    <t>[Blakowski, Molly A.; Aciego, Sarah M.] Univ Michigan, Dept Earth &amp; Environm Sci, 1100 N Univ Ave, Ann Arbor, MI 48109 USA; [Delmonte, Barbara] Univ Milano Bicocca, DISAT, Piazza Sci N 1, I-20126 Milan, Italy; [Baroni, Carlo; Salvatore, Maria Cristina] Univ Pisa, Dipartimento Sci Terra, Via S Maria N 53, I-56126 Pisa, Italy; [Baroni, Carlo; Salvatore, Maria Cristina] CNR, Inst Geosci &amp; Georisore, I-56100 Pisa, Italy; [Sims, Kenneth W. W.] Univ Wyoming, Dept Geol &amp; Geophys, 1000 E Univ Ave, Laramie, WY 82071 USA</t>
  </si>
  <si>
    <t>University of Michigan System; University of Michigan; University of Milano-Bicocca; University of Pisa; Consiglio Nazionale delle Ricerche (CNR); University of Wyoming</t>
  </si>
  <si>
    <t>Blakowski, MA (corresponding author), Univ Michigan, Dept Earth &amp; Environm Sci, 1100 N Univ Ave, Ann Arbor, MI 48109 USA.</t>
  </si>
  <si>
    <t>mollybla@umich.edu</t>
  </si>
  <si>
    <t>Baroni, Carlo/D-8184-2012; Sims, Kenneth/HOC-7512-2023; Delmonte, Barbara/L-2555-2015; Salvatore, Maria Cristina/AAS-4000-2020</t>
  </si>
  <si>
    <t>Baroni, Carlo/0000-0001-5905-4650; Delmonte, Barbara/0000-0002-9074-2061; Salvatore, Maria Cristina/0000-0002-1590-7284; Sims, Kenneth/0000-0001-6179-6610; Blakowski, Molly/0000-0003-4196-2161</t>
  </si>
  <si>
    <t>NSF OPP Antarctic Glaciology Award [1236702]; Rackham Graduate School at the University of Michigan; Turner Award from Department of Earth and Environmental Sciences at the University of Michigan; Directorate For Geosciences [1246702] Funding Source: National Science Foundation; Office of Polar Programs (OPP) [1246702] Funding Source: National Science Foundation</t>
  </si>
  <si>
    <t>NSF OPP Antarctic Glaciology Award; Rackham Graduate School at the University of Michigan(University of Michigan System); Turner Award from Department of Earth and Environmental Sciences at the University of Michigan; Directorate For Geosciences(National Science Foundation (NSF)NSF - Directorate for Geosciences (GEO)); Office of Polar Programs (OPP)(National Science Foundation (NSF)NSF - Directorate for Geosciences (GEO))</t>
  </si>
  <si>
    <t>This work was funded by NSF OPP Antarctic Glaciology Award 1236702 to S. M. Aciego, the Rackham Graduate School at the University of Michigan, and the Turner Award from the Department of Earth and Environmental Sciences at the University of Michigan. Logistic support to C. Baroni, B. Delmonte, and M. C. Salvatore was provided by the Italian National Antarctic Programme (PNRA). The authors thank Brenda Hall and Paul Augustinus for their help with sample collection, Lang Farmer and one anonymous reviewer for providing constructive feedback on the manuscript, and Sarah Aarons, Bryan Sell, Emily Stevenson, and Sean Scott for various analytical assistance.</t>
  </si>
  <si>
    <t>10.1016/j.quascirev.2016.03.023</t>
  </si>
  <si>
    <t>DM9QC</t>
  </si>
  <si>
    <t>WOS:000376699800003</t>
  </si>
  <si>
    <t>Harper, CJ; Taylor, TN; Krings, M; Taylor, EL</t>
  </si>
  <si>
    <t>Harper, Carla J.; Taylor, Thomas N.; Krings, Michael; Taylor, Edith L.</t>
  </si>
  <si>
    <t>Structurally preserved fungi from Antarctica: diversity and interactions in late Palaeozoic and Mesozoic polar forest ecosystems</t>
  </si>
  <si>
    <t>Cretaceous; Jurassic; mycorrhiza; peat; Permian; Triassic</t>
  </si>
  <si>
    <t>PRINCE-CHARLES-MOUNTAINS; ARBUSCULAR MYCORRHIZAL FUNGI; LARGE IGNEOUS PROVINCE; CERRO-NEGRO FORMATION; ALEXANDER ISLAND; VICTORIA-LAND; FOSSIL PLANTS; 1ST RECORD; SUGGESTED AFFINITIES; LIVINGSTON ISLAND</t>
  </si>
  <si>
    <t>Chert and silicified wood from the Permian through Cretaceous of Antarctica contain abundant information on fungal diversity and plant-fungal interactions. The chert deposits represent a particularly interesting setting for the study of plant-fungal interactions because they preserve remains of distinctive high latitude forest ecosystems with polar light regimes that underwent a profound climate change from icehouse to greenhouse conditions. Moreover, some of the cherts and wood show the predominance of extinct groups of seed plants (e.g. Glossopteridales, Corystospermales). Over the past 30 years, documentation of fossil fungi from Antarctica has shifted from a by-product of plant descriptive studies to a focused research effort. This paper critically reviews the published record of fungi and fungal associations and interactions in the late Palaeozoic and Mesozoic cherts and silicified wood from Antarctica; certain fungal palynomorphs and fungal remains associated with adpression fossils and cuticles are also considered. Evidence of mutualistic (mycorrhizal), parasitic and saprotrophic fungi associated with plant roots, stems, leaves and reproductive organs is presented, together with fungi occurring within the peat matrix and animal-fungus interactions. Special attention is paid to the morphology of the fungi, their systematic position and features that can be used to infer fungal nutritional modes.</t>
  </si>
  <si>
    <t>[Harper, Carla J.; Krings, Michael] Univ Munich, Dept Geo &amp; Umweltwissensch Palaontol &amp; Geobiol, Richard Wagner Str 10, D-80333 Munich, Germany; [Harper, Carla J.; Krings, Michael] Bayer Staatssammlung Palaontol &amp; Geol, Richard Wagner Str 10, D-80333 Munich, Germany; [Harper, Carla J.; Taylor, Thomas N.; Krings, Michael; Taylor, Edith L.] Univ Kansas, Dept Ecol &amp; Evolutionary Biol, Lawrence, KS 66045 USA; [Harper, Carla J.; Taylor, Thomas N.; Krings, Michael; Taylor, Edith L.] Univ Kansas, Museum Nat Hist, Lawrence, KS 66045 USA; [Harper, Carla J.; Taylor, Thomas N.; Krings, Michael; Taylor, Edith L.] Univ Kansas, Biodivers Inst, Lawrence, KS 66045 USA</t>
  </si>
  <si>
    <t>University of Munich; University of Kansas; University of Kansas; University of Kansas</t>
  </si>
  <si>
    <t>Harper, CJ (corresponding author), Univ Munich, Dept Geo &amp; Umweltwissensch Palaontol &amp; Geobiol, Richard Wagner Str 10, D-80333 Munich, Germany.;Harper, CJ (corresponding author), Bayer Staatssammlung Palaontol &amp; Geol, Richard Wagner Str 10, D-80333 Munich, Germany.;Harper, CJ (corresponding author), Univ Kansas, Dept Ecol &amp; Evolutionary Biol, Lawrence, KS 66045 USA.;Harper, CJ (corresponding author), Univ Kansas, Museum Nat Hist, Lawrence, KS 66045 USA.;Harper, CJ (corresponding author), Univ Kansas, Biodivers Inst, Lawrence, KS 66045 USA.</t>
  </si>
  <si>
    <t>c.harper@lrz.uni-muenchen.de</t>
  </si>
  <si>
    <t>Harper, Carla J./P-5788-2019; Krings, Michael/AAM-6436-2020</t>
  </si>
  <si>
    <t>Harper, Carla J./0000-0002-3710-2137;</t>
  </si>
  <si>
    <t>Alexander von Humboldt-Foundation [3.1-USA/1160852 STP]; National Science Foundation [EAR-0949947, OPP-0943934]; University of Kansas Department of Ecology and Evolutionary Biology Donald J. Obee Botany Dissertation Fellowship; Division Of Earth Sciences; Directorate For Geosciences [0949947] Funding Source: National Science Foundation; Office of Polar Programs (OPP); Directorate For Geosciences [1142495] Funding Source: National Science Foundation</t>
  </si>
  <si>
    <t>Alexander von Humboldt-Foundation(Alexander von Humboldt Foundation); National Science Foundation(National Science Foundation (NSF)); University of Kansas Department of Ecology and Evolutionary Biology Donald J. Obee Botany Dissertation Fellowship; Division Of Earth Sciences; Directorate For Geosciences(National Science Foundation (NSF)NSF - Directorate for Geosciences (GEO)); Office of Polar Programs (OPP); Directorate For Geosciences(National Science Foundation (NSF)NSF - Directorate for Geosciences (GEO))</t>
  </si>
  <si>
    <t>We extend our appreciation to Steve McLoughlin and Ben J. Slater for help, assistance and permission to use images from their research in this review. Thanks to Benjamin Bomfleur for discussing Jurassic material, Rudolph Serbet for fruitful discussion and technical assistance, and Erik L. Gulbranson for helpful discussion on geologic settings. Financial support was provided by the Alexander von Humboldt-Foundation (3.1-USA/1160852 STP to C.J.H.), the National Science Foundation (EAR-0949947 to T.N.T. and M.K.; OPP-0943934 to E.L.T. and T.N.T.), and a University of Kansas Department of Ecology and Evolutionary Biology Donald J. Obee Botany Dissertation Fellowship to C.J.H. This manuscript greatly benefited from the comments and suggestions of two anonymous reviewers.</t>
  </si>
  <si>
    <t>10.1017/S0954102016000018</t>
  </si>
  <si>
    <t>DM0MH</t>
  </si>
  <si>
    <t>WOS:000376039000002</t>
  </si>
  <si>
    <t>Brezina, SS; Cech, N; Serralta, DM; Casadio, S</t>
  </si>
  <si>
    <t>Brezina, S. S.; Cech, N.; Martin Serralta, D.; Casadio, S.</t>
  </si>
  <si>
    <t>Cannibalism in Naticidae from the La Meseta Formation (Eocene, Antarctica)</t>
  </si>
  <si>
    <t>drilling traces; gastropods; predation; predator-prey behaviour</t>
  </si>
  <si>
    <t>DRILLING PREDATION; SEYMOUR ISLAND; GASTROPODS; PREY; CLIMATE; RECORD; SHELF; HOLES</t>
  </si>
  <si>
    <t>Polinices marambioensis is a naticid gastropod which is the most common constituent in fossil accumulations in the upper section of the Cucullaea I Allomember (Middle Eocene) of the La Meseta Formation in James Ross Basin, Antarctic Peninsula. This species was an important predator of infaunal bivalves and gastropods, including other naticids. The aim of this work was to assess the pattern of predation and cannibalistic behaviour of P. marambioensis. A total of 2648 specimens of P. marambioensis were examined for drill holes, which were assigned to Oichnus paraboloides. Drilling frequency data were measured as a proxy for predation intensity and statistical analyses were performed. Further, the site of each drill hole was established according to the morphological features of the shell on each specimen to assess possible preference of predators for the site of perforation. Results suggest that P. marambioensis is an efficient cannibalistic predator for a specific size range of prey (8-22 mm), and drill holes are distributed preferentially in two specific sectors of their shells. This selective cannibalistic prey behaviour in P. marambioensis affected not only the dynamics of their populations but the ecological structure of the community in which they lived.</t>
  </si>
  <si>
    <t>[Brezina, S. S.; Cech, N.; Casadio, S.] Univ Nacl Rio Negro, Inst Invest Paleobiol &amp; Geol, Belgrano 516,R8332FDJ, Gen Roca, Argentina; [Brezina, S. S.; Casadio, S.] Consejo Nacl Invest Cient &amp; Tecn, Ave Rivadavia 1917,C1033AAJ, RA-1033 Buenos Aires, DF, Argentina; [Martin Serralta, D.] Univ Nacl La Pampa, Fac Ciencias Exactas &amp; Nat, Uruguay 151,L6300CLN, Santa Rosa, Argentina</t>
  </si>
  <si>
    <t>Brezina, SS (corresponding author), Univ Nacl Rio Negro, Inst Invest Paleobiol &amp; Geol, Belgrano 516,R8332FDJ, Gen Roca, Argentina.;Brezina, SS (corresponding author), Consejo Nacl Invest Cient &amp; Tecn, Ave Rivadavia 1917,C1033AAJ, RA-1033 Buenos Aires, DF, Argentina.</t>
  </si>
  <si>
    <t>sbrezina@unrn.edu.ar</t>
  </si>
  <si>
    <t>Universidad Nacional de Rio Negro; Universidad Nacional de La Pampa; CONICET; Instituto Antartico Argentino; Agencia Nacional de Promocion Cientifica y Tecnologica</t>
  </si>
  <si>
    <t>Universidad Nacional de Rio Negro; Universidad Nacional de La Pampa; CONICET(Consejo Nacional de Investigaciones Cientificas y Tecnicas (CONICET)); Instituto Antartico Argentino; Agencia Nacional de Promocion Cientifica y Tecnologica(ANPCyTSpanish Government)</t>
  </si>
  <si>
    <t>We thank P.D. Taylor and C.E. Schweitzer for their constructive comments and suggestions, and also we are grateful for corrections and recommendations of the reviewers, P. Kelley and D. Chattopadhyay, which improved the final version of this paper. This study has been supported by projects granted by Universidad Nacional de Rio Negro, Universidad Nacional de La Pampa, CONICET, Instituto Antartico Argentino and Agencia Nacional de Promocion Cientifica y Tecnologica.</t>
  </si>
  <si>
    <t>10.1017/S0954102015000656</t>
  </si>
  <si>
    <t>WOS:000376039000006</t>
  </si>
  <si>
    <t>Jadwiszczak, P; Mörs, T</t>
  </si>
  <si>
    <t>Jadwiszczak, Piotr; Mors, Thomas</t>
  </si>
  <si>
    <t>First report on quill pits in early penguins</t>
  </si>
  <si>
    <t>[Jadwiszczak, Piotr] Univ Bialystok, Inst Biol, Ciolkowskiego 1J, PL-15245 Bialystok, Poland; [Mors, Thomas] Swedish Museum Nat Hist, Dept Paleobiol, POB 50007, S-10405 Stockholm, Sweden</t>
  </si>
  <si>
    <t>University of Bialystok; Swedish Museum of Natural History</t>
  </si>
  <si>
    <t>Jadwiszczak, P (corresponding author), Univ Bialystok, Inst Biol, Ciolkowskiego 1J, PL-15245 Bialystok, Poland.</t>
  </si>
  <si>
    <t>piotrj@uwb.edu.pl</t>
  </si>
  <si>
    <t>Jadwiszczak, Piotr/P-4336-2019</t>
  </si>
  <si>
    <t>Jadwiszczak, Piotr/0000-0002-5263-1125</t>
  </si>
  <si>
    <t>European Community - Research Infrastructure Action under the FP7 Structuring the European Research Area Programme [GB-TAF-4610]; Swedish Research Council (VR) [2009-4447]</t>
  </si>
  <si>
    <t>European Community - Research Infrastructure Action under the FP7 Structuring the European Research Area Programme; Swedish Research Council (VR)(Swedish Research Council)</t>
  </si>
  <si>
    <t>We are grateful to an anonymous reviewer for helpful comments. PJ acknowledges financial support through SYNTHESYS funding made available by the European Community - Research Infrastructure Action under the FP7 Structuring the European Research Area Programme; project GB-TAF-4610. TM thanks the Argentine Antarctic Institute (IAA-DNA), the Argentine Air Force and the Swedish Polar Research Secretariat (SPFS) for logistic support for fieldwork on Seymour Island, and the Swedish Research Council (VR grant 2009-4447) for financial support.</t>
  </si>
  <si>
    <t>10.1017/S0954102015000668</t>
  </si>
  <si>
    <t>WOS:000376039000007</t>
  </si>
  <si>
    <t>Ingvander, S; Jansson, P; Brown, IA; Fujita, S; Sugyama, S; Surdyk, S; Enomoto, H; Hansson, M; Holmlund, P</t>
  </si>
  <si>
    <t>Ingvander, Susanne; Jansson, Peter; Brown, Ian A.; Fujita, Shuji; Sugyama, Shin; Surdyk, Sylviane; Enomoto, Hiroyuki; Hansson, Margareta; Holmlund, Per</t>
  </si>
  <si>
    <t>Snow particle sizes and their distributions in Dronning Maud Land, Antarctica, at sample, local and regional scales</t>
  </si>
  <si>
    <t>grids; meteorology; plateau; snow grain size; snow pits; traverse</t>
  </si>
  <si>
    <t>GRAIN-SIZE; PHYSICAL-PROPERTIES; FIELD; VARIABILITY; BALANCE; ALBEDO; DUNES; AREA</t>
  </si>
  <si>
    <t>In this study, snow particle size variability was investigated along a transect in Dronning Maud Land from the coast to the polar plateau. The aim of the study was to better understand the spatial and temporal variations in surface snow properties. Samples were collected twice daily during a traverse in 2007-08 to capture regional variability. Local variability was assessed by sampling in 10 x 10m grids (5m spacing) at selected locations. The particle size and shape distributions for each site were analysed through digital image analysis. Snow particle size variability is complex at different scales, and shows an internal variability of 0.18-3.31 mm depending on the sample type (surface, grid or pit). Relationships were verified between particle size and both elevation and distance to the coast (moisture source). Regional seasonal changes were also identified, particularly on the lower elevations of the polar plateau. This dataset may be used to quantitatively analyse the optical properties of surface snow for remote sensing. The details of the spatial and temporal variations observed in our data provide a basis for further studies of the complex and coupled processes affecting snow particle size and the interpretation of remote sensing of snow covered areas.</t>
  </si>
  <si>
    <t>[Ingvander, Susanne; Jansson, Peter; Brown, Ian A.; Hansson, Margareta; Holmlund, Per] Stockholm Univ, Dept Phys Geog, S-10691 Stockholm, Sweden; [Fujita, Shuji; Surdyk, Sylviane; Enomoto, Hiroyuki] ROIS, Natl Inst Polar Res, Midori Chou 10-3, Tachikawa, Tokyo 1900014, Japan; [Fujita, Shuji; Enomoto, Hiroyuki] Grad Univ Adv Studies SOKENDAI, Dept Polar Sci, Tokyo, Japan; [Sugyama, Shin] Hokkaido Univ, Inst Low Temp Sci, Nishi 8,Kita 19, Sapporo, Hokkaido 0600819, Japan</t>
  </si>
  <si>
    <t>Stockholm University; Research Organization of Information &amp; Systems (ROIS); National Institute of Polar Research (NIPR) - Japan; Graduate University for Advanced Studies - Japan; Hokkaido University</t>
  </si>
  <si>
    <t>Ingvander, S (corresponding author), Stockholm Univ, Dept Phys Geog, S-10691 Stockholm, Sweden.</t>
  </si>
  <si>
    <t>susanne.ingvander@natgeo.su.se</t>
  </si>
  <si>
    <t>Sugiyama, Shin/C-2511-2012; Jansson, Peter/B-5761-2012; Fujita, Shuji/A-7884-2016</t>
  </si>
  <si>
    <t>Jansson, Peter/0000-0002-8832-8806; Fujita, Shuji/0000-0003-0127-0777</t>
  </si>
  <si>
    <t>Swedish Research Council; Swedish National Space Board; Bert Bolin Centre for Climate Research; Swedish Society for Anthropology and Geography; Ymer-80 foundation; Helge Ax:son Johnson Foundation</t>
  </si>
  <si>
    <t>Swedish Research Council(Swedish Research Council); Swedish National Space Board(Swedish National Space Agency (SNSA)); Bert Bolin Centre for Climate Research; Swedish Society for Anthropology and Geography; Ymer-80 foundation; Helge Ax:son Johnson Foundation</t>
  </si>
  <si>
    <t>We gratefully acknowledge the Swedish Polar Research Secretariat for logistic support, as well as the Swedish Research Council, Swedish National Space Board, the Bert Bolin Centre for Climate Research, the Swedish Society for Anthropology and Geography, the Ymer-80 foundation and the Helge Ax:son Johnson Foundation for financial support. We are indebted to all of our colleagues who participated in the field making the study possible. We are also grateful to the reviewers for their valuable comments on the manuscript.</t>
  </si>
  <si>
    <t>10.1017/S0954102015000589</t>
  </si>
  <si>
    <t>WOS:000376039000008</t>
  </si>
  <si>
    <t>Tschitschko, B; Williams, TJ; Allen, MA; Zhong, L; Raftery, MJ; Cavicchioli, R</t>
  </si>
  <si>
    <t>Tschitschko, Bernhard; Williams, Timothy J.; Allen, Michelle A.; Zhong, Ling; Raftery, Mark J.; Cavicchioli, Ricardo</t>
  </si>
  <si>
    <t>Ecophysiological Distinctions of Haloarchaea from a Hypersaline Antarctic Lake as Determined by Metaproteomics</t>
  </si>
  <si>
    <t>MICROBIAL ECOLOGY; EAST ANTARCTICA; AQUATIC SYSTEMS; VESTFOLD HILLS; DEEP LAKE; METABOLISM; ARCHAEA; DIVERSITY; VIRUSES; BACTERIOPLANKTON</t>
  </si>
  <si>
    <t>Deep Lake in the Vestfold Hills is hypersaline and the coldest system in Antarctica known to support microbial growth (temperatures as low as -20 degrees C). It represents a strong experimental model because the lake supports a low-complexity community of haloarchaea, with the three most abundant species totaling similar to 72%. Moreover, the dominant haloarchaea are cultivatable, and their genomes are sequenced. Here we use metaproteomics linked to metagenome data and the genome sequences of the isolates to characterize the main pathways, trophic strategies, and interactions associated with resource utilization. The dominance of the most abundant member, Halohasta litchfieldiae, appears to be predicated on competitive utilization of substrates (e.g., starch, glycerol, and dihydroxyacetone) produced by Dunaliella, the lake's primary producer, while also possessing diverse mechanisms for acquiring nitrogen and phosphorus. The second most abundant member, strain DL31, is proficient in degrading complex proteinaceous matter. Hht. litchfieldiae and DL31 are inferred to release labile substrates that are utilized by Halorubrum lacusprofundi, the third most abundant haloarchaeon in Deep Lake. The study also linked genome variation to specific protein variants or distinct genetic capacities, thereby identifying strain-level variation indicative of specialization. Overall, metaproteomics revealed that rather than functional differences occurring at different lake depths or through size partitioning, the main lake genera possess major trophic distinctions, and phylotypes (e.g., strains of Hht. litchfieldiae) exhibit a more subtle level of specialization. This study highlights the extent to which the lake supports a relatively uniform distribution of taxa that collectively possess the genetic capacity to effectively exploit available nutrients throughout the lake.</t>
  </si>
  <si>
    <t>[Tschitschko, Bernhard; Williams, Timothy J.; Allen, Michelle A.; Cavicchioli, Ricardo] Univ New S Wales, Sch Biotechnol &amp; Biomol Sci, Sydney, NSW, Australia; [Zhong, Ling; Raftery, Mark J.] Univ New S Wales, Bioanalyt Mass Spectrometry Facil, Sydney, NSW, Australia</t>
  </si>
  <si>
    <t>University of New South Wales Sydney; University of New South Wales Sydney</t>
  </si>
  <si>
    <t>Cavicchioli, R (corresponding author), Univ New S Wales, Sch Biotechnol &amp; Biomol Sci, Sydney, NSW, Australia.</t>
  </si>
  <si>
    <t>; Cavicchioli, Ricardo/D-4341-2013</t>
  </si>
  <si>
    <t>Allen, Michelle/0000-0002-8852-1454; Tschitschko, Bernhard/0000-0002-0379-3187; Williams, Timothy/0000-0002-2738-3019; Cavicchioli, Ricardo/0000-0001-8989-6402</t>
  </si>
  <si>
    <t>Australian Antarctic Science program (AAS) [2899, 4031]; Department of Industry, Innovation, Science, Research and Tertiary Education, Australian Government \ Australian Research Council (ARC) [DP140100582, DP150100244]</t>
  </si>
  <si>
    <t>Australian Antarctic Science program (AAS); Department of Industry, Innovation, Science, Research and Tertiary Education, Australian Government \ Australian Research Council (ARC)</t>
  </si>
  <si>
    <t>This work was supported by the Australian Antarctic Science program (AAS projects 2899 and 4031). This work was also funded by the Department of Industry, Innovation, Science, Research and Tertiary Education, Australian Government vertical bar Australian Research Council (ARC) (DP140100582 [to R.C.] and DP150100244 [to R.C. and M.J.R.]). The funders had no role in study design, data collection and interpretation, or the decision to submit the work for publication. We declare no conflicts of interest.</t>
  </si>
  <si>
    <t>10.1128/AEM.00473-16</t>
  </si>
  <si>
    <t>DM2EL</t>
  </si>
  <si>
    <t>WOS:000376159400002</t>
  </si>
  <si>
    <t>Singh, HKA; Bitz, CM; Frierson, DMW</t>
  </si>
  <si>
    <t>Singh, Hansi K. A.; Bitz, Cecilia M.; Frierson, Dargan M. W.</t>
  </si>
  <si>
    <t>The Global Climate Response to Lowering Surface Orography of Antarctica and the Importance of Atmosphere-Ocean Coupling</t>
  </si>
  <si>
    <t>SOUTH ASIAN MONSOON; ICE-SHEET; PART II; GENERAL-CIRCULATION; SEA-ICE; HEMISPHERE; LATITUDE; GLACIATION; MOUNTAINS; ENERGY</t>
  </si>
  <si>
    <t>A global climate model is used to study the effect of flattening the orography of the Antarctic Ice Sheet on climate. A general result is that the Antarctic continent and the atmosphere aloft warm, while there is modest cooling globally. The large local warming over Antarctica leads to increased outgoing longwave radiation, which drives anomalous southward energy transport toward the continent and cooling elsewhere. Atmosphere and ocean both anomalously transport energy southward in the Southern Hemisphere. Near Antarctica, poleward energy and momentum transport by baroclinic eddies strengthens. Anomalous southward cross-equatorial energy transport is associated with a northward shift in the intertropical convergence zone. In the ocean, anomalous southward energy transport arises from a slowdown of the upper cell of the oceanic meridional overturning circulation and a weakening of the horizontal ocean gyres, causing sea ice in the Northern Hemisphere to expand and the Arctic to cool. Comparison with a slab-ocean simulation confirms the importance of ocean dynamics in determining the climate system response to Antarctic orography. This paper concludes by briefly presenting a discussion of the relevance of these results to climates of the past and to future climate scenarios.</t>
  </si>
  <si>
    <t>[Singh, Hansi K. A.; Bitz, Cecilia M.; Frierson, Dargan M. W.] Univ Washington, Dept Atmospher Sci, Box 351640, Seattle, WA 98195 USA</t>
  </si>
  <si>
    <t>Singh, HKA (corresponding author), Univ Washington, Dept Atmospher Sci, Box 351640, Seattle, WA 98195 USA.</t>
  </si>
  <si>
    <t>hansi@atmos.washington.edu</t>
  </si>
  <si>
    <t>Bitz, Cecilia M/S-8423-2016; Singh, Hansi/P-9354-2019; Frierson, Dargan/F-1763-2010</t>
  </si>
  <si>
    <t>Singh, Hansi/0000-0002-8651-9094; Frierson, Dargan/0000-0001-8952-5644; Bitz, Cecilia/0000-0002-9477-7499</t>
  </si>
  <si>
    <t>U.S. DOE Computational Science Graduate Fellowship; NSF [PLR-1341497]; Office of Polar Programs (OPP); Directorate For Geosciences [1341497] Funding Source: National Science Foundation</t>
  </si>
  <si>
    <t>U.S. DOE Computational Science Graduate Fellowship; NSF(National Science Foundation (NSF)); Office of Polar Programs (OPP); Directorate For Geosciences(National Science Foundation (NSF)NSF - Directorate for Geosciences (GEO))</t>
  </si>
  <si>
    <t>We wish to acknowledge the U.S. DOE Computational Science Graduate Fellowship for funding HKAS, and NSF PLR-1341497 for funding CMB and DMWF. Thanks to Marc Michelson for computing support at the UW Department of Atmospheric Sciences. And thanks to Kat Huybers, Nathan Steiger, Ana Ordonez, and Dennis Hartmann for helpful discussions and collaboration. We thank three anonymous reviewers for their helpful critique of our manuscript.</t>
  </si>
  <si>
    <t>10.1175/JCLI-D-15-0442.1</t>
  </si>
  <si>
    <t>DM2SP</t>
  </si>
  <si>
    <t>WOS:000376197900013</t>
  </si>
  <si>
    <t>Lüdmann, T; Paulat, M; Betzler, C; Möbius, J; Lindhorst, S; Wunsch, M; Eberli, GP</t>
  </si>
  <si>
    <t>Luedmann, T.; Paulat, M.; Betzler, C.; Moebius, J.; Lindhorst, S.; Wunsch, M.; Eberli, G. P.</t>
  </si>
  <si>
    <t>Carbonate mounds in the Santaren Channel, Bahamas: A current-dominated periplatform depositional regime</t>
  </si>
  <si>
    <t>Carbonate mound; Cold-water corals; Drift sedimentation; Bottom current; Carbonate platform; Great Bahama Bank; Oceanographic setting</t>
  </si>
  <si>
    <t>WATER CORAL MOUNDS; OFF-BANK TRANSPORT; CAY-SAL BANK; SEISMIC STRATIGRAPHY; CONTINENTAL-SLOPE; LOPHELIA-PERTUSA; SOUTHERN STRAITS; WESTERN SLOPE; BLAKE PLATEAU; SEA-LEVEL</t>
  </si>
  <si>
    <t>New hydroacoustic data, high resolution multichannel seismic reflection data, CTD casts and sampling document the dominance of bottom currents and the occurrence of carbonate mounds in the Santaren Channel off Great Bahama Bank and Cay Sal Bank. Based on these data sets, three types of carbonate mounds have been identified in water depths between 285 and 685 m. Their distribution is strongly related to the present current regime. Bank-driven sediments are caught up by the currents and redeposited mainly in the channel center, resulting in the accumulation of giant confined drifts flanked by moats. The moats at the banks toe-of-slope are formed by a southward and northward flowing water mass, respectively, mainly Antarctic Intermediate Water and Subtropical Underwater. The observed carbonate mounds are concentrated in these moats. Mound type 1 has an elongated shape parallel to the prevailing bottom current direction, a gently inclined flank facing the water flow and a steep flank in its current shadow. Its upstream flank is covered by a thin sediment wedge whereas the lee side is marked by a parabolic scour. Type 1 occurs at both bank margins but mainly off Great Bahama Bank, consisting of cold-water coral rubble floating in a sediment matrix and is, thus, interpreted as cold-water coral mound. By contrast, type 2 mounds are restricted to the Cay Sal margin and have a predominately conical outline. Bottom samples including living sessile crinoids show that its surface must be lithified and colonized by macroepibenthos, except corals. The mounds are situated in pockmark-like depressions that are underlain by fluid escape structures like pipes and chimneys. These fluid pathways are generated by a network of fractures. Mound type 2 is probably formed by abiotic carbonate precipitation; however, a chemoherm nature cannot be ruled out. Mound type 3 has a conical to polygonal shape and occurs off Cay Sal Bank and Great Bahama Bank. It is surrounded by a scour which is elongated in downcurrent and crescent in upcurrent direction. A sediment bulge formed at its front. This type is consistent with blocks and boulders colonized by macroepibenthos and related to gravity-controlled mass movements at the steep bank slopes. Principally, two habitats can be distinguished: the Great Bahama Bank periplatform deep-water province dominated by mound type 1 and the Cay Sal Bank slope to basin province occupied by mound type 2 that is associated with pockmark-like structures. Mound type 3 occurs in both habitats. Physical water mass properties for the existence of cold-water corals are limited to a depth range of ca. 430 to 685 m, with seawater densities (sigma-theta) of 26.93 to 27.29 kg/m and temperatures below 13 degrees C. Their dominance off Great Bahama Bank might be addressed to a more effective food supply induced by local downwelling. (C) 2016 Elsevier B.V. All rights reserved.</t>
  </si>
  <si>
    <t>[Luedmann, T.; Paulat, M.; Betzler, C.; Moebius, J.; Lindhorst, S.; Wunsch, M.] Univ Hamburg, Inst Geol, Bundesstr 55, D-20146 Hamburg, Germany; [Eberli, G. P.] Univ Miami, Ctr Carbonate Res, 4600 Rickenbacker Causeway, Miami, FL 33149 USA</t>
  </si>
  <si>
    <t>University of Hamburg; University of Miami</t>
  </si>
  <si>
    <t>Lüdmann, T (corresponding author), Univ Hamburg, Inst Geol, Bundesstr 55, D-20146 Hamburg, Germany.</t>
  </si>
  <si>
    <t>thomas.luedmann@uni-hamburg.de</t>
  </si>
  <si>
    <t>Eberli, Gregor Paul/0000-0001-5653-6929; Betzler, Christian/0000-0002-5757-4553</t>
  </si>
  <si>
    <t>German Research Foundation (DFG); company Halliburton-Landmark; company Schlumberger</t>
  </si>
  <si>
    <t>German Research Foundation (DFG)(German Research Foundation (DFG)); company Halliburton-Landmark; company Schlumberger(Schlumberger)</t>
  </si>
  <si>
    <t>We gratefully acknowledge the scientific party as well as the captain and the crew of research vessel Meteor for their support during CARMED cruise M95. The German Research Foundation (DFG) is gratefully acknowledged for financial support. Additional acknowledgements go to the companies Halliburton-Landmark and Schlumberger for providing university grants for the seismic processing software PROMAX and seismic interpretation software PETREL, respectively. We thank the editor M. Rebesco and T. Mulder and an anonymous reviewer for their very helpful comments that substantially improved the manuscript.</t>
  </si>
  <si>
    <t>10.1016/j.margeo.2016.03.013</t>
  </si>
  <si>
    <t>DM0QI</t>
  </si>
  <si>
    <t>WOS:000376050500006</t>
  </si>
  <si>
    <t>Li, F; Ye, M; Yan, JG; Hao, WF; Barriot, JP</t>
  </si>
  <si>
    <t>Li, Fei; Ye, Mao; Yan, Jianguo; Hao, Weifeng; Barriot, Jean-Pierre</t>
  </si>
  <si>
    <t>A simulation of the Four-way lunar Lander-Orbiter tracking mode for the Chang'E-5 mission</t>
  </si>
  <si>
    <t>Chinese Lunar Exploration Program; Chang'E-5 mission; Four way lunar Lander-Orbiter tracking; Precision orbit determination</t>
  </si>
  <si>
    <t>SELENE; PROBE; VLBI</t>
  </si>
  <si>
    <t>The Chang'E-5 mission is the third phase of the Chinese Lunar Exploration Program and will collect and return lunar samples. After sampling, the Orbiter and the ascent vehicle will rendezvous and dock, and both spacecraft will require high precision orbit navigation. In this paper, we present a novel tracking mode-Four-way lunar Lander-Orbiter tracking that possibly can be employed during the Chang'E-5 mission. The mathematical formulas for the Four-way lunar Lander Orbiter tracking mode are given and implemented in our newly-designed lunar spacecraft orbit determination and gravity field recovery software, the LUnar Gravity REcovery and Analysis Software/System (LUGREAS). The simulated observables permit analysis of the potential contribution Four-way lunar Lander Orbiter tracking could make to precision orbit determination for the Orbiter. Our results show that the Four-way lunar Lander Orbiter Range Rate has better geometric constraint on the orbit, and is more sensitive than the traditional two-way range rate that only tracks data between the Earth station and lunar Orbiter. After combining the Four-way lunar Lander Orbiter Range Rate data with the traditional two-way range rate data and considering the Lander position error and lunar gravity field error, the accuracy of precision orbit determination for the Orbiter in the simulation was improved significantly, with the biggest improvement being one order of magnitude, and the Lander position could be constrained to sub-meter level. This new tracking mode could provide a reference for the Chang'E-5 mission and have enormous potential for the positioning of future lunar farside Lander due to its relay characteristic. (C) 2016 COSPAR. Published by Elsevier Ltd. All rights reserved.</t>
  </si>
  <si>
    <t>[Li, Fei; Ye, Mao; Yan, Jianguo] Wuhan Univ, State Key Lab Informat Engn Surveying Mapping &amp; R, 129 Luoyu Rd, Wuhan 430070, Peoples R China; [Li, Fei; Hao, Weifeng] Wuhan Univ, Chinese Antarctic Ctr Surveying &amp; Mapping, 129 Luoyu Rd, Wuhan 430079, Peoples R China; [Barriot, Jean-Pierre] Observ Geodes Tahiti, BP 6570, F-98702 Faaa, Tahiti, France</t>
  </si>
  <si>
    <t>Yan, JG (corresponding author), Wuhan Univ, State Key Lab Informat Engn Surveying Mapping &amp; R, 129 Luoyu Rd, Wuhan 430070, Peoples R China.</t>
  </si>
  <si>
    <t>fli@whu.edu.cn; mye@whu.edu.cn; jgyan@whu.edu.cn; hwf_369@126.com; jean-pierre.barriot@upf.pf</t>
  </si>
  <si>
    <t>Barriot, Jean-Pierre/AAD-6709-2021</t>
  </si>
  <si>
    <t>Barriot, Jean-Pierre/0000-0002-2112-9685</t>
  </si>
  <si>
    <t>Hubei Province Natural Science Foundation innovation group project [2015CFA011]; National Natural Science Foundation of China [41374024, 41174019]; CAS Key Laboratory of Lunar and Deep Space Exploration grant</t>
  </si>
  <si>
    <t>Hubei Province Natural Science Foundation innovation group project; National Natural Science Foundation of China(National Natural Science Foundation of China (NSFC)); CAS Key Laboratory of Lunar and Deep Space Exploration grant</t>
  </si>
  <si>
    <t>We would like to thank Prof. Luciano Iess, Dr. Paolo Racioppa, Dr. Marco Gregnanin, Dr. Mauro Di Benedetto for their insightful discussion during the software developing. Two anonymous reviewers are highly acknowledged for their constructive comments which improved the quality of this paper. This research is supported by grant of Hubei Province Natural Science Foundation innovation group project (2015CFA011), the National Natural Science Foundation of China (41374024, 41174019) and the CAS Key Laboratory of Lunar and Deep Space Exploration grant.</t>
  </si>
  <si>
    <t>10.1016/j.asr.2016.03.007</t>
  </si>
  <si>
    <t>DL7IX</t>
  </si>
  <si>
    <t>WOS:000375815500010</t>
  </si>
  <si>
    <t>Tyson, RB; Friedlaender, AS; Nowacek, DP</t>
  </si>
  <si>
    <t>Tyson, R. B.; Friedlaender, A. S.; Nowacek, D. P.</t>
  </si>
  <si>
    <t>Does optimal foraging theory predict the foraging performance of a large air-breathing marine predator?</t>
  </si>
  <si>
    <t>ANIMAL BEHAVIOUR</t>
  </si>
  <si>
    <t>Antarctica; bio-logging; foraging behaviour; humpback whale; optimal foraging theory</t>
  </si>
  <si>
    <t>HUMPBACK WHALES; DIVING BEHAVIOR; MEGAPTERA-NOVAEANGLIAE; FIN WHALES; PATTERNS; MODELS; TIME; KINEMATICS; ALLOCATION; ALLOMETRY</t>
  </si>
  <si>
    <t>Optimal foraging theory (OFT) suggests that air-breathing diving animals should minimize costs associated with feeding under water (e.g. travel time, oxygen loss) while simultaneously maximizing benefits gained from doing so (e.g. foraging time, energy gain). Humpback whales, Megaptera novaeangliae, foraging along the Western Antarctic Peninsula appear to forage according to OFT, but the direct costs and benefits in terms of their behaviours (e.g. allocation of time) have not been examined. We compared the foraging behaviour of humpback whales in this region inferred from multisensor high-resolution recording tags to their behaviour predicted by OFT time allocation models assuming the following currencies were being maximized: (1) the proportion of time spent foraging, (2) the net rate of energetic gain and/or (3) the ratio of energy gained to energy expended (i.e. efficiency). Model predictions for all three currencies were similar, suggesting any of these OFT models were suitable for comparison with the observed data. However, agreement between observed and optimal behaviours varied widely depending on the physiological and behavioural values used to derive optimal predictions, highlighting the need for an improved understanding of cetacean physiology. Despite this, many of the theoretical OFT predictions were supported: shallow dives (i.e. &lt; 100 m), which were short and executed most frequently, yielded the highest proportions of foraging time, and the greatest net rates of energy gain and were the most efficient. In addition, dive and foraging times increased in duration rapidly with increasing maximum dive depths to approximately 100 m and then at lower rates with deeper dives. Our findings offer a thorough examination of the applicability of time allocation OFT models to the behaviours of a large, air-breathing, diving predator and provide insights into the foraging ecology and physiology of humpback whales in the Western Antarctic Peninsula. (c) 2016 The Association for the Study of Animal Behaviour. Published by Elsevier Ltd. All rights reserved.</t>
  </si>
  <si>
    <t>[Tyson, R. B.; Friedlaender, A. S.; Nowacek, D. P.] Duke Univ, Marine Lab, Nicholas Sch Environm, Beaufort, NC 28516 USA; [Tyson, R. B.] Chicago Zool Soc, Sarasota Dolphin Res Program, Sarasota, FL 34236 USA; [Friedlaender, A. S.] Oregon State Univ, Dept Fisheries &amp; Wildlife, Marine Mammal Inst, Newport, OR USA; [Nowacek, D. P.] Duke Univ, Pratt Sch Engn, Durham, NC USA</t>
  </si>
  <si>
    <t>Duke University; Oregon State University; Duke University</t>
  </si>
  <si>
    <t>Tyson, RB (corresponding author), Chicago Zool Soc, Sarasota Dolphin Res Program, Mote Marine Lab, 1600 Ken Thompson Pkwy, Sarasota, FL 34236 USA.</t>
  </si>
  <si>
    <t>rtyson@mote.org</t>
  </si>
  <si>
    <t>Tyson Moore, Reny/0000-0001-5541-193X</t>
  </si>
  <si>
    <t>National Science Foundation, Office of Polar Programs [ANT-07-39483]</t>
  </si>
  <si>
    <t>National Science Foundation, Office of Polar Programs(National Science Foundation (NSF)NSF - Directorate for Geosciences (GEO))</t>
  </si>
  <si>
    <t>We thank Daniel Rubenstein, James Hench, Thomas Doniol-Valcroze, Jeremy Goldbogen and members of the MISHAP field team: Andrew Read, David Johnston, Alison Stimpert, Elliot Hazen, Danielle Waples, Lindsey Peavey, Ann Allen, Colin Ware, Andrew Westgate, Elleta Revelli, Meagan Dunphy-Daly, Meng Zhou, Yiwu Zhu, Joeseph Warren, Joy Anderson and Boris Espinasse. We also thank the crews of the research vessel/ice breaker (RVIB) Nathaniel B Palmer and the Antarctic research and supply vessel (ARSV) Laurence M Gould as well as two anonymous referees, whose comments greatly strengthened this work. This research was supported by National Science Foundation, Office of Polar Programs (grant ANT-07-39483). All authors have confirmed that there are no competing conflicts of interest.</t>
  </si>
  <si>
    <t>0003-3472</t>
  </si>
  <si>
    <t>1095-8282</t>
  </si>
  <si>
    <t>ANIM BEHAV</t>
  </si>
  <si>
    <t>Anim. Behav.</t>
  </si>
  <si>
    <t>10.1016/j.anbehav.2016.03.034</t>
  </si>
  <si>
    <t>DN7UY</t>
  </si>
  <si>
    <t>WOS:000377286700024</t>
  </si>
  <si>
    <t>Jiménez, S; Domingo, A; Brazeiro, A; Defeo, O; Wood, AG; Froy, H; Xavier, JC; Phillips, RA</t>
  </si>
  <si>
    <t>Jimenez, S.; Domingo, A.; Brazeiro, A.; Defeo, O.; Wood, A. G.; Froy, H.; Xavier, J. C.; Phillips, R. A.</t>
  </si>
  <si>
    <t>Sex-related variation in the vulnerability of wandering albatrosses to pelagic longline fleets</t>
  </si>
  <si>
    <t>ANIMAL CONSERVATION</t>
  </si>
  <si>
    <t>fisheries impacts; ecological risk assessment; seabirds; satellite transmitters; GPS loggers; south-west Atlantic; regional fisheries management organization</t>
  </si>
  <si>
    <t>SEABIRD-FISHERY INTERACTIONS; SOUTHWESTERN ATLANTIC-OCEAN; DIOMEDEA-EXULANS; SOUTH-GEORGIA; BY-CATCH; FALKLAND ISLANDS; CONSERVATION IMPLICATIONS; POPULATION TRENDS; INCIDENTAL CATCH; FORAGING ECOLOGY</t>
  </si>
  <si>
    <t>The population of wandering albatrosses Diomedea exulans at South Georgia is decreasing because of bycatch in longline fisheries. Until at least the early 1990s, the survival rate of females was lower than males, consistent with the adult female-biased bycatch reported for fisheries operating around the Brazil-Falklands Confluence (BFC). Here we use extensive tracking data (1990-2012) from breeding birds at South Georgia to investigate overlap with longline fishing effort reported to the International Commission for the Conservation of Atlantic Tunas (ICCAT). Using data from multiple years, we conclude that breeding females are at higher risk than males from all the main pelagic longline fleets in the south-west Atlantic. Our overlap index (based on fishing effort and bird distributions) correlated positively with numbers of ringed birds reported dead on longliners, indicating that the metric was a good proxy of bycatch risk. The consistent sex bias in overlap across years, and the likely resulting sex-biased mortality, could account for lower adult female survival rate at the colony. The risk from fisheries changed seasonally; both sexes overlapped with pelagic longline effort during incubation (January-March), and particularly during post-brood chick-rearing (May-December), whereas overlap was negligible during brooding (April). The highest percentage of overlap was with the Taiwanese fleet, then vessels flagged to Brazil, Uruguay, Spain, Japan and Portugal. Females were consistently at greatest risk in the BFC region, whereas males showed lower and more variable levels of overlap with fisheries from 35 to 45 degrees S. Our results have important implications for management of ICCAT longline fisheries and conservation of this highly threatened albatross population.</t>
  </si>
  <si>
    <t>[Jimenez, S.; Domingo, A.] Direcc Nacl Recursos Acuat, Lab Recursos Pelag, Constituyente 1497, Montevideo 11200, Uruguay; [Jimenez, S.; Wood, A. G.; Xavier, J. C.; Phillips, R. A.] British Antarctic Survey, Nat Environm Res Council, Cambridge, England; [Brazeiro, A.] Univ Republica, Fac Ciencias, Inst Ecol &amp; Ciencias Ambientales, Montevideo, Uruguay; [Defeo, O.] Univ Republica, Fac Ciencias, UNDECIMAR, Dept Ecol &amp; Evoluc, Montevideo, Uruguay; [Froy, H.] Univ Edinburgh, Inst Evolutionary Biol, Edinburgh, Midlothian, Scotland; [Xavier, J. C.] Univ Coimbra, IMAR CMA Inst Marine Res, Fac Sci &amp; Technol, Dept Life Sci, Coimbra, Portugal; [Xavier, J. C.] Univ Coimbra, IMAR CMA Inst Marine Res, Fac Sci &amp; Technol, MARE Marine &amp; Environm Sci Ctr, Coimbra, Portugal</t>
  </si>
  <si>
    <t>UK Research &amp; Innovation (UKRI); Natural Environment Research Council (NERC); NERC British Antarctic Survey; Universidad de la Republica, Uruguay; Universidad de la Republica, Uruguay; University of Edinburgh; Universidade de Coimbra; Universidade de Coimbra</t>
  </si>
  <si>
    <t>Jiménez, S (corresponding author), Direcc Nacl Recursos Acuat, Lab Recursos Pelag, Constituyente 1497, Montevideo 11200, Uruguay.</t>
  </si>
  <si>
    <t>jimenezpsebastian@gmail.com</t>
  </si>
  <si>
    <t>Xavier, José/KFB-6739-2024; Fennell, Hannah/AAI-1408-2019; Jimenez, Sebastian Jimenez S/K-6168-2017; Jimenez, Sebastian/JMC-9419-2023</t>
  </si>
  <si>
    <t>Brazeiro, Alejandro/0000-0001-8352-9900; /0000-0002-9621-6660; Froy, Hannah/0000-0003-2965-3526; Jimenez, Sebastian/0000-0003-3945-4619</t>
  </si>
  <si>
    <t>Natural Environment Research Council; Agencia Nacional de Investigacion e Innovacion (ANII); Natural Environment Research Council [bas0100035, bas0100025] Funding Source: researchfish; NERC [bas0100025, bas0100035] Funding Source: UKRI</t>
  </si>
  <si>
    <t>Natural Environment Research Council(UK Research &amp; Innovation (UKRI)Natural Environment Research Council (NERC)); Agencia Nacional de Investigacion e Innovacion (ANII); Natural Environment Research Council(UK Research &amp; Innovation (UKRI)Natural Environment Research Council (NERC)); NERC(UK Research &amp; Innovation (UKRI)Natural Environment Research Council (NERC))</t>
  </si>
  <si>
    <t>We would like to thank Phillip Miller for advice on spatial analyses and on ICCAT fishing effort, and Deborah Pardo for estimating survival rates of females and males in recent decades. We are grateful to all those who assisted with the tracking studies at Bird Island, particularly Paulo Catry, Charles Bishop, Isaac Forster, Akira Fukuda, Hiroyoshi Higuchi and Ben Phalan, and to John Croxall for overseeing these projects for many years. We would also like to thank the reviewers and Associate Editor for helpful comments. S.J. gratefully acknowledges the support by Graham Robertson, the British Embassy (Montevideo) and the Agreement on the Conservation of Albatrosses and Petrels of two long-term study visits to British Antarctic Survey where some of this work was carried out. This study represents a contribution to the Ecosystems component of the British Antarctic Survey Polar Science for Planet Earth Programme, funded by The Natural Environment Research Council. This paper is part of the PhD thesis of S.J., who receives a scholarship from Agencia Nacional de Investigacion e Innovacion (ANII).</t>
  </si>
  <si>
    <t>1367-9430</t>
  </si>
  <si>
    <t>1469-1795</t>
  </si>
  <si>
    <t>ANIM CONSERV</t>
  </si>
  <si>
    <t>Anim. Conserv.</t>
  </si>
  <si>
    <t>10.1111/acv.12245</t>
  </si>
  <si>
    <t>DQ1CU</t>
  </si>
  <si>
    <t>WOS:000378939500011</t>
  </si>
  <si>
    <t>Walton, DWH</t>
  </si>
  <si>
    <t>Walton, D. W. H.</t>
  </si>
  <si>
    <t>New ways of recognizing the contributions to research</t>
  </si>
  <si>
    <t>10.1017/S0954102016000146</t>
  </si>
  <si>
    <t>WOS:000376039000001</t>
  </si>
  <si>
    <t>Bokhorst, S; Convey, P</t>
  </si>
  <si>
    <t>Bokhorst, Stef; Convey, Peter</t>
  </si>
  <si>
    <t>Impact of marine vertebrates on Antarctic terrestrial micro-arthropods</t>
  </si>
  <si>
    <t>Acari; Collembola; isotope; lichen; moss; nitrogen</t>
  </si>
  <si>
    <t>SOIL MICROARTHROPODS; LICHEN PALATABILITY; BIOTIC INTERACTIONS; WATER; COMMUNITIES; ECOSYSTEMS; ARTHROPODS; HERBIVORY; NUTRIENTS; SEABIRDS</t>
  </si>
  <si>
    <t>Traits of primary producers associated with tissue quality are commonly assumed to have strong control over higher trophic levels. However, this view is largely based on studies of vascular plants, and cryptogamic vegetation has received far less attention. In this study natural gradients in nutrient concentrations in cryptogams associated with the proximity of penguin colonies on a Maritime Antarctic island were utilized to quantify the impact of nitrogen content on micro-arthropod communities. Proximity to penguin colonies increased the nitrogen concentration of cryptogams, and the penguin source was confirmed by decreasing delta N-15 values at greater distances from colonies. Micro-arthropod abundance, diversity (H') and richness declined with distance from the penguin colonies, and was positively correlated with the nitrogen concentrations of cryptogams. Delta N-15 of micro-arthropods was positively correlated (r(2) = 0.865, P &lt; 0.01) with delta N-15 of the moss Andreaea depressinervis indicating that penguin-derived nitrogen moves through Antarctic food webs across multiple trophic levels. Nitrogen content of cryptogams was correlated with associated micro-arthropods indicating that biotic interactions affect community development in Antarctic terrestrial ecosystems. The spatial patterns of Antarctic biodiversity can therefore be affected by local factors, such as marine vertebrates, beyond existing latitudinal patterns of temperature and water availability.</t>
  </si>
  <si>
    <t>[Bokhorst, Stef] Norwegian Inst Nat Res NINA, Dept Arctic Ecol, NO-9296 Tromso, Norway; [Bokhorst, Stef] Vrije Univ Amsterdam, Inst Ecol Sci, Dept Syst Ecol, De Boelelaan 1085, NL-1081 HV Amsterdam, Netherlands; [Convey, Peter] British Antarctic Survey, NERC, Madingley Rd, Cambridge CB3 0ET, England; [Convey, Peter] Univ Malaya, Natl Antarctic Res Ctr, B303,Level 3,Block B, Kuala Lumpur 50603, Malaysia</t>
  </si>
  <si>
    <t>Norwegian Institute Nature Research; Vrije Universiteit Amsterdam; UK Research &amp; Innovation (UKRI); Natural Environment Research Council (NERC); NERC British Antarctic Survey; Universiti Malaya</t>
  </si>
  <si>
    <t>Bokhorst, S (corresponding author), Norwegian Inst Nat Res NINA, Dept Arctic Ecol, NO-9296 Tromso, Norway.;Bokhorst, S (corresponding author), Vrije Univ Amsterdam, Inst Ecol Sci, Dept Syst Ecol, De Boelelaan 1085, NL-1081 HV Amsterdam, Netherlands.</t>
  </si>
  <si>
    <t>stefbokhorst@hotmail.com</t>
  </si>
  <si>
    <t>Bokhorst, Stef/D-1858-2009; Convey, Peter/AAV-5728-2020</t>
  </si>
  <si>
    <t>Convey, Peter/0000-0001-8497-9903; Bokhorst, Stef/0000-0003-0184-1162</t>
  </si>
  <si>
    <t>NERC; Antarctic Science Bursary; NERC [bas0100036] Funding Source: UKRI; Natural Environment Research Council [bas0100036] Funding Source: researchfish</t>
  </si>
  <si>
    <t>NERC(UK Research &amp; Innovation (UKRI)Natural Environment Research Council (NERC)); Antarctic Science Bursary; NERC(UK Research &amp; Innovation (UKRI)Natural Environment Research Council (NERC)); Natural Environment Research Council(UK Research &amp; Innovation (UKRI)Natural Environment Research Council (NERC))</t>
  </si>
  <si>
    <t>This work would not have been possible without the logistical support of the British Antarctic Survey. Fieldwork for SB was supported by an Antarctic Science Bursary. PC is supported by core funding from NERC to the BAS 'Biodiversity, Adaptation and Evolution' programme. The paper was improved by the constructive comments of two anonymous reviewers. This paper also contributes to the SCAR 'Antarctic Thresholds - Ecosystem Resilience and Adaptation' (AnT-ERA) and 'State of the Antarctic Ecosystem' (AntEco) programmes.</t>
  </si>
  <si>
    <t>10.1017/S0954102015000607</t>
  </si>
  <si>
    <t>WOS:000376039000003</t>
  </si>
  <si>
    <t>Wilson, KJ; Turney, CSM; Fogwill, CJ; Blair, E</t>
  </si>
  <si>
    <t>Wilson, Kerry-Jayne; Turney, Chris S. M.; Fogwill, Christopher J.; Blair, Estelle</t>
  </si>
  <si>
    <t>The impact of the giant iceberg B09B on population size and breeding success of Adelie penguins in Commonwealth Bay, Antarctica</t>
  </si>
  <si>
    <t>Australasian Antarctic Expedition 2013/4; iceberg stranding events</t>
  </si>
  <si>
    <t>SOUTHERN ROSS SEA; EAST ANTARCTICA; ICE CONDITIONS; AREAS; DIET</t>
  </si>
  <si>
    <t>The arrival of iceberg B09B in Commonwealth Bay, East Antarctica, and subsequent fast ice expansion has dramatically increased the distance Adelie penguins (Pygoscelis adeliae) breeding at Cape Denison must travel in search of food. This has provided a natural experiment to investigate the impact of iceberg stranding events and sea ice expansion along the East Antarctic coast. As part of the Australasian Antarctic Expedition 2013-14, the Adelie penguin colony at Cape Denison was censused to compare to historic counts. Whilst some 5520 pairs still bred at Cape Denison there has been an order of magnitude decline in Adelie numbers in the area in comparison to the first counts a century ago and, critically, recent estimates based on satellite images and a census in 1997. In contrast, an Adelie population on the eastern fringe of Commonwealth Bay just 8 km from the fast ice edge was thriving, indicating the arrival of B09B and fast ice expansion was probably responsible for the observed recent population decline. In conclusion, the Cape Denison population could be extirpated within 20 years unless B09B relocates or the now perennial fast ice within the bay breaks out. Our results have important implications for wider East Antarctic if the current increasing sea ice trend continues.</t>
  </si>
  <si>
    <t>[Wilson, Kerry-Jayne] West Coast Penguin Trust, POB 70, Charleston 7865, West Coast, New Zealand; [Turney, Chris S. M.; Fogwill, Christopher J.] Univ New S Wales, Sch Biol Earth &amp; Environm Sci, Climate Change Res Ctr, Sydney, NSW 2052, Australia; [Blair, Estelle] 29 Neurum Rd, Yaroomba, Qld 4573, Australia</t>
  </si>
  <si>
    <t>University of New South Wales Sydney</t>
  </si>
  <si>
    <t>Wilson, KJ (corresponding author), West Coast Penguin Trust, POB 70, Charleston 7865, West Coast, New Zealand.</t>
  </si>
  <si>
    <t>kerry-jayne@bluepenguin.org.nz</t>
  </si>
  <si>
    <t>Fogwill, Christopher/HPF-1150-2023; Fogwill, Chris/AAW-3502-2021; Turney, Chris/P-8701-2018</t>
  </si>
  <si>
    <t>Fogwill, Chris/0000-0002-6471-1106; Turney, Chris/0000-0001-6733-0993</t>
  </si>
  <si>
    <t>Australian Research Council [FL100100195, FT120100004, DP130104156]; Australian Research Council [FT120100004] Funding Source: Australian Research Council</t>
  </si>
  <si>
    <t>This study was part of the Australasian Antarctic Expedition 2013-14. Thanks to captain and crew of the MV Akademic Shokalskiy, Erik van Sebille, Graeme Clarke, Ziggy Marzinelli, Alok Jha, Greg Mortimer, Ben Maddison and the other science and logistics personnel and other members of the expedition for their interest and support. Special thanks to Eric Woehler for advice on ornithological matters in the Australian Antarctic Territory, and to Ian Godfrey and Jon Tucker of the Mawson's Hut Foundation for additional information. Thanks to Dr David Ainley and an anonymous reviewer for their insightful critiques of a previous draft of this paper. Our visit to the Specially Protected Area of Cape Denison was approved by the Australian Antarctic Division permit No. ATEP 13-14-AAE 2013. CSMT and CF acknowledge the support of the Australian Research Council (FL100100195, FT120100004 and DP130104156).</t>
  </si>
  <si>
    <t>10.1017/S0954102015000644</t>
  </si>
  <si>
    <t>WOS:000376039000004</t>
  </si>
  <si>
    <t>Bender, NA; Crosbie, K; Lynch, HJ</t>
  </si>
  <si>
    <t>Bender, Nicole A.; Crosbie, Kim; Lynch, Heather J.</t>
  </si>
  <si>
    <t>Patterns of tourism in the Antarctic Peninsula region: a 20-year analysis</t>
  </si>
  <si>
    <t>Antarctic conservation; biological invasion; environmental management; marine traffic; penguins; polar code</t>
  </si>
  <si>
    <t>BIOLOGICAL INVASIONS; IMPACTS; TERRESTRIAL; MANAGEMENT</t>
  </si>
  <si>
    <t>We extend a previous analysis of Antarctic tour ship vessel traffic to include 20 years of commercial cruise activity (1993/94-2012/13) using recently digitized historical records and new data on vessel landings since 2008/09. Using tourism statistics from 1989/90-2013/14, we also examine trends in passenger numbers, landings and the nationalities of passengers travelling to the Antarctic Peninsula region. This study represents the most comprehensive long-term perspective on how tour ship activity has changed spatially and temporally over a period in which visitation has grown ten-fold. Passenger landings and marine traffic are highly concentrated at a few specific locations, particularly along the Peninsula's south-western coast. Antarctic tourism activity is closely correlated with measures of economic activity in those countries contributing the largest numbers of visitors to the region. The nationalities of Antarctic tourists have shifted over the years, particularly with respect to an increasing number of visitors from China. Since emerging markets for Antarctic travel are probably far from saturated, interest in travelling to Antarctica will probably continue to grow. Understanding visitation patterns will focus efforts to monitor potential anthropogenic impacts and inform management decisions regarding activities in and around the Antarctic region.</t>
  </si>
  <si>
    <t>[Bender, Nicole A.; Lynch, Heather J.] SUNY Stony Brook, Dept Ecol &amp; Evolut, 106 Life Sci Bldg, Stony Brook, NY 11794 USA; [Crosbie, Kim] Int Assoc Antarctica Tour Operators, 320 Thames St 264, Newport, RI 02840 USA</t>
  </si>
  <si>
    <t>State University of New York (SUNY) System; State University of New York (SUNY) Stony Brook</t>
  </si>
  <si>
    <t>Bender, NA (corresponding author), SUNY Stony Brook, Dept Ecol &amp; Evolut, 106 Life Sci Bldg, Stony Brook, NY 11794 USA.</t>
  </si>
  <si>
    <t>nicole.bender@stonybrook.edu</t>
  </si>
  <si>
    <t>10.1017/S0954102016000031</t>
  </si>
  <si>
    <t>WOS:000376039000005</t>
  </si>
  <si>
    <t>Oelkers, RJ; Macri, LM; Wang, LF; Ashley, MCB; Cui, XQ; Feng, LL; Gong, XF; Lawrence, JS; Qiang, L; Luong-Van, D; Pennypacker, CR; Yuan, XY; York, DG; Zhou, X; Zhu, ZX</t>
  </si>
  <si>
    <t>Oelkers, Ryan J.; Macri, Lucas M.; Wang, Lifan; Ashley, Michael C. B.; Cui, Xiangqun; Feng, Long-Long; Gong, Xuefei; Lawrence, Jon S.; Qiang, Liu; Luong-Van, Daniel; Pennypacker, Carl R.; Yuan, Xiangyan; York, Donald G.; Zhou, Xu; Zhu, Zhenxi</t>
  </si>
  <si>
    <t>STELLAR VARIABILITY AND FLARE RATES FROM DOME A, ANTARCTICA, USING 2009 AND 2010 CSTAR OBSERVATIONS</t>
  </si>
  <si>
    <t>ASTRONOMICAL JOURNAL</t>
  </si>
  <si>
    <t>methods: data analysis; stars: flare; stars: variables: general</t>
  </si>
  <si>
    <t>DIGITAL SKY SURVEY; OPTIMAL IMAGE SUBTRACTION; VARIABLE-STARS; ECLIPSING BINARIES; IA SUPERNOVAE; LIGHT CURVES; SPACED DATA; M DWARFS; PHOTOMETRY; TELESCOPE</t>
  </si>
  <si>
    <t>The Chinese Small Telescope Array (CSTAR) carried out high-cadence time-series observations of 20.1 square degrees centered on the South Celestial Pole during the 2008, 2009, and 2010 winter seasons from Dome A in Antarctica. The nearly continuous six months of dark conditions during each observing season allowed for &gt;106 images to be collected through gri and clear filters, resulting in the detection of &gt;10(4) sources over the course of three years of operation. The nearly space-like conditions in the Antarctic plateau are an ideal testbed for the suitability of very small-aperture (&lt;20 cm) telescopes to detect transient events, variable stars, and stellar flares. We present the results of a robust search for such objects using difference image analysis of the data obtained during the 2009 and 2010 winter seasons. While no transients were found, we detected 29 flaring events and find a normalized flaring rate of 5 +/- 4 x 10(-7) flare hr(-1) for late-K dwarfs, 1 1 x 10(-6) flare hr(-1) for M dwarfs and 7 1 x 10(-7) flare hr(-1) for all other stars in our sample. We suggest future small -aperture telescopes planned for deployment at Dome A would benefit from a tracking mechanism, to help alleviate effects from ghosting, and a finer pixel scale, to increase the telescope's sensitivity to faint objects. We find that the light curves of non-transient sources have excellent photometric qualities once corrected for systematics, and are limited only by photon noise and atmospheric scintillation.</t>
  </si>
  <si>
    <t>[Oelkers, Ryan J.; Macri, Lucas M.; Wang, Lifan] Texas A&amp;M Univ, Dept Phys &amp; Astron, George P &amp; Cynthia W Mitchell Inst Fundamental Ph, College Stn, TX 77843 USA; [Wang, Lifan; Feng, Long-Long; Zhu, Zhenxi] Chinese Acad Sci, Purple Mt Observ, Nanjing, Jiangsu, Peoples R China; [Wang, Lifan; Cui, Xiangqun; Feng, Long-Long; Gong, Xuefei; Qiang, Liu; Yuan, Xiangyan; Zhou, Xu; Zhu, Zhenxi] Chinese Ctr Antarctic Astron, Nanjing, Jiangsu, Peoples R China; [Ashley, Michael C. B.; Lawrence, Jon S.; Luong-Van, Daniel] Univ New S Wales, Sch Phys, Sydney, NSW 2052, Australia; [Cui, Xiangqun; Gong, Xuefei; Yuan, Xiangyan] Nanjing Inst Astron Opt &amp; Technol, Nanjing, Jiangsu, Peoples R China; [Lawrence, Jon S.] Australian Astron Observ, N Ryde, NSW, Australia; [Qiang, Liu; Zhou, Xu] Chinese Acad Sci, Natl Astron Observ, Beijing, Peoples R China; [Pennypacker, Carl R.] Lawrence Berkeley Natl Lab, Inst Nucl &amp; Particle Astrophys, Berkeley, CA USA; [York, Donald G.] Univ Chicago, Dept Astron &amp; Astrophys, 5640 S Ellis Ave, Chicago, IL 60637 USA; [York, Donald G.] Univ Chicago, Enrico Fermi Inst, 5640 S Ellis Ave, Chicago, IL 60637 USA</t>
  </si>
  <si>
    <t>Texas A&amp;M University System; Texas A&amp;M University College Station; Purple Mountain Observatory, CAS; Chinese Academy of Sciences; Nanjing Institute of Astronomical Optics &amp; Technology, NAOC, CAS; University of New South Wales Sydney; Chinese Academy of Sciences; Nanjing Institute of Astronomical Optics &amp; Technology, NAOC, CAS; Chinese Academy of Sciences; National Astronomical Observatory, CAS; United States Department of Energy (DOE); Lawrence Berkeley National Laboratory; University of Chicago; University of Chicago</t>
  </si>
  <si>
    <t>Oelkers, RJ (corresponding author), Texas A&amp;M Univ, Dept Phys &amp; Astron, George P &amp; Cynthia W Mitchell Inst Fundamental Ph, College Stn, TX 77843 USA.</t>
  </si>
  <si>
    <t>ryan.oelkers@physics.tamu.edu</t>
  </si>
  <si>
    <t>Macri, Lucas/0000-0002-1775-4859; Ashley, Michael/0000-0003-1412-2028; Lawrence, Jon/0000-0002-6998-6993</t>
  </si>
  <si>
    <t>George P. and Cynthia Woods Mitchell Institute for Fundamental Physics and Astronomy; Mitchell-Heep-Munnerlyn Endowed Career Enhancement Professorship in Physics or Astronomy; Australian Research Council; Australian Antarctic Division; Chinese Polar Environment Comprehensive Investigation and Assessment Program</t>
  </si>
  <si>
    <t>George P. and Cynthia Woods Mitchell Institute for Fundamental Physics and Astronomy; Mitchell-Heep-Munnerlyn Endowed Career Enhancement Professorship in Physics or Astronomy; Australian Research Council(Australian Research Council); Australian Antarctic Division; Chinese Polar Environment Comprehensive Investigation and Assessment Program</t>
  </si>
  <si>
    <t>R.J.O. and L.M.M. acknowledge support from the George P. and Cynthia Woods Mitchell Institute for Fundamental Physics and Astronomy and the Mitchell-Heep-Munnerlyn Endowed Career Enhancement Professorship in Physics or Astronomy. We thank the anonymous referee for the valuable comments on this manuscript which improved the quality of the paper.; The support of the Australian Research Council and the Australian Antarctic Division is acknowledged. Iridium communications were provided by the US National Science Foundation and the United States Antarctic Program.; The support of Chinese Polar Environment Comprehensive Investigation and Assessment Program is acknowledged.</t>
  </si>
  <si>
    <t>0004-6256</t>
  </si>
  <si>
    <t>1538-3881</t>
  </si>
  <si>
    <t>ASTRON J</t>
  </si>
  <si>
    <t>Astron. J.</t>
  </si>
  <si>
    <t>10.3847/0004-6256/151/6/166</t>
  </si>
  <si>
    <t>DO7VE</t>
  </si>
  <si>
    <t>WOS:000377990300033</t>
  </si>
  <si>
    <t>Riddick, SN; Blackall, TD; Dragosits, U; Daunt, F; Newell, M; Braban, CF; Tang, YS; Schmale, J; Hill, PW; Wanless, S; Trathan, P; Sutton, MA</t>
  </si>
  <si>
    <t>Riddick, S. N.; Blackall, T. D.; Dragosits, U.; Daunt, F.; Newell, M.; Braban, C. F.; Tang, Y. S.; Schmale, J.; Hill, P. W.; Wanless, S.; Trathan, P.; Sutton, M. A.</t>
  </si>
  <si>
    <t>Measurement of ammonia emissions from temperate and sub-polar seabird colonies</t>
  </si>
  <si>
    <t>Coastal nitrogen; Seabirds; Penguins; Temperate; Sub-polar; NH3 emissions; Atmospheric dispersion; Inverse modelling</t>
  </si>
  <si>
    <t>INVERSE-DISPERSION</t>
  </si>
  <si>
    <t>The chemical breakdown of marine derived reactive nitrogen transported to the land as seabird guano represents a significant source of ammonia (NH3) in areas far from other NH3 sources. Measurements made at tropical and temperate seabird colonies indicate substantial NH3 emissions, with emission rates larger than many anthropogenic point sources. However, several studies indicate that thermodynamic processes limit the amount of NH3 emitted from guano, suggesting that the percentage of guano volatilizing as NH3 may be considerably lower in colder climates. This study undertook high resolution temporal ammonia measurements in the field and coupled results with modelling to estimate NH3 emissions at a temperate puffin colony and two sub-polar penguin colonies (Signy Island, South Orkney Islands and Bird Island, South Georgia) during the breeding season. These emission rates are then compared with NH3 volatilization rates from other climates. Ammonia emissions were calculated using a Lagrangian atmospheric dispersion model, resulting in mean emissions of 5 mu g m(-2) s(-1) at the Isle of May, 12 mu g m(-2) s(-1) at Signy Island and 9 mu g m(-2) s(-1) at Bird Island. The estimated percentage of total guano nitrogen volatilized was 5% on the Isle of May, 3% on Signy and 2% on Bird Island. These values are much smaller than the percentage of guano nitrogen volatilized in tropical contexts (31-65%). The study confirmed temperature, wind speed and water availability have a significant influence on the magnitude of NH3 emissions, which has implications for reactive nitrogen in both modern remote regions and pre-industrial atmospheric composition and ecosystem interactions. (C) 2016 Published by Elsevier Ltd.</t>
  </si>
  <si>
    <t>[Riddick, S. N.; Dragosits, U.; Daunt, F.; Newell, M.; Braban, C. F.; Tang, Y. S.; Schmale, J.; Wanless, S.; Sutton, M. A.] Ctr Ecol &amp; Hydrol Edinburgh, Bush Estate, Edinburgh, Midlothian, Scotland; [Riddick, S. N.; Blackall, T. D.] Kings Coll London, London WC2R 2LS, England; [Riddick, S. N.] Cornell Univ, Ithaca, NY USA; [Riddick, S. N.] Princeton Univ, Princeton, NJ 08544 USA; [Schmale, J.] Paul Scherrer Inst, Villigen, Switzerland; [Hill, P. W.] Bangor Univ, Bangor, Gwynedd, Wales; [Trathan, P.] British Antarctic Survey, Cambridge CB3 0ET, England</t>
  </si>
  <si>
    <t>UK Centre for Ecology &amp; Hydrology (UKCEH); University of London; King's College London; Cornell University; Princeton University; Swiss Federal Institutes of Technology Domain; Paul Scherrer Institute; Bangor University; UK Research &amp; Innovation (UKRI); Natural Environment Research Council (NERC); NERC British Antarctic Survey</t>
  </si>
  <si>
    <t>Riddick, SN (corresponding author), Princeton Univ, Dept Civil &amp; Environm Engn, E324 Engn Quad, Princeton, NJ 08544 USA.</t>
  </si>
  <si>
    <t>sriddick@princeton.edu</t>
  </si>
  <si>
    <t>Sutton, Mark/K-2700-2012; Schmale, Julia/F-8851-2016; Dragosits, Ulrike/A-1842-2010; Braban, Christine Fiona/J-3225-2012; Schmale, Julia Yvonne/Q-3942-2019; Hill, Paul W/C-2944-2013</t>
  </si>
  <si>
    <t>Sutton, Mark/0000-0002-1342-2072; Schmale, Julia/0000-0002-1048-7962; Schmale, Julia Yvonne/0000-0002-1048-7962; Riddick, Stuart/0000-0003-1684-1843; Tang, Sim/0000-0002-7814-3998</t>
  </si>
  <si>
    <t>NERC CEH Integrating Fund; Center for Ecology Hydrology; King's College, London; BAS CGS; Natural Environment Research Council [bas0100035, ceh010010, NE/I012303/1] Funding Source: researchfish; NERC [NE/I012303/1, bas0100035] Funding Source: UKRI</t>
  </si>
  <si>
    <t>NERC CEH Integrating Fund; Center for Ecology Hydrology; King's College, London; BAS CGS; Natural Environment Research Council(UK Research &amp; Innovation (UKRI)Natural Environment Research Council (NERC)); NERC(UK Research &amp; Innovation (UKRI)Natural Environment Research Council (NERC))</t>
  </si>
  <si>
    <t>This work was supported by a grant from the NERC CEH Integrating Fund and jointly carried out between the Center for Ecology &amp; Hydrology and King's College, London. Thanks to D. Briggs of BAS on Signy for information on meteorology and nesting penguins, and the BAS Bird Island crew for their technical and physical support (BAS CGS grant). Thanks to the CEH seabird group and other researchers on the Isle of May, especially to M. Harris, T. Alampo and D. Pickett (the last two from Scottish National Heritage). Special thanks to A. Easton and C. Murray for transport to and from the Isle of May.</t>
  </si>
  <si>
    <t>10.1016/j.atmosenv.2016.03.016</t>
  </si>
  <si>
    <t>DL2ZO</t>
  </si>
  <si>
    <t>WOS:000375504100005</t>
  </si>
  <si>
    <t>McCallum, A</t>
  </si>
  <si>
    <t>McCallum, Adrian</t>
  </si>
  <si>
    <t>ON THE RELATIONSHIP BETWEEN CPT SLEEVE-FRICTION AND SNOW DENSITY</t>
  </si>
  <si>
    <t>AUSTRALIAN GEOMECHANICS JOURNAL</t>
  </si>
  <si>
    <t>Snow density profiles are usually determined gravimetrically; only recently have additional tools, such as the neutron probe allowed in situ assessment. However, rapid high-resolution in situ assessment of snow density is still not possible. Data from Cone Penetration Testing (CPT) in polar snow was compared both qualitatively and quantitatively with snow density data in order to examine relationships between CPT sleeve friction and density. A statistically significant relationship exists between snow density and depth-adjusted CPT sleeve-friction. Use of cone penetration test sleeve-friction data enables in situ density estimation to depths of up to 10 m in polar snow.</t>
  </si>
  <si>
    <t>[McCallum, Adrian] Univ Sunshine Coast, Sunshine Coast, Qld, Australia</t>
  </si>
  <si>
    <t>University of the Sunshine Coast</t>
  </si>
  <si>
    <t>McCallum, A (corresponding author), Univ Sunshine Coast, Sunshine Coast, Qld, Australia.</t>
  </si>
  <si>
    <t>McCallum, Adrian/K-5796-2019</t>
  </si>
  <si>
    <t>McCallum, Adrian/0000-0002-3718-614X</t>
  </si>
  <si>
    <t>Menzies Foundation</t>
  </si>
  <si>
    <t>This research was only possible due to the generous assistance of Lankelma and Gardline Geosciences and the British Antarctic Survey, both in Cambridge, UK and Halley Research Station, Antarctica. Financial support was received from the Menzies Foundation. The reviewer comments are also most appreciated.</t>
  </si>
  <si>
    <t>AUSTRALIAN GEOMECHANICS SOC</t>
  </si>
  <si>
    <t>ST IVES</t>
  </si>
  <si>
    <t>PO BOX 955, ST IVES, NSW 2075, AUSTRALIA</t>
  </si>
  <si>
    <t>0818-9110</t>
  </si>
  <si>
    <t>AUST GEOMECH J</t>
  </si>
  <si>
    <t>Aust. Geomech. J.</t>
  </si>
  <si>
    <t>Engineering, Geological</t>
  </si>
  <si>
    <t>VB9JV</t>
  </si>
  <si>
    <t>WOS:000423692200003</t>
  </si>
  <si>
    <t>Tancell, C; Sutherland, WJ; Phillips, RA</t>
  </si>
  <si>
    <t>Tancell, Claire; Sutherland, William J.; Phillips, Richard A.</t>
  </si>
  <si>
    <t>Marine spatial planning for the conservation of albatrosses and large petrels breeding at South Georgia</t>
  </si>
  <si>
    <t>Seabird; Albatross; Petrel; Marine; High-seas; Conservation</t>
  </si>
  <si>
    <t>PELAGIC LONGLINE FISHERIES; PROTECTED AREAS; SEABIRD BYCATCH; GILLNET FISHERIES; INCIDENTAL CATCH; RISK-ASSESSMENT; HIGH SEAS; IMPACT; MORTALITY; HOTSPOTS</t>
  </si>
  <si>
    <t>Tracking of seabirds at sea is valuable for marine spatial planning. Many seabirds are of conservation concern, including albatrosses and large petrels (Procellariiformes) which face a major threat from mortality in fisheries. We examine how important areas used by seven of these species breeding at South Georgia change throughout the year, based on tracking data collected between 1991 and 2012, and discuss the implications for spatial management in the region within the current jurisdictional framework. Foraging areas overlapped with a patchwork of national and international management organizations, and areas outside clear jurisdiction. National waters were generally unimportant, besides that of South Georgia. The other exception was Falkland Islands coastal waters, which were important for wandering albatrosses Diomedea exulans during incubation, and were opened for new oil and gas drilling in 2015. The marine protected area established at the South Orkney Islands protects very little habitat used by the tracked seabirds; however, a northern extension of this would benefit a number of species at different breeding stages. The area around South Georgia was important year-round, including in periods when fishing is allowed. A contiguous region to the north of this was also important and here, mechanisms should be improved to ensure compliance with bird bycatch mitigation recommendations. The study highlighted the use of tracking for identifying key areas for pelagic albatrosses and petrels, and the advantages of incorporating these data into a multilateral approach to marine spatial planning to ensure the future conservation of these highly-threatened marine predators. (C) 2016 Elsevier Ltd. All rights reserved.</t>
  </si>
  <si>
    <t>[Tancell, Claire; Sutherland, William J.] Univ Cambridge, Dept Zool, Conservat Sci Grp, Downing St, Cambridge CB2 3EJ, England; [Tancell, Claire; Phillips, Richard A.] British Antarctic Survey, Nat Environm Res Council, Madingley Rd, Cambridge CB3 0ET, England</t>
  </si>
  <si>
    <t>Tancell, C (corresponding author), Univ Cambridge, Dept Zool, Conservat Sci Grp, Downing St, Cambridge CB2 3EJ, England.;Tancell, C (corresponding author), British Antarctic Survey, Nat Environm Res Council, Madingley Rd, Cambridge CB3 0ET, England.</t>
  </si>
  <si>
    <t>claire.tancell@cantab.net</t>
  </si>
  <si>
    <t>Sutherland, William/B-1291-2013</t>
  </si>
  <si>
    <t>Tancell, Claire/0000-0002-4298-6192</t>
  </si>
  <si>
    <t>Natural Environment Research Council [NEB1208]; South Georgia Heritage Trust [SGHT MBD 003]; Prince Albert II Monaco Foundation (South Georgia Project) [612]; Arcadia; Natural Environment Research Council [bas0100035, bas0100025] Funding Source: researchfish; NERC [bas0100025, bas0100035] Funding Source: UKRI</t>
  </si>
  <si>
    <t>Natural Environment Research Council(UK Research &amp; Innovation (UKRI)Natural Environment Research Council (NERC)); South Georgia Heritage Trust; Prince Albert II Monaco Foundation (South Georgia Project); Arcadia; Natural Environment Research Council(UK Research &amp; Innovation (UKRI)Natural Environment Research Council (NERC)); NERC(UK Research &amp; Innovation (UKRI)Natural Environment Research Council (NERC))</t>
  </si>
  <si>
    <t>We are grateful to all those who have assisted with tracking studies in the field at Bird Island, particularly Charles Bishop, Paulo Catry, Isaac Forster, Hannah Froy, Akira Fukuda, Hiroyoshi Higuchi, Ewan Wakefield, Ben Phalan and Jose Xavier. We would also like to thank Andy Wood for curation of seabird tracking data at BAS and John Croxall for overseeing tracking studies at Bird Island for many years. This study represents a contribution to the Ecosystems component of the British Antarctic Survey Polar Science for Planet Earth Programme, funded by The Natural Environment Research Council (National capacity funding, project NEB1208). Thanks to the South Georgia Heritage Trust (SGHT MBD 003) and the Prince Albert II Monaco Foundation (South Georgia Project no 612) for funding this research. WJS is funded by Arcadia.</t>
  </si>
  <si>
    <t>10.1016/j.biocon.2016.03.020</t>
  </si>
  <si>
    <t>DO4EU</t>
  </si>
  <si>
    <t>WOS:000377735400019</t>
  </si>
  <si>
    <t>Mystikou, A; Asensi, AO; De Clerck, O; Müller, DG; Peters, AF; Tsiamis, K; Fletcher, KI; Westermeier, R; Brickle, P; van West, P; Küpper, FC</t>
  </si>
  <si>
    <t>Mystikou, Alexandra u; Asensi, Aldo O.; De Clerck, Olivier; Mueller, Dieter G.; Peters, Akira F.; Tsiamis, Konstantinos; Fletcher, Kyle I.; Westermeier, Renato; Brickle, Paul; van West, Pieter; Kuepper, Frithjof C.</t>
  </si>
  <si>
    <t>New records and observations of macroalgae and associated pathogens from the Falkland Islands, Patagonia and Tierra del Fuego</t>
  </si>
  <si>
    <t>Anisolpidium ectocarpii; COI; Falkland Islands; Patagonia; Phaeophyceae; Rhodophyta; Subantarctic seaweeds; Tierra del Fuego; Ulvophyceae</t>
  </si>
  <si>
    <t>LIFE-HISTORY; BROWN-ALGAE; EUKARYOTIC PATHOGENS; EURYCHASMA-DICKSONII; PHAEOPHYCEAE; ECTOCARPALES; ANISOLPIDIUM; DICTYOTALES; CULTURE; CLASSIFICATION</t>
  </si>
  <si>
    <t>Subantarctic and Antarctic regions remain little explored with regards to their seaweed diversity. This study is based upon collections in the early 1970s and 2007-2013. It is supported by sequencing COI (mitochondrial cytochrome oxidase I) and reports new records for four species of brown algae (Hincksia granulosa, Hincksia sandriana, Myriotrichia clavaeformis, Syringoderma australe), four red algae (Erythrotrichia carnea, Paraglossum salicifolium, Phycodrys antarctica, Plumariopsis eatonii), one green alga (Chaetomorpha aerea) and of the oomycete Anisolpidium ectocarpii. A further four brown algae are reported at genus level and discussed (Cladostephus sp., Colpomenia sp., Dictyota sp., Punctaria sp.). Observations of the biology of three brown algal taxa (Cladothele decaisnei, Geminocarpus geminatus, Halopteris obovata) from the region are also reported here.</t>
  </si>
  <si>
    <t>[Mystikou, Alexandra u; Fletcher, Kyle I.; Kuepper, Frithjof C.] Univ Aberdeen, Oceanlab, Main St, Newburgh AB41 6AA, Scotland; [Kuepper, Frithjof C.] Scottish Assoc Marine Sci, Dunstaffnage Marine Lab, Oban PA37 1QA, Argyll, Scotland; [Mystikou, Alexandra u; Fletcher, Kyle I.; van West, Pieter] Univ Aberdeen, Inst Med Sci, Aberdeen Oomycete Lab, Aberdeen AB25 2ZD, Scotland; [Mystikou, Alexandra u; Brickle, Paul] South Atlantic Environm Res Inst, POB 609, Stanley FIQQ 1ZZ, Falkland Island, England; [Asensi, Aldo O.] 15 Rue Lamblardie, F-75012 Paris, France; [De Clerck, Olivier] Univ Ghent, Phycol Res Grp, Krijgslaan 281,Bldg S8, B-9000 Ghent, Belgium; [De Clerck, Olivier] Univ Ghent, Ctr Mol Phylogenet &amp; Evolut, Krijgslaan 281,Bldg S8, B-9000 Ghent, Belgium; [Mueller, Dieter G.] Univ Konstanz, Dept Biol, D-78457 Constance, Germany; [Peters, Akira F.] Bezhin Rosko, 40 Rue Pecheurs, F-29250 Santec, Brittany, France; [Tsiamis, Konstantinos] HCMR, Inst Oceanog, Anavyssos 19013, Attica, Greece; [Westermeier, Renato] Univ Austral Chile, Inst Acuicultura, Sede Puerto Montt, Casilla 1327, Puerto Montt, Chile</t>
  </si>
  <si>
    <t>University of Aberdeen; UHI Millennium Institute; University of Aberdeen; Ghent University; Ghent University; University of Konstanz; Hellenic Centre for Marine Research; Universidad Austral de Chile</t>
  </si>
  <si>
    <t>Küpper, FC (corresponding author), Univ Aberdeen, Oceanlab, Main St, Newburgh AB41 6AA, Scotland.;Küpper, FC (corresponding author), Scottish Assoc Marine Sci, Dunstaffnage Marine Lab, Oban PA37 1QA, Argyll, Scotland.</t>
  </si>
  <si>
    <t>De Clerck, Olivier/AAU-4295-2020; De Clerck, Olivier/ABC-2683-2020; Fletcher, Kyle/AAN-8757-2021; De Clerck, Olivier/A-9083-2010; Tsiamis, Konstantinos/N-7480-2014</t>
  </si>
  <si>
    <t>De Clerck, Olivier/0000-0002-3699-8402; De Clerck, Olivier/0000-0002-3699-8402; Tsiamis, Konstantinos/0000-0003-1192-3516; Mystikou, Alexandra/0000-0002-7961-3015; Kuepper, Frithjof/0000-0003-1273-7109; van West, Pieter/0000-0002-0767-6017; Brickle, Paul/0000-0002-9870-3518</t>
  </si>
  <si>
    <t>Shackleton Fund of the Falkland Islands Government; UK Natural Environment Research Council [NE/D521522/1, 2025/WP 4.5, CGS-70]; School of Biological Sciences, University of Aberdeen; Falkland Islands Government; BBSRC; EU; Shallow Marine Surveys Group (SMSG) in the Falkland Islands; MASTS pooling initiative (The Marine Alliance for Science and Technology for Scotland); Scottish Funding Council [HR09011]; University of Aberdeen; BBSRC [BB/M026566/1] Funding Source: UKRI; NERC [NE/D521522/1] Funding Source: UKRI; Biotechnology and Biological Sciences Research Council [BB/M026566/1] Funding Source: researchfish; Natural Environment Research Council [NE/D521522/1] Funding Source: researchfish</t>
  </si>
  <si>
    <t>Shackleton Fund of the Falkland Islands Government; UK Natural Environment Research Council(UK Research &amp; Innovation (UKRI)Natural Environment Research Council (NERC)); School of Biological Sciences, University of Aberdeen(UK Research &amp; Innovation (UKRI)Biotechnology and Biological Sciences Research Council (BBSRC)); Falkland Islands Government; BBSRC(UK Research &amp; Innovation (UKRI)Biotechnology and Biological Sciences Research Council (BBSRC)); EU(European Union (EU)); Shallow Marine Surveys Group (SMSG) in the Falkland Islands; MASTS pooling initiative (The Marine Alliance for Science and Technology for Scotland); Scottish Funding Council; University of Aberdeen; BBSRC(UK Research &amp; Innovation (UKRI)Biotechnology and Biological Sciences Research Council (BBSRC)); NERC(UK Research &amp; Innovation (UKRI)Natural Environment Research Council (NERC)); Biotechnology and Biological Sciences Research Council(UK Research &amp; Innovation (UKRI)Biotechnology and Biological Sciences Research Council (BBSRC)); Natural Environment Research Council(UK Research &amp; Innovation (UKRI)Natural Environment Research Council (NERC))</t>
  </si>
  <si>
    <t>We are grateful to the Shackleton Fund of the Falkland Islands Government for funding two expeditions for AOA and FCK to the islands in 2010 2011 and 2013. We also acknowledge many years of funding support from the UK Natural Environment Research Council to FCK (grant NE/D521522/1, Oceans 2025/WP 4.5, British Antarctic Survey Collaborative Gearing Scheme grant CGS-70 and a travel grant from the International Opportunities Scheme of the Marine &amp; Freshwater Microbial Biodiversity Programme). AM received joint PhD funding from the School of Biological Sciences, University of Aberdeen, and the Falkland Islands Government. PvW received funding from the BBSRC, EU and the University of Aberdeen. Diving was supported by the Shallow Marine Surveys Group (SMSG) in the Falkland Islands, Carlos Giuggia (Ushuaia Divers) in Ushuaia, and David Patino (Universidad Austral de Chile) in Puerto Montt, respectively. We are also grateful for funding from the MASTS pooling initiative (The Marine Alliance for Science and Technology for Scotland). MASTS is funded by the Scottish Funding Council (grant reference HR09011) and contributing institutions. Finally, we would like to thank Robert T. Wilce (University of Massachusetts, Amherst, USA) for a critical revision of the original manuscript.</t>
  </si>
  <si>
    <t>10.1515/bot-2015-0071</t>
  </si>
  <si>
    <t>DO1OF</t>
  </si>
  <si>
    <t>WOS:000377547200003</t>
  </si>
  <si>
    <t>Uttal, T; Starkweather, S; Drummond, JR; Vihma, T; Makshtas, AP; Darby, LS; Burkhart, JF; Cox, CJ; Schmeisser, LN; Haiden, T; Maturilli, M; Shupe, MD; De Boer, G; Saha, A; Grachev, AA; Crepinsek, SM; Bruhwiler, L; Goodison, B; McArthur, B; Walden, VP; Dlugokencky, EJ; Persson, POG; Lesins, G; Laurila, T; Ogren, JA; Stone, R; Long, CN; Sharma, S; Massling, A; Turner, DD; Stanitski, DM; Asmi, E; Aurela, M; Skov, H; Eleftheriadis, K; Virkkula, A; Platt, A; Forland, EJ; Iijima, Y; Nielsen, IE; Bergin, MH; Candlish, L; Zimov, NS; Zimov, SA; O'Neill, NT; Fogal, PF; Kivi, R; Konopleva-Akish, EA; Verlinde, J; Kustov, VY; Vasel, B; Ivakhov, VM; Viisanen, Y; Intrieri, JM</t>
  </si>
  <si>
    <t>Uttal, Taneil; Starkweather, Sandra; Drummond, James R.; Vihma, Timo; Makshtas, Alexander P.; Darby, Lisa S.; Burkhart, John F.; Cox, Christopher J.; Schmeisser, Lauren N.; Haiden, Thomas; Maturilli, Marion; Shupe, Matthew D.; De Boer, Gijs; Saha, Auromeet; Grachev, Andrey A.; Crepinsek, Sara M.; Bruhwiler, Lori; Goodison, Barry; McArthur, Bruce; Walden, Von P.; Dlugokencky, Edward J.; Persson, P. Ola G.; Lesins, Glen; Laurila, Tuomas; Ogren, John A.; Stone, Robert; Long, Charles N.; Sharma, Sangeeta; Massling, Andreas; Turner, David D.; Stanitski, Diane M.; Asmi, Eija; Aurela, Mika; Skov, Henrik; Eleftheriadis, Konstantinos; Virkkula, Aki; Platt, Andrew; Forland, Eirik J.; Iijima, Yoshihiro; Nielsen, Ingeborg E.; Bergin, Michael H.; Candlish, Lauren; Zimov, Nikita S.; Zimov, Sergey A.; O'Neill, Norman T.; Fogal, Pierre F.; Kivi, Rigel; Konopleva-Akish, Elena A.; Verlinde, Johannes; Kustov, Vasily Y.; Vasel, Brian; Ivakhov, Viktor M.; Viisanen, Yrjoe; Intrieri, Janet M.</t>
  </si>
  <si>
    <t>International Arctic Systems for Observing the Atmosphere: An International Polar Year Legacy Consortium</t>
  </si>
  <si>
    <t>SEA-ICE; CLOUD PROPERTIES; CLIMATE SYSTEM; BLACK CARBON; SURFACE; POLLUTANTS; IMPACT; OZONE; OCEAN</t>
  </si>
  <si>
    <t>International Arctic Systems for Observing the Atmosphere (IASOA) activities and partnerships were initiated as a part of the 2007-09 International Polar Year (IPY) and are expected to continue for many decades as a legacy program. The IASOA focus is on coordinating intensive measurements of the Arctic atmosphere collected in the United States, Canada, Russia, Norway, Finland, and Greenland to create synthesis science that leads to an understanding of why and not just how the Arctic atmosphere is evolving. The IASOA premise is that there are limitations with Arctic modeling and satellite observations that can only be addressed with boots-on-the-ground, in situ observations and that the potential of combining individual station and network measurements into an integrated observing system is tremendous. The IASOA vision is that by further integrating with other network observing programs focusing on hydrology, glaciology, oceanography, terrestrial, and biological systems it will be possible to understand the mechanisms of the entire Arctic system, perhaps well enough for humans to mitigate undesirable variations and adapt to inevitable change.</t>
  </si>
  <si>
    <t>[Uttal, Taneil; Starkweather, Sandra; Darby, Lisa S.; Cox, Christopher J.; Schmeisser, Lauren N.; Shupe, Matthew D.; De Boer, Gijs; Grachev, Andrey A.; Crepinsek, Sara M.; Bruhwiler, Lori; Dlugokencky, Edward J.; Persson, P. Ola G.; Ogren, John A.; Long, Charles N.; Stanitski, Diane M.; Konopleva-Akish, Elena A.; Vasel, Brian; Intrieri, Janet M.] NOAA, Earth Syst Res Lab, 325 Broadway, Boulder, CO 80305 USA; [Starkweather, Sandra; Cox, Christopher J.; Schmeisser, Lauren N.; Shupe, Matthew D.; De Boer, Gijs; Grachev, Andrey A.; Crepinsek, Sara M.; Persson, P. Ola G.; Long, Charles N.] Univ Colorado, Cooperat Inst Res Environm Sci, Boulder, CO USA; [Drummond, James R.; Lesins, Glen] Dalhousie Univ, Dept Phys &amp; Atmospher Sci, Halifax, NS, Canada; [Vihma, Timo; Laurila, Tuomas; Asmi, Eija; Aurela, Mika; Virkkula, Aki; Kivi, Rigel; Viisanen, Yrjoe] Finnish Meteorol Inst, Helsinki, Finland; [Vihma, Timo; Laurila, Tuomas; Asmi, Eija; Aurela, Mika; Virkkula, Aki; Kivi, Rigel; Viisanen, Yrjoe] Finnish Meteorol Inst, Sodankyla, Finland; [Vihma, Timo] Univ Ctr Svalbard, Longyearbyen, Norway; [Makshtas, Alexander P.; Kustov, Vasily Y.] Arctic &amp; Antarctic Res Inst, Makshtas &amp; Kustustustov, St Petersburg, Russia; [Burkhart, John F.] Univ Oslo, Dept Geosci, Oslo, Norway; [Burkhart, John F.] Univ Calif Merced, Merced, CA USA; [Haiden, Thomas] European Ctr Medium Range Weather Forecasts, Reading, Berks, England; [Maturilli, Marion] Helmholtz Ctr Polar &amp; Marine Res, Alfred Wegener Inst, Potsdam, Germany; [Saha, Auromeet] Univ Sherbrooke, Le Ctr Applicat &amp; Rech Teledetect CARTEL, Sherbrooke, PQ, Canada; [Saha, Auromeet; Goodison, Barry; Sharma, Sangeeta; Platt, Andrew] Environm Canada, Downsview, ON, Canada; [McArthur, Bruce] Agr &amp; Agri Food Canada, Ottawa, ON, Canada; [Walden, Von P.] Washington State Univ, Dept Civil &amp; Environm Engn, Pullman, WA USA; [Stone, Robert] CIRES, Earth Syst Res Lab, Boulder, CO USA; [Massling, Andreas; Skov, Henrik; Nielsen, Ingeborg E.] Aarhus Univ, Dept Environm Sci, Roskilde, Denmark; [Massling, Andreas; Skov, Henrik; Nielsen, Ingeborg E.] Aarhus Univ, Arctic Res Ctr, Aarhus, Denmark; [Turner, David D.] NOAA, Natl Severe Storms Lab, Norman, OK 73069 USA; [Eleftheriadis, Konstantinos] Natl Ctr Sci Res Demokritos, Environm Radioact Lab, Inst Nucl &amp; Radiol Sci &amp; Technol Energy &amp; Safety, Athens, Greece; [Forland, Eirik J.] Norwegian Meteorol Inst, Oslo, Norway; [Iijima, Yoshihiro] Japan Agcy Marine Earth Sci &amp; Technol, Inst Climate &amp; Environm Res, Yokosuka, Kanagawa, Japan; [Bergin, Michael H.] Duke Univ, Civil &amp; Environm Engn, Durham, NC USA; [Candlish, Lauren] Univ Manitoba, Ctr Earth Observat Sci, Winnipeg, MB, Canada; [Zimov, Nikita S.; Zimov, Sergey A.] Russian Acad Sci, North East Sci Stn, Pacific Inst Geog, Republic Of Sakha, Yakutia, Russia; [O'Neill, Norman T.] Univ Sherbrooke, CARTEL, Sherbrooke, PQ, Canada; [Fogal, Pierre F.] Univ Toronto, Dept Phys, Toronto, ON, Canada; [Konopleva-Akish, Elena A.] Sci &amp; Technol Corp, Boulder, CO USA; [Verlinde, Johannes] Penn State Univ, Dept Meteorol, 503 Walker Bldg, University Pk, PA 16802 USA; [Ivakhov, Viktor M.] Main Geophys Observ, St Petersburg, Russia</t>
  </si>
  <si>
    <t>National Oceanic Atmospheric Admin (NOAA) - USA; University of Colorado System; University of Colorado Boulder; Dalhousie University; Finnish Meteorological Institute; Finnish Meteorological Institute; University Centre Svalbard (UNIS); Arctic &amp; Antarctic Research Institute; University of Oslo; University of California System; University of California Merced; European Centre for Medium-Range Weather Forecasts (ECMWF); Helmholtz Association; Alfred Wegener Institute, Helmholtz Centre for Polar &amp; Marine Research; University of Sherbrooke; Environment &amp; Climate Change Canada; Agriculture &amp; Agri Food Canada; Washington State University; University of Colorado System; University of Colorado Boulder; National Oceanic Atmospheric Admin (NOAA) - USA; Aarhus University; Aarhus University; National Oceanic Atmospheric Admin (NOAA) - USA; National Centre of Scientific Research Demokritos; Norwegian Meteorological Institute; Japan Agency for Marine-Earth Science &amp; Technology (JAMSTEC); Duke University; University of Manitoba; Pacific Geographical Institute of the Far Eastern Branch of the Russian Academy of Sciences; Russian Academy of Sciences; University of Sherbrooke; University of Toronto; Pennsylvania Commonwealth System of Higher Education (PCSHE); Pennsylvania State University; Pennsylvania State University - University Park</t>
  </si>
  <si>
    <t>Uttal, T (corresponding author), NOAA, Earth Syst Res Lab, 325 Broadway, Boulder, CO 80305 USA.</t>
  </si>
  <si>
    <t>taneil.uttal@noaa.gov</t>
  </si>
  <si>
    <t>Morris, Sara/JDW-3016-2023; Virkkula, Aki/B-8575-2014; Darby, Lisa/JCO-2723-2023; Fogal, Pierre F/D-8241-2017; Ivakhov, Viktor M/B-4333-2018; de Boer, Gijs/AAM-2613-2020; Vihma, Timo/ABC-9771-2020; Saha, A/C-7239-2009; Viisanen, Yrjö/CAG-3818-2022; GRACHEV, ANDREY/Y-6633-2019; Dlugokencky, Edward/AAN-8746-2020; Kustov, Vasilii Y./K-4576-2016; Zimov, Nikita/JCO-9342-2023; Burkhart, John/B-7095-2008; Burkhart, John/AAB-4744-2021; Cox, Christopher/O-4276-2016; Iijima, Yoshihiro/N-3237-2015; Intrieri, Janet/D-5608-2015; Darby, Lisa/A-8037-2009; Aurela, Mika/L-4724-2014; Zimov, Sergey/K-3009-2018; Ogren, John A/M-8255-2015; Zimov, Sergey/JCD-7517-2023; Bruhwiler, Lori/AAQ-8502-2020; de Boer, Gijs/F-3949-2011; Eleftheriadis, Konstantinos/G-2814-2011; /H-8351-2017; Maturilli, Marion/A-4344-2017; Turner, David/E-5180-2016; Stanitski, Diane/N-1668-2017; SHUPE, MATTHEW/F-8754-2011</t>
  </si>
  <si>
    <t>Morris, Sara/0000-0002-2698-1068; Virkkula, Aki/0000-0003-4874-7552; Ivakhov, Viktor M/0000-0003-4572-4734; de Boer, Gijs/0000-0003-4652-7150; Saha, A/0000-0002-0731-6193; Viisanen, Yrjö/0000-0002-9660-3281; GRACHEV, ANDREY/0000-0002-7143-0820; Dlugokencky, Edward/0000-0003-0612-6985; Zimov, Nikita/0000-0003-1577-1521; Burkhart, John/0000-0002-5587-1693; Burkhart, John/0000-0002-5587-1693; Cox, Christopher/0000-0003-2203-7173; Darby, Lisa/0000-0003-1271-0643; Aurela, Mika/0000-0002-4046-7225; Ogren, John A/0000-0002-7895-9583; Bruhwiler, Lori/0000-0002-3554-9250; de Boer, Gijs/0000-0003-4652-7150; Eleftheriadis, Konstantinos/0000-0003-2265-4905; Zimov, Sergey/0000-0002-0053-6599; Skov, Henrik/0000-0003-1167-8696; /0000-0002-9121-3110; Asmi, Eija/0000-0002-9226-2360; Candlish, Lauren/0000-0002-6136-6212; Maturilli, Marion/0000-0001-6818-7383; Turner, David/0000-0003-1097-897X; Stanitski, Diane/0000-0001-5745-2356; Massling, Andreas/0000-0001-8046-2798; SHUPE, MATTHEW/0000-0002-0973-9982</t>
  </si>
  <si>
    <t>National Oceanic and Atmospheric Administration (NOAA) Climate Program Office's Arctic Research Program; National Science Foundation [ARC-1107428, ARC-0904152, PLR-1314156, PLR-1203889, ARC 12-16489, PLR-1303879, PLR-1546002, PLR-1042531, ARC-0856773, PLR-1414314]; NOAA/Earth System Research Laboratory's Physical Sciences Division; NOAA/Earth System Research Laboratory's Global Monitoring Division; Academy of Finland [269095, 259537, 283101, 118615]; KONE Foundation [46-6817]; Magnus Ehrnooth Foundation; Government of Canada International Polar Year; Canadian Natural Sciences and Engineering Research Council; Canadian Foundation for Climate and Atmospheric Sciences; Ontario Innovation Trust; Ontario Research Fund; Indian and Northern Affairs Canada; Polar Continental Shelf Program; NSERC Collaborative Research and Training Experience-Training Program in Arctic Atmospheric Science; Canadian Foundation for Innovation; Environment Canada (EC) Climate Research Division/Atmospheric Science and Technology Branch; AEROCAN/AERONET program; Technology Directorate of Environment Canada; Canadian Space Agency; Roshydromet Arctic and Antarctic Research Institute; Roshydromet Main Geophysical Observatory; Russian Academy of Sciences Institute of Atmospheric Physics; Danish Environmental Protection Agency; Nordic Centre of Excellence (CRAICC); Royal Danish Air Force; Villum Foundation; U.S. Civilian Research and Development Foundation [RUG1-2976-ST-10]; NOAA/National Severe Storms Laboratory; Department of Energy Atmospheric System Research program [DE-SC0008830, DOE DE-SC0011918, DE-FG02-05ER64058, DE-SC0013306]; EU; Directorate For Geosciences; Office of Polar Programs (OPP) [1420932, 1042531, 1303879, 1314358, 1414314, 1314156] Funding Source: National Science Foundation; Directorate For Geosciences; Office of Polar Programs (OPP) [1546002, 1042410] Funding Source: National Science Foundation; Academy of Finland (AKA) [269095, 118615] Funding Source: Academy of Finland (AKA); Villum Fonden [00007236] Funding Source: researchfish; U.S. Department of Energy (DOE) [DE-SC0008830] Funding Source: U.S. Department of Energy (DOE)</t>
  </si>
  <si>
    <t>National Oceanic and Atmospheric Administration (NOAA) Climate Program Office's Arctic Research Program; National Science Foundation(National Science Foundation (NSF)); NOAA/Earth System Research Laboratory's Physical Sciences Division; NOAA/Earth System Research Laboratory's Global Monitoring Division; Academy of Finland(Research Council of Finland); KONE Foundation; Magnus Ehrnooth Foundation; Government of Canada International Polar Year; Canadian Natural Sciences and Engineering Research Council(Natural Sciences and Engineering Research Council of Canada (NSERC)); Canadian Foundation for Climate and Atmospheric Sciences; Ontario Innovation Trust; Ontario Research Fund; Indian and Northern Affairs Canada; Polar Continental Shelf Program; NSERC Collaborative Research and Training Experience-Training Program in Arctic Atmospheric Science; Canadian Foundation for Innovation(Canada Foundation for Innovation); Environment Canada (EC) Climate Research Division/Atmospheric Science and Technology Branch; AEROCAN/AERONET program; Technology Directorate of Environment Canada; Canadian Space Agency(Canadian Space Agency); Roshydromet Arctic and Antarctic Research Institute; Roshydromet Main Geophysical Observatory; Russian Academy of Sciences Institute of Atmospheric Physics; Danish Environmental Protection Agency; Nordic Centre of Excellence (CRAICC); Royal Danish Air Force; Villum Foundation(Villum Fonden); U.S. Civilian Research and Development Foundation; NOAA/National Severe Storms Laboratory(National Oceanic Atmospheric Admin (NOAA) - USA); Department of Energy Atmospheric System Research program; EU(European Union (EU)); Directorate For Geosciences; Office of Polar Programs (OPP)(National Science Foundation (NSF)NSF - Directorate for Geosciences (GEO)); Directorate For Geosciences; Office of Polar Programs (OPP)(National Science Foundation (NSF)NSF - Directorate for Geosciences (GEO)); Academy of Finland (AKA)(Research Council of Finland); Villum Fonden(Villum Fonden); U.S. Department of Energy (DOE)(United States Department of Energy (DOE))</t>
  </si>
  <si>
    <t>The support of the following agencies is acknowledged: the National Oceanic and Atmospheric Administration (NOAA) Climate Program Office's Arctic Research Program, the National Science Foundation (ARC-1107428, ARC-0904152, PLR-1314156, PLR-1203889, ARC 12-16489, PLR-1303879, PLR-1546002, PLR-1042531, ARC-0856773, and PLR-1414314), the NOAA/Earth System Research Laboratory's Physical Sciences Division and Global Monitoring Division, the Academy of Finland (269095, 259537, 283101, and 118615), the KONE Foundation (46-6817), a Magnus Ehrnooth Foundation grant for Natural climate feedbacks of aerosols in the Arctic, the Government of Canada International Polar Year, the Canadian Natural Sciences and Engineering Research Council, the Canadian Foundation for Climate and Atmospheric Sciences, the Ontario Innovation Trust, the Ontario Research Fund, Indian and Northern Affairs Canada, the Polar Continental Shelf Program, the NSERC Collaborative Research and Training Experience-Training Program in Arctic Atmospheric Science, the Canadian Foundation for Innovation, Environment Canada (EC) Climate Research Division/Atmospheric Science and Technology Branch and AEROCAN/AERONET program, Technology Directorate of Environment Canada, the Canadian Space Agency, the Roshydromet Arctic and Antarctic Research Institute, the Roshydromet Main Geophysical Observatory, the Russian Academy of Sciences Institute of Atmospheric Physics, the Danish Environmental Protection Agency, the Nordic Centre of Excellence (CRAICC), the Royal Danish Air Force, the Villum Foundation, the U.S. Civilian Research and Development Foundation (RUG1-2976-ST-10), the NOAA/National Severe Storms Laboratory, the Department of Energy Atmospheric System Research program (DE-SC0008830, DOE DE-SC0011918, DE-FG02-05ER64058, and DE-SC0013306), and EU programs FP6 and FP7. There are a number of individuals without whom the IASOA would have been impossible including John Calder, Artur Chilingarov, Simon Stephenson, Yuri Tsaturov, Alexander Bedritsky, Alexander Frolov, Kathy Crane, and Russell Schnell. This article is dedicated to the memory of Lisa LeBlanc, Alexander Reshetnikov, and John Lau Hansen.</t>
  </si>
  <si>
    <t>10.1175/BAMS-D-14-00145.1</t>
  </si>
  <si>
    <t>DS1HA</t>
  </si>
  <si>
    <t>WOS:000380345200013</t>
  </si>
  <si>
    <t>Stark, JS; Bridgen, P; Dunshea, G; Galton-Fenzi, B; Hunter, J; Johnstone, G; King, C; Leeming, R; Palmer, A; Smith, J; Snape, I; Stark, S; Riddle, M</t>
  </si>
  <si>
    <t>Stark, Jonathan S.; Bridgen, Phil; Dunshea, Glenn; Galton-Fenzi, Ben; Hunter, John; Johnstone, Glenn; King, Catherine; Leeming, Rhys; Palmer, Anne; Smith, James; Snape, Ian; Stark, Scott; Riddle, Martin</t>
  </si>
  <si>
    <t>Dispersal and dilution of wastewater from an ocean outfall at Davis Station, Antarctica, and resulting environmental contamination</t>
  </si>
  <si>
    <t>Sewage; Metals; PBDE; Microbial; Coastal currents; Hydrocarbons</t>
  </si>
  <si>
    <t>SOFT-SEDIMENT ASSEMBLAGES; KING GEORGE ISLAND; MARINE-SEDIMENTS; MCMURDO-STATION; CASEY-STATION; CLOSTRIDIUM-PERFRINGENS; PETROLEUM HYDROCARBON; MULTIVARIATE-ANALYSIS; METAL CONTAMINATION; ORGANIC ENRICHMENT</t>
  </si>
  <si>
    <t>The Antarctic Treaty permits the discharge of wastewater into Antarctic marine waters providing that conditions exist for initial dilution and rapid dispersal. We investigated the dilution and dispersal of macerated wastewater around Australia's Davis Station in East Antarctica and examined sediments for evidence of contaminants. Methods used to examine hydrodynamic conditions included current meters, dye release experiments and measurement of sewage-associated microbial markers and surfactants in the water column. We measured marine sediments for metals, nutrients, PBDEs, hydrocarbons and faecal sterols. We propose that if there is adequate dilution and dispersal there would be no significant difference in contaminant concentrations in sediments around the outfall compared to distant control sites. Currents were strongly correlated with prevailing wind conditions. Modelling indicated that diffusivity of wastewater had the greatest effect on dilution factors and that neither discharge rates nor local currents had as much effect. During summer conditions of open water, wastewater is likely to be constrained in a narrow plume close to the coast. Concentrations of sewage bacteria were high around the outfall and detected up to 1.5 km away, along with dye. There were significant differences in sediment concentrations of metals, PBDEs, hydrocarbons, nutrients and faecal sterols between sites within 2 km of the outfall and control sites. We conclude that dilution and dispersal conditions at the Davis outfall are insufficient to prevent the accumulation of contaminants in local sediments and that microbial hazards posed by wastewater are an environmental risk to local wildlife. (C) 2016 Elsevier Ltd. All rights reserved.</t>
  </si>
  <si>
    <t>[Stark, Jonathan S.; Dunshea, Glenn; Johnstone, Glenn; King, Catherine; Palmer, Anne; Snape, Ian; Stark, Scott; Riddle, Martin] Australian Antarctic Div, Antarctic Conservat &amp; Management Theme, Channel Highway, Kingston, Tas 7050, Australia; [Bridgen, Phil] AsureQuality, 1C Quadrant Dr, Lower Hutt 50106, New Zealand; [Galton-Fenzi, Ben; Hunter, John] ACE CRC, Private Bag 80, Hobart, Tas 7001, Australia; [Leeming, Rhys] CSIRO Marine &amp; Atmospher Res, Hobart, Tas 7000, Australia; [Smith, James] Queensland Univ Technol, Fac Sci &amp; Engn, Sch Earth Environm &amp; Biol Sci, Brisbane, Qld 4001, Australia; [Dunshea, Glenn] Ecol Marine Serv, POB 197, Fremantle, WA 6959, Australia; [Smith, James] JJSC 84 E Fieldview Circle, Bozeman, MT 59715 USA</t>
  </si>
  <si>
    <t>Australian Antarctic Division; Antarctic Climate &amp; Ecosystems Cooperative Research Centre (ACE CRC); Commonwealth Scientific &amp; Industrial Research Organisation (CSIRO); Queensland University of Technology (QUT)</t>
  </si>
  <si>
    <t>Stark, JS (corresponding author), Australian Antarctic Div, Antarctic Conservat &amp; Management Theme, Channel Highway, Kingston, Tas 7050, Australia.</t>
  </si>
  <si>
    <t>jonny.stark@aad.gov.au</t>
  </si>
  <si>
    <t>Stark, Jonathan/ABF-4025-2020; King, Catherine K/G-7059-2017</t>
  </si>
  <si>
    <t>Stark, Jonathan/0000-0002-4268-8072; King, Catherine K/0000-0003-3356-0381; Galton-Fenzi, Benjamin Keith/0000-0003-1404-4103; Smith, James/0000-0001-9687-3022; Johnstone, Glenn/0000-0002-9302-4794; Dunshea, Glenn/0000-0002-8683-0181</t>
  </si>
  <si>
    <t>Australian Antarctic Division [AAS 4180]</t>
  </si>
  <si>
    <t>Australian Antarctic Division</t>
  </si>
  <si>
    <t>This project was made possible by the contributions of the following people: Helena Baird, Peter Barnes, Damon Bolton, Kathryn Brown, Andrew Cawthorn, Ben Coombe, Chris Gillies, Damian Gore, Roger Handsworth, Melanie Ho, Greg Hince, Teresa O'Leary, Ewan McIvor, Michael Packer, Mark Pekin, Michelle Power, Simon Reeves, Bianca Sfiligoj, Kate Stark, Aaron Spur, Michelle Thums, Patti Virtue, Lauren Wise, Ellen Woolfenden, Mike Woolridge. This study was funded by the Australian Antarctic Division (AAS 4180).</t>
  </si>
  <si>
    <t>10.1016/j.chemosphere.2016.02.053</t>
  </si>
  <si>
    <t>DK0QF</t>
  </si>
  <si>
    <t>WOS:000374616600018</t>
  </si>
  <si>
    <t>Enciso, P; Cerdá, MF</t>
  </si>
  <si>
    <t>Enciso, Paula; Fernanda Cerda, Maria</t>
  </si>
  <si>
    <t>Solar cells based on the use of photosensitizers obtained from Antarctic red algae</t>
  </si>
  <si>
    <t>COLD REGIONS SCIENCE AND TECHNOLOGY</t>
  </si>
  <si>
    <t>DSSC; Antarctic red algae; Electrochemical impedance spectroscopy; Photosensitizers</t>
  </si>
  <si>
    <t>CHLOROPHYLL-A; PHYCOCYANIN; EXTRACTS; PIGMENT</t>
  </si>
  <si>
    <t>Dye sensitized solar cells assembled using red dyes extracted from Antarctic algae were evaluated. Among all collected algae, the best performances were showed with samples coming from Plocamium hookeri, Delesseria lancifolia and Iridaea obovata. Cells were evaluated using conventional electrochemical techniques and electrochemical impedance spectroscopy. The measured conversion efficiency was lower than 0.04%, using solar simulator with a power of 1 sun, 1.5 AM. (C) 2016 Elsevier B.V. All rights reserved.</t>
  </si>
  <si>
    <t>[Enciso, Paula; Fernanda Cerda, Maria] Univ Republica, Fac Ciencias, Lab Biomat, Igua 4225, Montevideo 11400, Uruguay</t>
  </si>
  <si>
    <t>Universidad de la Republica, Uruguay</t>
  </si>
  <si>
    <t>Cerdá, MF (corresponding author), Univ Republica, Fac Ciencias, Lab Biomat, Igua 4225, Montevideo 11400, Uruguay.</t>
  </si>
  <si>
    <t>fcerda@fcien.edu.uy</t>
  </si>
  <si>
    <t>Cerda, Maria Fernanda/0000-0002-9049-2728</t>
  </si>
  <si>
    <t>CAP-UdelaR grant</t>
  </si>
  <si>
    <t>MFC is a PEDECIBA and ANII researcher. PE is a PEDECIBA student and has a CAP-UdelaR grant. Authors would like to thank the Instituto Antartico Uruguayo, Cap. (Nav.) Ernesto Carrero, Sdo. 1 degrees Cesar Arias and Cbo 1 degrees Alvaro Fleitas.</t>
  </si>
  <si>
    <t>0165-232X</t>
  </si>
  <si>
    <t>1872-7441</t>
  </si>
  <si>
    <t>COLD REG SCI TECHNOL</t>
  </si>
  <si>
    <t>Cold Reg. Sci. Tech.</t>
  </si>
  <si>
    <t>10.1016/j.coldregions.2016.04.002</t>
  </si>
  <si>
    <t>Engineering, Environmental; Engineering, Civil; Geosciences, Multidisciplinary</t>
  </si>
  <si>
    <t>DK5WR</t>
  </si>
  <si>
    <t>WOS:000374992400007</t>
  </si>
  <si>
    <t>Chen, QS; Ringler, T; Gent, PR</t>
  </si>
  <si>
    <t>Chen, Qingshan; Ringler, Todd; Gent, Peter R.</t>
  </si>
  <si>
    <t>Extending a potential vorticity transport eddy closure to include a spatially-varying coefficient</t>
  </si>
  <si>
    <t>COMPUTERS &amp; MATHEMATICS WITH APPLICATIONS</t>
  </si>
  <si>
    <t>Conference on Advances in Scientific Computing and Applied Mathematics</t>
  </si>
  <si>
    <t>OCT 09-12, 2015</t>
  </si>
  <si>
    <t>Las Vegas, NV</t>
  </si>
  <si>
    <t>Antarctic Circumpolar Current; Mesoscale eddy parametrization; Gent McWilliams closure; Potential vorticity homogenization; Spatially-varying diffusivities</t>
  </si>
  <si>
    <t>OCEAN CIRCULATION; GEOSTROPHIC EDDIES; TRACER TRANSPORTS; PARAMETERIZATION; FLUX</t>
  </si>
  <si>
    <t>The use of spatially varying eddy diffusivities is explored with the extended Gent McWilliams (eGM) closure for both passive tracers and potential vorticity (PV). Numerical experiments are conducted with a wind-forced isopycnal channel model. It is shown that, the eGM closure with eddy diffusivities derived from a high-resolution reference solution produces the best results compared to the reference solution in terms of the thickness, PV profiles and volume fluxes. The use of spatially varying eddy diffusivities also removes the unphysical reverse jets near the channel walls shown by the eGM with constant eddy diffusivities. (C) 2016 Elsevier Ltd. All rights reserved.</t>
  </si>
  <si>
    <t>[Chen, Qingshan] Clemson Univ, Dept Math Sci, Clemson, SC 29634 USA; [Ringler, Todd] Los Alamos Natl Lab, Los Alamos, NM 87501 USA; [Gent, Peter R.] Natl Ctr Atmospher Res, POB 3000, Boulder, CO 80307 USA</t>
  </si>
  <si>
    <t>Clemson University; United States Department of Energy (DOE); Los Alamos National Laboratory; National Center Atmospheric Research (NCAR) - USA</t>
  </si>
  <si>
    <t>Chen, QS (corresponding author), Clemson Univ, Dept Math Sci, Clemson, SC 29634 USA.</t>
  </si>
  <si>
    <t>qsc@clemson.edu</t>
  </si>
  <si>
    <t>Gent, Peter/HGB-9457-2022</t>
  </si>
  <si>
    <t>Chen, Qingshan/0000-0003-4076-2627</t>
  </si>
  <si>
    <t>0898-1221</t>
  </si>
  <si>
    <t>1873-7668</t>
  </si>
  <si>
    <t>COMPUT MATH APPL</t>
  </si>
  <si>
    <t>Comput. Math. Appl.</t>
  </si>
  <si>
    <t>10.1016/j.camwa.2015.12.041</t>
  </si>
  <si>
    <t>DO5OG</t>
  </si>
  <si>
    <t>WOS:000377831800006</t>
  </si>
  <si>
    <t>Bax, NJ; Cleary, J; Donnelly, B; Dunn, DC; Dunstan, PK; Fuller, M; Halpin, PN</t>
  </si>
  <si>
    <t>Bax, Nicholas J.; Cleary, Jesse; Donnelly, Ben; Dunn, Daniel C.; Dunstan, Piers K.; Fuller, Mike; Halpin, Patrick N.</t>
  </si>
  <si>
    <t>Results of efforts by the Convention on Biological Diversity to describe ecologically or biologically significant marine areas</t>
  </si>
  <si>
    <t>CONSERVATION BIOLOGY</t>
  </si>
  <si>
    <t>area-based management; areas beyond national jurisdiction; biodiversity; Convention on Biological Diversity; EBSA</t>
  </si>
  <si>
    <t>CONSERVATION; BIODIVERSITY; ECOSYSTEMS; TRENDS; FISH</t>
  </si>
  <si>
    <t>In 2004, Parties to the Convention on Biological Diversity (CBD) addressed a United Nations (UN) call for area-based planning, including for marine-protected areas that resulted in a global effort to describe ecologically or biologically significant marine areas (EBSAs). We summarized the results, assessed their consistency, and evaluated the process developed by the Secretariat of the CBD to engage countries and experts in 9 regional workshops held from 2011 to 2014. Experts from 92 countries and 79 regional or international bodies participated. They considered 250 million km(2) of the world's ocean area (two-thirds of the total). The 204 areas they examined in detail differed widely in area (from 5.5 km(2) to 11.1 million km(2)). Despite the initial focus of the CBD process on areas outside national jurisdiction, only 31 of the areas examined were solely outside national jurisdiction. Thirty-five extended into national jurisdictions, 137 were solely within national jurisdictions, and 28 included the jurisdictions of more than 1 country (1 area lacked precise boundaries). Data were sufficient to rank 88-99% of the areas relative to each of the 7 criteria for EBSAs agreed to previously by Parties to the CBD. The naturalness criterion ranked high for a smaller percentage of the EBSAs (31%) than other criteria (51-70%), indicating the difficulty in finding relatively undisturbed areas in the ocean. The highly participatory nature of the workshops, including easy and consistent access to the relevant information facilitated by 2 technical teams, contributed to the workshop participants success in identifying areas that could be ranked relative to most criteria and areas that extend across jurisdictional boundaries. The formal recognition of workshop results by the Conference of Parties to the CBD resulted in these 204 areas being identified as EBSAs by the 196 Parties. They represent the only suite of marine areas recognized by the international community for their greater importance for biodiversity it is their importance for biodiversity itself not conservation as process explicitly excluded management issues than their surroundings. This comes at a critical juncture in negotiations at the UN that will consider developing a new implementation agreement under UN Convention of the Law of the Sea to support the conservation and sustainable use of marine biological diversity beyond areas of national jurisdiction. The EBSA description process is a good example of how to bring the international community together to build a shared understanding of which ocean areas are particularly valuable to biodiversity.</t>
  </si>
  <si>
    <t>[Bax, Nicholas J.; Dunstan, Piers K.; Fuller, Mike] CSIRO Oceans &amp; Atmosphere Flagship, Hobart, Tas 7001, Australia; [Bax, Nicholas J.] Univ Tasmania, Inst Marine &amp; Antarctic Studies, Hobart, Tas 7001, Australia; [Cleary, Jesse; Donnelly, Ben; Dunn, Daniel C.; Halpin, Patrick N.] Duke Univ, Marine Geospatial Ecol Lab, Durham, NC 27708 USA</t>
  </si>
  <si>
    <t>Commonwealth Scientific &amp; Industrial Research Organisation (CSIRO); University of Tasmania; Duke University</t>
  </si>
  <si>
    <t>Bax, NJ (corresponding author), CSIRO Oceans &amp; Atmosphere Flagship, Hobart, Tas 7001, Australia.;Bax, NJ (corresponding author), Univ Tasmania, Inst Marine &amp; Antarctic Studies, Hobart, Tas 7001, Australia.</t>
  </si>
  <si>
    <t>nic.bax@csiro.au</t>
  </si>
  <si>
    <t>Dunstan, Piers/B-7309-2016; Bax, Nicholas/A-2321-2012</t>
  </si>
  <si>
    <t>Dunstan, Piers/0000-0002-2568-5945; Bax, Nicholas/0000-0002-9697-4963; Dunn, Daniel/0000-0001-8932-0681</t>
  </si>
  <si>
    <t>Japan Biodiversity Fund; European Commission; UNEP/MAP; Australian Government's National Environment Science Program, Marine Biodiversity Hub; Lenfest Foundation as part of the Pelagic Conservation in the Open Ocean Grant; NF-UBC Nereus Program</t>
  </si>
  <si>
    <t>Japan Biodiversity Fund; European Commission(European Union (EU)European Commission Joint Research Centre); UNEP/MAP; Australian Government's National Environment Science Program, Marine Biodiversity Hub(Australian Government); Lenfest Foundation as part of the Pelagic Conservation in the Open Ocean Grant; NF-UBC Nereus Program</t>
  </si>
  <si>
    <t>We thank the many workshop participants for their diverse contributions and enduring participation. We thank the CBD Secretariat, regional collaborators, and hosting countries for their tireless efforts in organizing and contributing to the workshops. Funding support for organizing the CBD regional workshops was provided by the governments of Japan (through Japan Biodiversity Fund), Brazil, Canada, Finland, Spain, Monaco, Norway, the United Kingdom of Great Britain and Northern Ireland, the European Commission, and UNEP/MAP. Scientific preparation for the workshops was financially supported by the governments of Australia, Canada, Finland, Germany, and the European Commission. N.B. and P.D. were supported by the Australian Government's National Environment Science Program, Marine Biodiversity Hub. D.D., J.C., B.D., and P.H. gratefully acknowledge primary support from the Lenfest Foundation as part of the Pelagic Conservation in the Open Ocean Grant. D.D. was also supported by the NF-UBC Nereus Program.</t>
  </si>
  <si>
    <t>0888-8892</t>
  </si>
  <si>
    <t>1523-1739</t>
  </si>
  <si>
    <t>CONSERV BIOL</t>
  </si>
  <si>
    <t>Conserv. Biol.</t>
  </si>
  <si>
    <t>10.1111/cobi.12649</t>
  </si>
  <si>
    <t>DR5LX</t>
  </si>
  <si>
    <t>hybrid, Green Accepted, Green Published</t>
  </si>
  <si>
    <t>WOS:000379945600014</t>
  </si>
  <si>
    <t>Prave, AR; Bates, CR; Donaldson, CH; Toland, H; Condon, DJ; Mark, D; Raub, TD</t>
  </si>
  <si>
    <t>Prave, A. R.; Bates, C. R.; Donaldson, C. H.; Toland, H.; Condon, D. J.; Mark, D.; Raub, T. D.</t>
  </si>
  <si>
    <t>Geology and geochronology of the Tana Basin, Ethiopia: LIP volcanism, super eruptions and Eocene-Oligocene environmental change</t>
  </si>
  <si>
    <t>LIP; Eocene-Oligocene transition; Lake Tana; flood basalt; super eruption</t>
  </si>
  <si>
    <t>LARGE IGNEOUS PROVINCES; ANTARCTIC GLACIATION; MASS EXTINCTION; FLOOD VOLCANISM; LAKE TANA; DURATION; CALIBRATION; BASALTS; ONSET</t>
  </si>
  <si>
    <t>New geological and geochronological data define four episodes of volcanism for the Lake Tana region in the northern Ethiopian portion of the Afro-Arabian Large Igneous Province (LIP): pre-31 Ma flood basalt that yielded a single 40Ar/39Ar age of 34.05 +/- 0.54/0.56 Ma; thick and extensive felsic ignimbrites and rhyolites (minimum volume of 2-3 x 10(3) km(3)) erupted between 31.108 +/- 0.020/0.041 Ma and 30.844 +/- 0.027/0.046 Ma (U-Pb CA-ID-TIMS zircon ages); mafic volcanism bracketed by 40Ar/39Ar ages of 28.90 +/- 0.12/0.14 Ma and 23.75 +/- 0.02/0.04 Ma; and localised scoraceous basalt with an 40Ar/39Ar age of 0.033 +/- 0.005/0.005 Ma. The felsic volcanism was the product of super eruptions that created a 60-80 km diameter caldera marked by km-scale caldera-collapse fault blocks and a steep-sided basin filled with a minimum of 180 m of sediment and the present-day Lake Tana. These new data enable mapping, with a finer resolution than previously possible, Afro-Arabian LIP volcanism onto the timeline of the Eocene-Oligocene transition and show that neither the mafic nor silicic volcanism coincides directly with perturbations in the geochemical records that span that transition. Our results reinforce the view that it is not the development of a LIP alone but its rate of effusion that contributes to inducing global-scale environmental change. (C) 2016 Elsevier B.V. All rights reserved.</t>
  </si>
  <si>
    <t>[Prave, A. R.; Bates, C. R.; Donaldson, C. H.; Raub, T. D.] Univ St Andrews, Dept Earth &amp; Environm Sci, St Andrews KY16 9AL, Fife, Scotland; [Toland, H.] Aberystwyth Univ, Dept Geog &amp; Earth Sci, Aberystwyth SY23 3DB, Dyfed, Wales; [Condon, D. J.] British Geol Survey, NERC Isotope Geosci Lab, Keyworth NG12 5GG, Notts, England; [Mark, D.] Scottish Univ, Isotope Geosci Unit, Environm Res Ctr, E Kilbride G75 0QF, Lanark, Scotland</t>
  </si>
  <si>
    <t>University of St Andrews; Aberystwyth University; UK Research &amp; Innovation (UKRI); Natural Environment Research Council (NERC); NERC British Geological Survey; Scottish Universities Research &amp; Reactor Center</t>
  </si>
  <si>
    <t>Prave, AR (corresponding author), Univ St Andrews, Dept Earth &amp; Environm Sci, St Andrews KY16 9AL, Fife, Scotland.</t>
  </si>
  <si>
    <t>ap13@st-andrews.ac.uk</t>
  </si>
  <si>
    <t>Condon, Daniel/A-4249-2008</t>
  </si>
  <si>
    <t>Condon, Daniel/0000-0002-9082-3283; Raub, Timothy/0000-0002-7471-0246; Lamb, Henry Francis/0000-0003-0025-0766</t>
  </si>
  <si>
    <t>NERC [NE/D012996/1, NER/B/S/2002/00540]; NIGFSC [IP/1024/0508]; Natural Environment Research Council [1228699, NE/D011604/1, NE/D012996/1, NE/F003056/1, nigl010001] Funding Source: researchfish; NERC [NE/D011604/1, nigl010001, NE/F003056/1, NE/D012996/1] Funding Source: UKRI</t>
  </si>
  <si>
    <t>NERC(UK Research &amp; Innovation (UKRI)Natural Environment Research Council (NERC)); NIGFSC; Natural Environment Research Council(UK Research &amp; Innovation (UKRI)Natural Environment Research Council (NERC)); NERC(UK Research &amp; Innovation (UKRI)Natural Environment Research Council (NERC))</t>
  </si>
  <si>
    <t>We thank the University of Addis Ababa and H. Dibabe and the late Prof. M. Umer for logistical support, and Prof. H. Lamb and D. Clewley, University of Aberystwyth, and D. Herd, A. Calder and A. Mackie, University of St. Andrews, for assistance. Dr. N. Atkinson at the NERC Isotope Geosciences Laboratory performed the U-Pb dating analyses. This work was supported by NERC Grants NE/D012996/1 and NER/B/S/2002/00540 and NIGFSC IP/1024/0508. Three anonymous reviewers helped improve this manuscript.</t>
  </si>
  <si>
    <t>10.1016/j.epsl.2016.03.009</t>
  </si>
  <si>
    <t>DL3BI</t>
  </si>
  <si>
    <t>WOS:000375508800001</t>
  </si>
  <si>
    <t>Hughes, KA; López-Martínez, J; Francis, JE; Crame, JA; Carcavilla, L; Shiraishi, K; Hokada, T; Yamaguchi, A</t>
  </si>
  <si>
    <t>Hughes, Kevin A.; Lopez-Martinez, Jeronimo; Francis, Jane E.; Crame, J. Alistair; Carcavilla, Luis; Shiraishi, Kazuyuki; Hokada, Tomokazu; Yamaguchi, Akira</t>
  </si>
  <si>
    <t>Antarctic geoconservation: a review of current systems and practices</t>
  </si>
  <si>
    <t>ENVIRONMENTAL CONSERVATION</t>
  </si>
  <si>
    <t>Antarctic Specially Protected Area; environmental impact assessment; fossils; geoconservation; geodiversity; geological collections; geological conservation; legislation; minerals; monitoring</t>
  </si>
  <si>
    <t>GEODIVERSITY; MORAINES; ORIGIN</t>
  </si>
  <si>
    <t>The prohibition of commercial mineral resource extraction through the Antarctic Treaty System has removed one significant source of potential damage to Antarctica's geological and geomorphological values. However, given the on-going increase in Antarctic tourism and scientific footprint, some high-quality geological features may be vulnerable to human impact, such as damage due to the construction of logistical facilities, unregulated collection of geological specimens or oversampling for scientific purposes. The Protocol on Environmental Protection to the Antarctic Treaty puts in place a framework for the protection of Antarctica's environmental, scientific, historic, wilderness and aesthetic values. However, the Antarctic Protected Area system is still immature and further implementation of existing management tools may be required to protect the diverse range of vulnerabilities, qualities and spatial scales represented in the geology and geomorphology of the continent. At sites where high-quality mineralogical or palaeontological specimens exist in limited quantities, considerations of how best to prevent oversampling and manage access to remaining material may be supported by assessment of cumulative impacts. Examination of the level of Antarctic specimen loans from a selection of national geological collections suggested that existing publically accessible geological collections could be better utilized, which could reduce environmental impact and oversampling at vulnerable Antarctic sites.</t>
  </si>
  <si>
    <t>[Hughes, Kevin A.; Francis, Jane E.; Crame, J. Alistair] British Antarctic Survey, Nat Environm Res Council, Madingley Rd, Cambridge CB3 0ET, England; [Lopez-Martinez, Jeronimo] Univ Autonoma Madrid, Fac Ciencias, Dept Geol &amp; Geoquim, E-28049 Madrid, Spain; [Carcavilla, Luis] Geol Survey Spain, Rios Rosas 23, Madrid 28003, Spain; [Shiraishi, Kazuyuki; Hokada, Tomokazu; Yamaguchi, Akira] NIPR, 10-3 Midori Cho, Tachikawa, Tokyo 1908518, Japan; [Shiraishi, Kazuyuki; Hokada, Tomokazu; Yamaguchi, Akira] SOKENDAI, 10-3 Midori Cho, Tachikawa, Tokyo 1908518, Japan</t>
  </si>
  <si>
    <t>UK Research &amp; Innovation (UKRI); Natural Environment Research Council (NERC); NERC British Antarctic Survey; Autonomous University of Madrid; Research Organization of Information &amp; Systems (ROIS); National Institute of Polar Research (NIPR) - Japan</t>
  </si>
  <si>
    <t>Hughes, KA (corresponding author), British Antarctic Survey, Nat Environm Res Council, Madingley Rd, Cambridge CB3 0ET, England.</t>
  </si>
  <si>
    <t>Hokada, Tomokazu/AAC-7847-2019; Hughes, Kevin/JVZ-0793-2024; Yamaguchi, Akinobu/E-4265-2016; Lopez-Martinez, Jeronimo/C-5744-2011; carcavilla, luis/L-3301-2014</t>
  </si>
  <si>
    <t>Lopez-Martinez, Jeronimo/0000-0002-1750-8287; carcavilla, luis/0000-0003-0299-9818</t>
  </si>
  <si>
    <t>Spanish RD National Plan [CTM2014-57119-R]; Natural Environment Research Council [bas0100036, bas010011] Funding Source: researchfish; NERC [bas010011, bas0100036] Funding Source: UKRI; Grants-in-Aid for Scientific Research [25287132, 25302008, 25400518] Funding Source: KAKEN</t>
  </si>
  <si>
    <t>Spanish RD National Plan(Spanish Government);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</si>
  <si>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paper contributes to the British Antarctic Survey Polar Science for Planet Earth (PSPE) Biodiversity, Evolution and Adaptation (BEA) programme and the Environment Office Long Term Monitoring and Survey (EO-LTMS) project, and to the project CTM2014-57119-R of the Spanish R&amp;D National Plan. Oliva Martin-Sanchez is thanked for map preparation, and Alexander Tate and Hilary Blagbrough for providing information on the BAS Geological Collection. We also thank three anonymous reviewers for their insightful comments.</t>
  </si>
  <si>
    <t>0376-8929</t>
  </si>
  <si>
    <t>1469-4387</t>
  </si>
  <si>
    <t>ENVIRON CONSERV</t>
  </si>
  <si>
    <t>Environ. Conserv.</t>
  </si>
  <si>
    <t>10.1017/S0376892915000387</t>
  </si>
  <si>
    <t>Biodiversity Conservation; Environmental Sciences</t>
  </si>
  <si>
    <t>DM0LN</t>
  </si>
  <si>
    <t>WOS:000376036400001</t>
  </si>
  <si>
    <t>Ferrari, BC; Bissett, A; Snape, I; van Dorst, J; Palmer, AS; Ji, MK; Siciliano, SD; Stark, JS; Winsley, T; Brown, MV</t>
  </si>
  <si>
    <t>Ferrari, Belinda C.; Bissett, Andrew; Snape, Ian; van Dorst, Josie; Palmer, Anne S.; Ji, Mukan; Siciliano, Steven D.; Stark, Jonathon S.; Winsley, Tristrom; Brown, Mark V.</t>
  </si>
  <si>
    <t>Geological connectivity drives microbial community structure and connectivity in polar, terrestrial ecosystems</t>
  </si>
  <si>
    <t>SOIL BACTERIAL COMMUNITIES; PERMAFROST CARBON; SPATIAL DISTANCE; CLIMATE-CHANGE; PATTERNS; BIOGEOGRAPHY; RESPONSES; IDENTIFICATION; HETEROGENEITY; DISPERSAL</t>
  </si>
  <si>
    <t>Landscape heterogeneity impacts community assembly in animals and plants, but it is not clear if this ecological concept extends to microbes. To examine this question, we chose to investigate polar soil environments from the Antarctic and Arctic, where microbes often form the major component of biomass. We examined soil environments that ranged in connectivity from relatively well-connected slopes to patchy, fragmented landforms that comprised isolated frost boils. We found landscape connectedness to have a significant correlation with microbial community structure and connectivity, as measured by co-occurrence networks. Soils from within fragmented landforms appeared to exhibit less local environmental heterogeneity, harboured more similar communities, but fewer biological associations than connected landforms. This effect was observed at both poles, despite the geographical distances and ecological differences between them. We suggest that microbial communities inhabiting well-connected landscape elements respond consistently to regional-scale gradients in biotic and edaphic factors. Conversely, the repeated freeze thaw cycles that characterize fragmented landscapes create barriers within the landscape and act to homogenize the soil environment within individual frost boils and consequently the microbial communities. We propose that lower microbial connectivity in the fragmented landforms is a function of smaller patch size and continual disturbances following soil mixing.</t>
  </si>
  <si>
    <t>[Ferrari, Belinda C.; van Dorst, Josie; Ji, Mukan; Winsley, Tristrom; Brown, Mark V.] UNSW Australia, Sch Biotechnol &amp; Biomol Sci, Randwick, NSW 2052, Australia; [Bissett, Andrew] CSIRO Agr Flagship, POB 1600, Canberra, ACT 2601, Australia; [Snape, Ian; Palmer, Anne S.; Stark, Jonathon S.; Winsley, Tristrom] Australian Antarctic Div, Dept Sustainabil Environm Water Populat &amp; Communi, 203 Channel Highway, Kingston, Tas 7050, Australia; [Siciliano, Steven D.; Winsley, Tristrom] Univ Saskatchewan, Dept Soil Sci, Saskatoon, SK S7N 5A8, Canada</t>
  </si>
  <si>
    <t>University of New South Wales Sydney; Commonwealth Scientific &amp; Industrial Research Organisation (CSIRO); Australian Antarctic Division; University of Saskatchewan</t>
  </si>
  <si>
    <t>Ferrari, BC (corresponding author), UNSW Australia, Sch Biotechnol &amp; Biomol Sci, Randwick, NSW 2052, Australia.</t>
  </si>
  <si>
    <t>b.ferrari@unsw.edu.au</t>
  </si>
  <si>
    <t>Bissett, Andrew/AFR-3887-2022; Ji, Mukan/AAI-5743-2020; Ferrari, Belinda/AAI-3022-2020; Stark, Jonathan/ABF-4025-2020; Siciliano, Steven D/G-3370-2011</t>
  </si>
  <si>
    <t>Bissett, Andrew/0000-0001-7396-1484; Ferrari, Belinda/0000-0001-5043-3726; Stark, Jonathan/0000-0002-4268-8072; Ji, Mukan/0000-0001-8139-2875; Siciliano, Steven/0000-0002-8994-3341; van Dorst, Josie/0000-0002-9353-8787</t>
  </si>
  <si>
    <t>Australian Antarctic Division; UNSW Australia; National Science and Engineering Research Council of Canada</t>
  </si>
  <si>
    <t>Australian Antarctic Division; UNSW Australia; National Science and Engineering Research Council of Canada(Natural Sciences and Engineering Research Council of Canada (NSERC))</t>
  </si>
  <si>
    <t>The Australian Antarctic Division and UNSW Australia provided funding for this research. The authors would like to thank all of the field teams that collected soil samples from Antarctica and the Arctic. We also thank the National Science and Engineering Research Council of Canada for the Discovery Grant to SDS. The authors declare no conflict of interest.</t>
  </si>
  <si>
    <t>10.1111/1462-2920.13034</t>
  </si>
  <si>
    <t>DS1RY</t>
  </si>
  <si>
    <t>WOS:000380376700014</t>
  </si>
  <si>
    <t>Vikram, S; Guerrero, LD; Makhalanyane, TP; Le, PT; Seely, M; Cowan, DA</t>
  </si>
  <si>
    <t>Vikram, Surendra; Guerrero, Leandro D.; Makhalanyane, Thulani P.; Le, Phuong T.; Seely, Mary; Cowan, Don A.</t>
  </si>
  <si>
    <t>Metagenomic analysis provides insights into functional capacity in a hyperarid desert soil niche community</t>
  </si>
  <si>
    <t>ANTARCTIC DRY VALLEY; HYPOLITHIC MICROBIAL COMMUNITIES; SULFUR OXIDATION; ENVIRONMENTAL GRADIENTS; OXIDIZING BACTERIA; AMMONIA OXIDATION; NAMIB DESERT; CHINA HOT; DIVERSITY; MICROORGANISMS</t>
  </si>
  <si>
    <t>In hyperarid ecosystems, macroscopic communities are often restricted to cryptic niches, such as hypoliths (microbial communities found beneath translucent rocks), which are widely distributed in hyperarid desert environments. While hypolithic communities are considered to play a major role in productivity, the functional guilds implicated in these processes remain unclear. Here, we describe the metagenomic sequencing, assembly and analysis of hypolithic microbial communities from the Namib Desert. Taxonomic analyses using Small Subunit phylogenetic markers showed that bacterial phylotypes (93%) dominated the communities, with relatively small proportions of archaea (0.43%) and fungi (5.6%). Refseq-viral database analysis showed the presence of double stranded DNA viruses (7.8% contigs), dominated by Caudovirales (59.2%). Analysis of functional genes and metabolic pathways revealed that cyanobacteria were primarily responsible for photosynthesis with the presence of multiple copies of genes for both photosystems I and II, with a smaller but significant fraction of proteobacterial anoxic photosystem II genes. Hypolithons demonstrated an extensive genetic capacity for the degradation of phosphonates and mineralization of organic sulphur. Surprisingly, we were unable to show the presence of genes representative of complete nitrogen cycles. Taken together, our analyses suggest an extensive capacity for carbon, phosphate and sulphate cycling but only limited nitrogen biogeochemistry.</t>
  </si>
  <si>
    <t>[Vikram, Surendra; Guerrero, Leandro D.; Makhalanyane, Thulani P.; Le, Phuong T.; Cowan, Don A.] Univ Pretoria, Ctr Microbial Ecol &amp; Genom, Pretoria, South Africa; [Le, Phuong T.] VIB, Dept Plant Syst Biol, B-9052 Ghent, Belgium; [Seely, Mary] Gobabeb Res &amp; Training Ctr, Walvis Bay, Namibia</t>
  </si>
  <si>
    <t>University of Pretoria; Flanders Institute for Biotechnology (VIB)</t>
  </si>
  <si>
    <t>Cowan, DA (corresponding author), Univ Pretoria, Ctr Microbial Ecol &amp; Genom, Pretoria, South Africa.</t>
  </si>
  <si>
    <t>don.cowan@up.ac.za</t>
  </si>
  <si>
    <t>Le, Phuong/E-5622-2019; Makhalanyane, Thulani P./C-6815-2012; Cowan, Donald A/E-3991-2012; Seely, Mary Kathryn/AAI-1072-2019</t>
  </si>
  <si>
    <t>Le, Phuong/0000-0002-8738-6705; Makhalanyane, Thulani P./0000-0002-8173-1678; Cowan, Donald A/0000-0001-8059-861X; Vikram, Surendra/0000-0002-4721-2890</t>
  </si>
  <si>
    <t>National Research Foundation; University of Pretoria Genomics Research Institute</t>
  </si>
  <si>
    <t>The authors (SV, LDG, TPM, PTL, DAC) gratefully acknowledge funding support from the National Research Foundation and the University of Pretoria Genomics Research Institute (TPM, DAC) and computational support from the Centre for High Performance Computing, Cape Town, South Africa and bioinformatics at University of Pretoria, Pretoria, South Africa.</t>
  </si>
  <si>
    <t>10.1111/1462-2920.13088</t>
  </si>
  <si>
    <t>WOS:000380376700017</t>
  </si>
  <si>
    <t>Yao, Y; Meng, XZ; Wu, CC; Bao, LJ; Wang, F; Wu, FC; Zeng, EY</t>
  </si>
  <si>
    <t>Yao, Yao; Meng, Xiang-Zhou; Wu, Chen-Chou; Bao, Lian-Jun; Wang, Feng; Wu, Feng-Chang; Zeng, Eddy Y.</t>
  </si>
  <si>
    <t>Tracking human footprints in Antarctica through passive sampling of polycyclic aromatic hydrocarbons in inland lakes</t>
  </si>
  <si>
    <t>Inland lake; Antarctica; Freely dissolved PAHs; Passive sampling; Oil spillage</t>
  </si>
  <si>
    <t>PERSISTENT ORGANIC POLLUTANTS; SEA-SURFACE MICROLAYER; EAST ANTARCTICA; WATER; CONTAMINATION; EMISSIONS; DEVICES; ENGINE; SOILS; SNOW</t>
  </si>
  <si>
    <t>Freely dissolved polycyclic aromatic hydrocarbons (PAHs) were monitored in seven inland lakes of Antarctica by a polyethylene (PE)-based passive sampling technique, with the objective of tracking human footprints. The measured concentrations of PAHs were in the range of 14-360 ng L-1 with the highest values concentrated around the Russian Progress II Station, indicating the significance of human activities to the loading of PAHs in Antarctica. The concentrations of PAHs in the inland lakes were in the upper part of the PAHs levels in aquatic environments from remote and background regions across the globe. The composition profiles of PAHs indicated that PAHs in the inland lakes were derived mainly from local oil spills, which was corroborated by a large number of fuel spillage reports from ship and plane crash incidents in Antarctica during recent years. Clearly, local human activities, rather than long-range transport, are the dominant sources of PAH contamination to the inland lakes. Finally, the present study demonstrates the efficacy of PE-based passive samplers for investigating PAHs in the aquatic environment of Antarctica under complex field conditions. (C) 2016 Elsevier Ltd. All rights reserved.</t>
  </si>
  <si>
    <t>[Yao, Yao; Wu, Chen-Chou; Zeng, Eddy Y.] Chinese Acad Sci, Guangzhou Inst Geochem, State Key Lab Organ Geochem, Guangzhou 510640, Guangdong, Peoples R China; [Meng, Xiang-Zhou; Wang, Feng] Tongji Univ, Coll Environm Sci &amp; Engn, Shanghai 200092, Peoples R China; [Bao, Lian-Jun; Zeng, Eddy Y.] Jinan Univ, Sch Environm, Guangzhou Key Lab Environm Exposure &amp; Hlth, Guangzhou 510632, Guangdong, Peoples R China; [Bao, Lian-Jun; Zeng, Eddy Y.] Jinan Univ, Guangdong Key Lab Environm Pollut &amp; Hlth, Guangzhou 510632, Guangdong, Peoples R China; [Wu, Feng-Chang] Chinese Res Inst Environm Sci, State Key Lab Environm Criteria &amp; Risk Assessment, Beijing 100012, Peoples R China; [Yao, Yao; Wu, Chen-Chou] Univ Chinese Acad Sci, Beijing 100049, Peoples R China</t>
  </si>
  <si>
    <t>Chinese Academy of Sciences; Guangzhou Institute of Geochemistry, CAS; Tongji University; Jinan University; Jinan University; Chinese Research Academy of Environmental Sciences; Chinese Academy of Sciences; University of Chinese Academy of Sciences, CAS</t>
  </si>
  <si>
    <t>Bao, LJ (corresponding author), Jinan Univ, Sch Environm, Guangzhou Key Lab Environm Exposure &amp; Hlth, Guangzhou 510632, Guangdong, Peoples R China.;Bao, LJ (corresponding author), Jinan Univ, Guangdong Key Lab Environm Pollut &amp; Hlth, Guangzhou 510632, Guangdong, Peoples R China.</t>
  </si>
  <si>
    <t>blj727722@163.com</t>
  </si>
  <si>
    <t>Bao, Lian-Jun/ISV-4389-2023; Zeng, Eddy/ISV-4245-2023; Zeng, Eddy Y./ISV-3132-2023; Wu, Feng/KCY-3017-2024</t>
  </si>
  <si>
    <t>Bao, Lian-Jun/0000-0002-0634-0829; Yao, Yao/0000-0001-9604-5358</t>
  </si>
  <si>
    <t>Ministry of Science and Technology of China [2012ZX07503-003-002]; National Natural Science Foundation of China [41403087, 41390240]; Chinese Polar Environment Comprehensive Investigation and Assessment Programs [CHINARE 2015-02-01-08]</t>
  </si>
  <si>
    <t>Ministry of Science and Technology of China(Ministry of Science and Technology, China); National Natural Science Foundation of China(National Natural Science Foundation of China (NSFC)); Chinese Polar Environment Comprehensive Investigation and Assessment Programs</t>
  </si>
  <si>
    <t>The present study was financially supported by the Ministry of Science and Technology of China (No. 2012ZX07503-003-002), National Natural Science Foundation of China (Nos. 41403087 and 41390240), and Chinese Polar Environment Comprehensive Investigation and Assessment Programs (No. CHINARE 2015-02-01-08). Special thanks go to the crew of the Chinese 29th Antarctic expedition. This is contribution No. IS-2196 from GIGCAS.</t>
  </si>
  <si>
    <t>10.1016/j.envpol.2016.02.035</t>
  </si>
  <si>
    <t>WOS:000377921800044</t>
  </si>
  <si>
    <t>Turney, CSM; Jones, RT; Lister, D; Jones, P; Williams, AN; Hogg, A; Thomas, ZA; Compo, GP; Yin, XG; Fogwill, CJ; Palmer, J; Colwell, S; Allan, R; Visbeck, M</t>
  </si>
  <si>
    <t>Turney, Chris S. M.; Jones, Richard T.; Lister, David; Jones, Phil; Williams, Alan N.; Hogg, Alan; Thomas, Zoe A.; Compo, Gilbert P.; Yin, Xungang; Fogwill, Christopher J.; Palmer, Jonathan; Colwell, Steve; Allan, Rob; Visbeck, Martin</t>
  </si>
  <si>
    <t>Anomalous mid-twentieth century atmospheric circulation change over the South Atlantic compared to the last 6000 years</t>
  </si>
  <si>
    <t>southern annular mode (SAM); Southern Hemisphere westerlies; subantarctic climate extremes; temperature; climate reanalysis; anthropogenic climate change; El Nino-Southern Oscillation (ENSO)</t>
  </si>
  <si>
    <t>HEMISPHERE WESTERLY WINDS; HOLOCENE CLIMATE; ANNULAR MODE; SEA-ICE; CARBON ACCUMULATION; ANTARCTIC PENINSULA; SLOWING-DOWN; TRENDS; OCEAN; VARIABILITY</t>
  </si>
  <si>
    <t>Determining the timing and impact of anthropogenic climate change in data-sparse regions is a considerable challenge. Arguably, nowhere is this more difficult than the Antarctic Peninsula and the subantarctic South Atlantic where observational records are relatively short but where high rates of warming have been experienced since records began. Here we interrogate recently developed monthly-resolved observational datasets from the Falkland Islands and South Georgia, and extend the records back using climate-sensitive peat growth over the past 6000 years. Investigating the subantarctic climate data with ERA-Interim and Twentieth Century Reanalysis, we find that a stepped increase in precipitation across the 1940s is related to a change in synoptic atmospheric circulation: a westward migration of quasi-permanent positive pressure anomalies in the South Atlantic has brought the subantarctic islands under the increased influence of meridional airflow associated with the Amundsen Sea Low. Analysis of three comprehensively multi-dated (using C-14 and Cs-137) peat sequences across the two islands demonstrates unprecedented growth rates since the mid-twentieth century relative to the last 6000 years. Comparison to observational and reconstructed sea surface temperatures suggests this change is linked to a warming tropical Pacific Ocean. Our results imply 'modern' South Atlantic atmospheric circulation has not been under this configuration for millennia.</t>
  </si>
  <si>
    <t>[Turney, Chris S. M.; Williams, Alan N.; Thomas, Zoe A.; Fogwill, Christopher J.; Palmer, Jonathan] Univ New S Wales, Sch Biol Earth &amp; Environm Sci, Climate Change Res Ctr, Sydney, NSW, Australia; [Jones, Richard T.] Univ Exeter, Dept Geog, Exeter EX4 4RJ, Devon, England; [Lister, David; Jones, Phil] Univ E Anglia, Sch Environm Sci, Climat Res Unit, Norwich NR4 7TJ, Norfolk, England; [Jones, Phil] King Abdulaziz Univ, Dept Meteorol, Ctr Excellence Climate Change Res, Jeddah 21413, Saudi Arabia; [Williams, Alan N.] Extent Heritage, 2-729 Elizabeth St, Waterloo, NSW 2017, Australia; [Hogg, Alan] Univ Waikato, Waikato Radiocarbon Lab, Private Bag 3105, Hamilton, New Zealand; [Compo, Gilbert P.] Univ Colorado, Cooperat Inst Res Environm Sci, Boulder, CO 80309 USA; [Compo, Gilbert P.] NOAA, Div Phys Sci, Earth Syst Res Lab, Boulder, CO 80305 USA; [Yin, Xungang] ERT Inc, Asheville, NC 28801 USA; [Colwell, Steve] British Antarctic Survey, Cambridge CB3 0ET, England; [Allan, Rob] Met Off Hadley Ctr, Exeter, Devon, England; [Visbeck, Martin] Ocean Res Kiel, GEOMAR Helmholtz Ctr, Kiel, Germany; [Visbeck, Martin] Univ Kiel, Kiel, Germany</t>
  </si>
  <si>
    <t>University of New South Wales Sydney; University of Exeter; University of East Anglia; King Abdulaziz University; University of Waikato; University of Colorado System; University of Colorado Boulder; National Oceanic Atmospheric Admin (NOAA) - USA; UK Research &amp; Innovation (UKRI); Natural Environment Research Council (NERC); NERC British Antarctic Survey; Met Office - UK; Hadley Centre; Helmholtz Association; GEOMAR Helmholtz Center for Ocean Research Kiel; University of Kiel</t>
  </si>
  <si>
    <t>Turney, CSM (corresponding author), Univ New S Wales, Sch Biol Earth &amp; Environm Sci, Climate Change Res Ctr, Sydney, NSW, Australia.</t>
  </si>
  <si>
    <t>c.turney@unsw.edu.au</t>
  </si>
  <si>
    <t>Fogwill, Chris/AAW-3502-2021; Fogwill, Christopher/HPF-1150-2023; Hogg, Alan G/M-8427-2014; COMPO, GILBERT P./X-3024-2019; Jones, Philip Douglas/C-8718-2009; Palmer, Jonathan/J-7834-2012; Visbeck, Martin H/B-6541-2016; Thomas, Zoe/D-1656-2016; Turney, Chris/P-8701-2018</t>
  </si>
  <si>
    <t>Fogwill, Chris/0000-0002-6471-1106; COMPO, GILBERT P./0000-0001-5199-9633; Jones, Philip Douglas/0000-0001-5032-5493; Palmer, Jonathan/0000-0002-6665-4483; Visbeck, Martin H/0000-0002-0844-834X; Williams, Alan/0000-0003-4133-4229; Thomas, Zoe/0000-0002-2323-4366; Turney, Chris/0000-0001-6733-0993</t>
  </si>
  <si>
    <t>Australian Research Council [FL100100195, FT120100004, DP130104156]; Joint DECC/Defra Met Office Hadley Centre Climate Programme [GA01101]; European Union's Seventh Framework Programme (FP7) European Reanalysis of Global Climate Observations 2 (ERA-CLIM2) project; Climate Science for Service Partnership (CSSP) China under the Newton Fund; Office of Science of the US Department of Energy [DE-AC02-05CH11231]; US Department of Energy, Office of Science Biological and Environmental Research (BER); National Oceanic and Atmospheric Administration Climate Program Office; NERC [bas0100032] Funding Source: UKRI; Natural Environment Research Council [bas0100032] Funding Source: researchfish</t>
  </si>
  <si>
    <t>Australian Research Council(Australian Research Council); Joint DECC/Defra Met Office Hadley Centre Climate Programme; European Union's Seventh Framework Programme (FP7) European Reanalysis of Global Climate Observations 2 (ERA-CLIM2) project(European Union (EU)); Climate Science for Service Partnership (CSSP) China under the Newton Fund; Office of Science of the US Department of Energy(United States Department of Energy (DOE)); US Department of Energy, Office of Science Biological and Environmental Research (BER)(United States Department of Energy (DOE)); National Oceanic and Atmospheric Administration Climate Program Office(National Oceanic Atmospheric Admin (NOAA) - USA); NERC(UK Research &amp; Innovation (UKRI)Natural Environment Research Council (NERC)); Natural Environment Research Council(UK Research &amp; Innovation (UKRI)Natural Environment Research Council (NERC))</t>
  </si>
  <si>
    <t>CSMT and CF acknowledge the support of the Australian Research Council (FL100100195, FT120100004 and DP130104156). A big thanks to the captain and crew of the Fishery Patrol Vessel The Pharos for travel to and from South Georgia. We thank the Government of South Georgia and the South Sandwich Islands, and the Falkland Islands Government for permission to undertake sampling on the island (permit numbers SGEP0110/11 and R07/2011 respectively) and Darren Christie for assisting with the fieldwork on the Falkland Islands. Sarah Kelloway and Charlotte Cook (UNSW) helped process the samples for TOC analysis; Christopher Bronk Ramsey (Oxford University) kindly provided guidance on OxCal modelling. Rob Allan is supported by a combination of funding from the Joint DECC/Defra Met Office Hadley Centre Climate Programme (GA01101), the European Union's Seventh Framework Programme (FP7) European Reanalysis of Global Climate Observations 2 (ERA-CLIM2) project and the Climate Science for Service Partnership (CSSP) China under the Newton Fund. Gail Kelly kindly digitised the Cape Pembroke surface pressure data. The NOAA-CIRES Twentieth Century Reanalysis Project version 2c used resources of the National Energy Research Scientific Computing Center managed by Lawrence Berkeley National Laboratory which is supported by the Office of Science of the US Department of Energy under Contract No. DE-AC02-05CH11231. Support for the Twentieth Century Reanalysis Project version 2c dataset is provided by the US Department of Energy, Office of Science Biological and Environmental Research (BER), and by the National Oceanic and Atmospheric Administration Climate Program Office. Two anonymous reviewers kindly improved an earlier draft of this manuscript.</t>
  </si>
  <si>
    <t>10.1088/1748-9326/11/6/064009</t>
  </si>
  <si>
    <t>DP9JJ</t>
  </si>
  <si>
    <t>gold, Green Accepted, Green Published, Green Submitted</t>
  </si>
  <si>
    <t>WOS:000378812200010</t>
  </si>
  <si>
    <t>de Cárcer, DA; López-Bueno, A; Alonso-Lobo, JM; Quesada, A; Alcamí, A</t>
  </si>
  <si>
    <t>Aguirre de Carcer, Daniel; Lopez-Bueno, Alberto; Alonso-Lobo, Juan M.; Quesada, Antonio; Alcami, Antonio</t>
  </si>
  <si>
    <t>Metagenomic analysis of lacustrine viral diversity along a latitudinal transect of the Antarctic Peninsula</t>
  </si>
  <si>
    <t>Antarctic Peninsula; lacustrine environments; viruses; metagenomics; latitudinal gradient; ssDNA viruses</t>
  </si>
  <si>
    <t>MARINE VIRUSES; CLIMATE-CHANGE; COMMUNITY; AMPLIFICATION; BIOGEOGRAPHY; ECOSYSTEMS; MICROBIOTA; SEQUENCES; ALIGNMENT; GRADIENT</t>
  </si>
  <si>
    <t>Environmental viruses constitute the most abundant biological entities on earth, and harbor an enormous genetic diversity. While their strong influence on the ecosystem is widely acknowledged, current knowledge about their diversity and distribution remains limited. Here we present the metagenomic study of viral communities from freshwater bodies located along a transect of the Antarctic Peninsula. These ecosystems were chosen on the basis of environmental and biogeographical variation. The results obtained indicate that the virus assemblages were diverse, and that the larger fraction represented viruses with no close relatives in the databases. Comparisons to existing metaviromes showed that the communities studied were dissimilar to other freshwater viromes including those from the Arctic. Finally, we observed no indication of there being a reduction in either viral richness or diversity estimates with increasing latitude along the studied transect, further adding to the controversy regarding the possible existence of latitudinal gradients of diversity in the microbial world.</t>
  </si>
  <si>
    <t>[Aguirre de Carcer, Daniel; Lopez-Bueno, Alberto; Alonso-Lobo, Juan M.; Alcami, Antonio] Univ Autonoma Madrid, CSIC, Ctr Biol Mol Severo Ochoa, Campus Cantoblanco, E-28049 Madrid, Spain; [Quesada, Antonio] Univ Autonoma Madrid, Dept Biol, E-28049 Madrid, Spain</t>
  </si>
  <si>
    <t>Consejo Superior de Investigaciones Cientificas (CSIC); CSIC - Centro de Biologia Molecular Severo Ochoa (CBM); Autonomous University of Madrid; Autonomous University of Madrid</t>
  </si>
  <si>
    <t>Alcamí, A (corresponding author), Univ Autonoma Madrid, CSIC, Ctr Biol Mol Severo Ochoa, Campus Cantoblanco, E-28049 Madrid, Spain.</t>
  </si>
  <si>
    <t>aalcami@cbm.csic.es</t>
  </si>
  <si>
    <t>Aguirre de Carcer, Daniel/C-7000-2011; Quesada, Antonio/L-2430-2013; Alcami, Antonio/F-8512-2015</t>
  </si>
  <si>
    <t>Aguirre de Carcer, Daniel/0000-0003-1104-9566; Lopez-Bueno, Alberto/0000-0002-6324-8623; Quesada, Antonio/0000-0002-8913-5993; Alcami, Antonio/0000-0002-3333-6016</t>
  </si>
  <si>
    <t>Spanish Polar Programme; Spanish Ministry of Science and Innovation [CTM2008-05134-E/ANT, CTM2009-08644-E, CTM2011-28736]; Marie Curie IIF fellowship [PIIF-GA-2012-328287]; Ramon y Cajal fellowship [RYC-2010-06300]</t>
  </si>
  <si>
    <t>Spanish Polar Programme; Spanish Ministry of Science and Innovation(Spanish Government); Marie Curie IIF fellowship(European Union (EU)); Ramon y Cajal fellowship(Spanish Government)</t>
  </si>
  <si>
    <t>This work was supported by the Spanish Polar Programme and the Spanish Ministry of Science and Innovation [CTM2008-05134-E/ANT, CTM2009-08644-E, CTM2011-28736]. D. A. C. was supported by a Marie Curie IIF fellowship [PIIF-GA-2012-328287] and A. L-B. by a Ramon y Cajal fellowship [RYC-2010-06300].</t>
  </si>
  <si>
    <t>fiw074</t>
  </si>
  <si>
    <t>10.1093/femsec/fiw074</t>
  </si>
  <si>
    <t>WOS:000377473600008</t>
  </si>
  <si>
    <t>Bagshaw, EA; Wadham, JL; Tranter, M; Perkins, R; Morgan, A; Williamson, CJ; Fountain, AG; Fitzsimons, S; Dubnick, A</t>
  </si>
  <si>
    <t>Bagshaw, Elizabeth A.; Wadham, Jemma L.; Tranter, Martyn; Perkins, Rupert; Morgan, Alistair; Williamson, Christopher J.; Fountain, Andrew G.; Fitzsimons, Sean; Dubnick, Ashley</t>
  </si>
  <si>
    <t>Response of Antarctic cryoconite microbial communities to light</t>
  </si>
  <si>
    <t>cryoconite; glaciers; PAR; photophysiology</t>
  </si>
  <si>
    <t>MCMURDO DRY VALLEYS; TRANSTHYLAKOID PROTON GRADIENT; ORGANIC-MATTER; LAKE BONNEY; GLACIERS; ICE; HOLES; FLUORESCENCE; BIOGEOCHEMISTRY; PHOTOSYNTHESIS</t>
  </si>
  <si>
    <t>Microbial communities on polar glacier surfaces are found dispersed on the ice surface, or concentrated in cryoconite holes and cryolakes, which are accumulations of debris covered by a layer of ice for some or all of the year. The ice lid limits the penetration of photosynthetically available radiation (PAR) to the sediment layer, since the ice attenuates up to 99% of incoming radiation. This suite of field and laboratory experiments demonstrates that PAR is an important control on primary production in cryoconite and cryolake ecosystems. Increased light intensity increased efficiency of primary production in controlled laboratory incubations of debris from the surface of Joyce Glacier, McMurdo Dry Valleys, Antarctica. However, when light intensity was increased to levels near that received on the ice surface, without the protection of an ice lid, efficiency decreased and measurements of photophysiology showed that the communities suffered light stress. The communities are therefore well adapted to low light levels. Comparison with Arctic cryoconite communities, which are typically not covered by an ice lid for the majority of the ablation season, showed that these organisms were also stressed by high light, so they must employ strategies to protect against photodamage.</t>
  </si>
  <si>
    <t>[Bagshaw, Elizabeth A.; Perkins, Rupert; Morgan, Alistair; Williamson, Christopher J.] Cardiff Univ, Sch Earth &amp; Ocean Sci, Main Bldg,Pk Pl, Cardiff CF10 3AT, S Glam, Wales; [Wadham, Jemma L.; Tranter, Martyn; Williamson, Christopher J.] Univ Bristol, Sch Geog Sci, Bristol Glaciol Ctr, Bristol BS8 1SS, Avon, England; [Fountain, Andrew G.] Portland State Univ, Dept Geol, Portland, OR 97201 USA; [Fountain, Andrew G.] Portland State Univ, Dept Geog, Portland, OR 97201 USA; [Fitzsimons, Sean] Univ Otago, Dept Geog, POB 56, Dunedin, New Zealand; [Dubnick, Ashley] Univ Alberta, Earth &amp; Atmospher Sci, Edmonton, AB TG6 2E3, Canada</t>
  </si>
  <si>
    <t>Cardiff University; University of Bristol; Portland State University; Portland State University; University of Otago; University of Alberta</t>
  </si>
  <si>
    <t>Bagshaw, EA (corresponding author), Cardiff Univ, Sch Earth &amp; Ocean Sci, Main Bldg,Pk Pl, Cardiff CF10 3AT, S Glam, Wales.</t>
  </si>
  <si>
    <t>bagshawe@cardiff.ac.uk</t>
  </si>
  <si>
    <t>Morgan, Alistair/KHT-1903-2024; Wadham, Jemma L/G-3138-2014; Wadham, Jemma L/A-8352-2012; Tranter, Martyn/E-3722-2010</t>
  </si>
  <si>
    <t>Bagshaw, Elizabeth/0000-0001-8392-1750; Tranter, Martyn/0000-0003-2071-3094; Morgan, Alistair/0009-0009-8934-7388; Williamson, Christopher/0000-0002-8239-7368</t>
  </si>
  <si>
    <t>EPSRC [EP/D057620/1]; NERC [NE/I008845/1]; NSF [ANT-0423595]; EPSRC [EP/D057620/1] Funding Source: UKRI; NERC [NE/I008845/1, NE/H002820/1] Funding Source: UKRI; Engineering and Physical Sciences Research Council [EP/D057620/1] Funding Source: researchfish; Natural Environment Research Council [NE/H002820/1, NE/I008845/1] Funding Source: researchfish</t>
  </si>
  <si>
    <t>EPSRC(UK Research &amp; Innovation (UKRI)Engineering &amp; Physical Sciences Research Council (EPSRC)); NERC(UK Research &amp; Innovation (UKRI)Natural Environment Research Council (NERC)); NSF(National Science Foundation (NSF));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</si>
  <si>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This work was supported by EPSRC grant EP/D057620/1, NERC grant NE/I008845/1 and NSF grant ANT-0423595.</t>
  </si>
  <si>
    <t>fiw076</t>
  </si>
  <si>
    <t>10.1093/femsec/fiw076</t>
  </si>
  <si>
    <t>Green Published, hybrid, Green Submitted, Green Accepted</t>
  </si>
  <si>
    <t>WOS:000377473600010</t>
  </si>
  <si>
    <t>Cid, FP; Rilling, JI; Graether, SP; Bravo, LA; Mora, MD; Jorquera, MA</t>
  </si>
  <si>
    <t>Cid, Fernanda P.; Rilling, Joaquin I.; Graether, Steffen P.; Bravo, Leon A.; de La Luz Mora, Maria; Jorquera, Milko A.</t>
  </si>
  <si>
    <t>Properties and biotechnological applications of ice-binding proteins in bacteria</t>
  </si>
  <si>
    <t>FEMS MICROBIOLOGY LETTERS</t>
  </si>
  <si>
    <t>Antarctic bacteria; antifreeze proteins; ice-nucleating proteins; ice-binding proteins; psychrophilic bacteria</t>
  </si>
  <si>
    <t>HYPERACTIVE ANTIFREEZE PROTEIN; NUCLEATION ACTIVE BACTERIA; PSEUDOMONAS-SYRINGAE; SEA-ICE; EPIPHYTIC BACTERIA; FROST INJURY; ANTARCTIC BACTERIUM; FREEZING RESISTANCE; ERWINIA-HERBICOLA; INHIBITION</t>
  </si>
  <si>
    <t>Ice-binding proteins (IBPs), such as antifreeze proteins (AFPs) and ice-nucleating proteins (INPs), have been described in diverse cold-adapted organisms, and their potential applications in biotechnology have been recognized in various fields. Currently, both IBPs are being applied to biotechnological processes, primarily in medicine and the food industry. However, our knowledge regarding the diversity of bacterial IBPs is limited; few studies have purified and characterized AFPs and INPs from bacteria. Phenotypically verified IBPs have been described in members belonging to Gammaproteobacteria, Actinobacteria and Flavobacteriia classes, whereas putative IBPs have been found in Gammaproteobacteria, Alphaproteobacteria and Bacilli classes. Thus, the main goal of this minireview is to summarize the current information on bacterial IBPs and their application in biotechnology, emphasizing the potential application in less explored fields such as agriculture. Investigations have suggested the use of INP-producing bacteria antagonists and AFPs-producing bacteria (or their AFPs) as a very attractive strategy to prevent frost damages in crops. UniProt database analyses of reported IBPs (phenotypically verified) and putative IBPs also show the limited information available on bacterial IBPs and indicate that major studies are required.</t>
  </si>
  <si>
    <t>[Cid, Fernanda P.; Rilling, Joaquin I.] Univ La Frontera, Programa Doctorado Ciencias Recursos Nat, Temuco 4811230, Chile; [Graether, Steffen P.] Univ Guelph, Dept Mol &amp; Cellular Biol, Guelph, ON N1G 2W1, Canada; [Bravo, Leon A.; de La Luz Mora, Maria; Jorquera, Milko A.] Univ La Frontera, Ctr Plant Soil Interact &amp; Nat Resources Biotechno, Sci &amp; Technol Bioresource Nucl, Ave Francisco Salazar 01145, Temuco 4811230, Chile; [Bravo, Leon A.] Univ La Frontera, Fac Ciencias Agropecuarias &amp; Forestales, Dept Ciencias Agron &amp; Recursos Nat, Temuco 4811230, Chile</t>
  </si>
  <si>
    <t>Universidad de La Frontera; University of Guelph; Universidad de La Frontera; Universidad de La Frontera</t>
  </si>
  <si>
    <t>Jorquera, MA (corresponding author), Univ La Frontera, Ctr Plant Soil Interact &amp; Nat Resources Biotechno, Sci &amp; Technol Bioresource Nucl, Ave Francisco Salazar 01145, Temuco 4811230, Chile.</t>
  </si>
  <si>
    <t>Graether, Steffen P./AFU-0892-2022; Jorquera, Milko Alberto/B-7378-2011; Mora Gil, Maria Luz/AAT-4081-2021; JORQUERA, MILKO/O-3038-2019; Graether, Steffen P./AAR-8849-2021; Bravo, Leon/H-9251-2018; Bravo, León/AAO-8437-2020</t>
  </si>
  <si>
    <t>Graether, Steffen P./0000-0002-2356-3936; Mora Gil, Maria Luz/0000-0002-7474-1595; JORQUERA, MILKO/0000-0003-4760-6379; Graether, Steffen P./0000-0002-2356-3936; Bravo, Leon/0000-0003-4705-4842; Bravo, León/0000-0003-4705-4842; Cid Alda, Fernanda del Pilar/0000-0001-7080-4205</t>
  </si>
  <si>
    <t>FONDECYT [1120505]; International Cooperation project Conicyt-USA [USA2013-0010]</t>
  </si>
  <si>
    <t>FONDECYT(Comision Nacional de Investigacion Cientifica y Tecnologica (CONICYT)CONICYT FONDECYT); International Cooperation project Conicyt-USA</t>
  </si>
  <si>
    <t>This minireview was financed by FONDECYT project no. 1120505 and International Cooperation project Conicyt-USA code USA2013-0010.</t>
  </si>
  <si>
    <t>0378-1097</t>
  </si>
  <si>
    <t>1574-6968</t>
  </si>
  <si>
    <t>FEMS MICROBIOL LETT</t>
  </si>
  <si>
    <t>FEMS Microbiol. Lett.</t>
  </si>
  <si>
    <t>fnw099</t>
  </si>
  <si>
    <t>10.1093/femsle/fnw099</t>
  </si>
  <si>
    <t>DQ2LA</t>
  </si>
  <si>
    <t>WOS:000379032600005</t>
  </si>
  <si>
    <t>Watkins, JL; Reid, K; Ramm, D; Zhao, XY; Cox, M; Skaret, G; Fielding, S; Wang, XL; Niklitschek, E</t>
  </si>
  <si>
    <t>Watkins, J. L.; Reid, K.; Ramm, D.; Zhao, X. Y.; Cox, M.; Skaret, G.; Fielding, S.; Wang, X. L.; Niklitschek, E.</t>
  </si>
  <si>
    <t>The use of fishing vessels to provide acoustic data on the distribution and abundance of Antarctic krill and other pelagic species</t>
  </si>
  <si>
    <t>Euphausia superba; Acoustic survey; Acoustic biomass assessment; Acoustic protocols; Fishing vessel acoustics</t>
  </si>
  <si>
    <t>CCAMLR 2000 SURVEY; EUPHAUSIA-SUPERBA; SOUTHERN-OCEAN; BIOMASS; ATLANTIC</t>
  </si>
  <si>
    <t>A fishery for Antarctic krill (Euphausia superba) has existed for over 3 decades and the Commission for Conservation of Antarctic Marine Living Resources (CCAMLR) manages this fishery using precautionary catch limits, fishery data collection and a scientific observer programme operating on the fishing vessels. A recent increase in the number of vessels fishing and the rising costs of undertaking scientific research cruises have focussed attention on being able to use fishing vessels to collect more extensive scientific data sets. In 2011, CCAMLR's Subgroup on Acoustic Survey and Analysis Methods (SG-ASAM) was tasked with assessing the use of acoustic data collected from fishing vessels to provide qualitative and quantitative information on the distribution and relative abundance of Antarctic krill and other pelagic species. SG-ASAM conceived a proof of concept programme and implemented the first stage in 2013 to determine the current setup of acoustic equipment on participating fishing vessels and to establish whether these vessels could collect geo- and time-referenced acoustic data. To date data have been received from 7 krill fishing vessels and SG-ASAM has now focussed on the development of data collection protocols to enable fishing vessels to collect quantitative acoustic data along prescribed transects. While this development work continues, the willingness of fishing industry to participate in such studies has already been demonstrated by several fishing companies, and Norwegian- and Chinese-flagged fishing vessels are undertaking krill biomass surveys in two key fishery Areas in the South Atlantic sector of the Southern Ocean. (C) 2015 Elsevier B.V. All rights reserved.</t>
  </si>
  <si>
    <t>[Watkins, J. L.; Fielding, S.] British Antarctic Survey, NERC, High Cross,Madingley Rd, Cambridge CB3 0ET, England; [Reid, K.; Ramm, D.] CCAMLR Secretariat, 181 Macquarie St, Hobart, Tas 7000, Australia; [Zhao, X. Y.; Wang, X. L.] Chinese Acad Fishery Sci, Yellow Sea Fisheries Res Inst, 106 Nanjing Rd, Qingdao 266071, Peoples R China; [Cox, M.] Australian Antarctic Div, Channel Highway, Kingston, Tas 7050, Australia; [Skaret, G.] Inst Marine Res, POB 1870, N-5817 Bergen, Norway; [Niklitschek, E.] Univ Los Lagos, Ctr I Mar, Camino Chinquihue Km 6, Puerto Montt 5502764, Chile</t>
  </si>
  <si>
    <t>UK Research &amp; Innovation (UKRI); Natural Environment Research Council (NERC); NERC British Antarctic Survey; Chinese Academy of Fishery Sciences; Yellow Sea Fisheries Research Institute, CAFS; Australian Antarctic Division; Institute of Marine Research - Norway; Universidad de Los Lagos</t>
  </si>
  <si>
    <t>Watkins, JL (corresponding author), British Antarctic Survey, NERC, High Cross,Madingley Rd, Cambridge CB3 0ET, England.</t>
  </si>
  <si>
    <t>jlwa@bas.ac.uk; keith.reid@ccamlr.org; david.ramm@ccamlr.org; zhaoxy@ysfri.ac.cn; Martin.Cox@aad.gov.au; georg.skaret@imr.no; sof@bas.ac.uk; wangxl@ysfri.ac.cn; edwin.niklitschek@ulagos.cl</t>
  </si>
  <si>
    <t>Niklitschek, Edwin/A-7066-2008; Fielding, Sophie/E-5137-2012</t>
  </si>
  <si>
    <t>Niklitschek, Edwin/0000-0001-5561-3494; wang, xinliang/0000-0002-9321-3069</t>
  </si>
  <si>
    <t>We thank all members of SG-ASAM who attended the meetings in Bergen, Norway (2012) and Qingdao, China (2014), without their helpful discussions during the meeting we would not have been able to complete this paper. We also thank Rudi Kloser (CSIRO, Hobart, Australia) who provided important input on the work of IMOS, and Gavin Macaulay and Hector Pena, two of the principal authors of ICES (2007), who attended the Bergen meeting. This paper is a contribution to the BAS Ecosystems programme, funded by Natural Environment Research Council.</t>
  </si>
  <si>
    <t>10.1016/j.fishres.2015.07.013</t>
  </si>
  <si>
    <t>DL6HA</t>
  </si>
  <si>
    <t>WOS:000375739100010</t>
  </si>
  <si>
    <t>Niklitschek, EJ; Skaret, G</t>
  </si>
  <si>
    <t>Niklitschek, E. J.; Skaret, G.</t>
  </si>
  <si>
    <t>Distribution, density and relative abundance of Antarctic krill estimated by maximum likelihood geostatistics on acoustic data collected during commercial fishing operations</t>
  </si>
  <si>
    <t>Euphausia superba; Acoustics; Surveys; Geostatistics; Fishing vessels</t>
  </si>
  <si>
    <t>IMPLEMENTATION; MANAGEMENT; ECOSYSTEM; ISLANDS; BIOMASS; SDWBA</t>
  </si>
  <si>
    <t>There is a substantial harvest for Antarctic krill in the Southern Ocean, but little regular scientific monitoring of the resource. Recently, however, the Commission for the Conservation of Marine Living Resources (CCAMLR) has initialised a process to make use of acoustic data from commercial fisheries to increase the amount of relevant information available for making management decisions. We here provide an example where 34 days of acoustic data, collected during commercial krill fishing operations on the vessel 'Saga Sea' were processed to produce probability of presence, conditional density and relative abundance estimates on monthly, weekly and daily basis. Data were analyzed using a maximum likelihood time-series and geostatistical approaches, selected to account for the lack of sampling design, and likely correlation in space and time. The applied method showed low sensitivity of monthly estimates to different repeated measure criteria and location sub-settings. Most weekly estimates, but the last one, were also consistent with the full data (monthly) estimate. Highly variable and lower estimates were obtained, however, from daily data sets. Although our results suggest the method had provided an adequate treatment for time and space correlation, we were not able to evaluate potential bias due to preferential sampling of high density krill aggregations and/or limited area coverage within short time periods. The results suggest that this method, combined with some additional design based coverage by the fishing vessels, can be useful to obtain quantitative evaluations of krill density and distribution for management purposes. (C) 2015 Elsevier B.V. All rights reserved.</t>
  </si>
  <si>
    <t>[Niklitschek, E. J.] Univ Los Lagos, Ctr I Mar, Camino Chinquihue Km 6, Puerto Montt 5502764, Region De Los L, Chile; [Skaret, G.] Inst Marine Res, POB 1870 Nordnes, NO-5817 Bergen, Norway</t>
  </si>
  <si>
    <t>Universidad de Los Lagos; Institute of Marine Research - Norway</t>
  </si>
  <si>
    <t>Niklitschek, EJ (corresponding author), Univ Los Lagos, Ctr I Mar, Camino Chinquihue Km 6, Puerto Montt 5502764, Region De Los L, Chile.</t>
  </si>
  <si>
    <t>edwin.niklitschek@ulagos.cl</t>
  </si>
  <si>
    <t>Niklitschek, Edwin/A-7066-2008</t>
  </si>
  <si>
    <t>Niklitschek, Edwin/0000-0001-5561-3494</t>
  </si>
  <si>
    <t>10.1016/j.fishres.2015.09.017</t>
  </si>
  <si>
    <t>WOS:000375739100012</t>
  </si>
  <si>
    <t>Marshall, DP</t>
  </si>
  <si>
    <t>Marshall, David P.</t>
  </si>
  <si>
    <t>A Theoretical Model of Long Rossby Waves in the Southern Ocean and Their Interaction with Bottom Topography</t>
  </si>
  <si>
    <t>Rossby waves; ocean circulation; Southern Ocean; Antarctic Circumpolar Current; bottom topography; topographic steering; Doppler shift; planetary geostrophic equations</t>
  </si>
  <si>
    <t>ANTARCTIC CIRCUMPOLAR CURRENT; WIND-DRIVEN; PLANETARY-WAVES; MEAN FLOW; GENERAL-CIRCULATION; EQUATIONS; THERMOCLINE; DYNAMICS; CURRENTS; EDDIES</t>
  </si>
  <si>
    <t>An analytical model of long Rossby waves is developed for a continuously-stratified, planetary geostrophic ocean in the presence of arbitrary bottom topography under the assumption that the potential vorticity is a linear function of buoyancy. The remaining dynamics are controlled by equations for material conservation of buoyancy along the sea surface and the sea floor. The mean, steady-state surface circulation follows characteristics that are intermediate to f and f / H contours, where f is the Coriolis parameter and H is the ocean depth; for realistic stratification and weak bottom currents, these characteristics are mostly zonal with weak deflections over the major topographic features. Equations are derived for linear long Rossby waves about this mean state. These are qualitatively similar to the long Rossby wave equations for a two-layer ocean, linearised about a state of rest, except that the surface characteristics in the wave equation, which dominate the propagation, follow precisely the same path as the mean surface flow. In addition to this topographic steering, it is shown that a weighted integral of the Rossby propagation term vanishes over any area enclosed by an f / H contour, which has been shown in the two-layer model to lead to Rossby waves jumping across the f / H contour. Finally, a nonlinear Rossby wave equation is derived as a specialisation of the result previously obtained by Rick Salmon. This consists of intrinsic westward propagation at the classical long Rossby speed, modified to account for the finite ocean depth, and a Doppler shift by the depth-mean flow. The latter dominates within the Antarctic Circumpolar Current, consistent with observed eastward propagation of sea surface height anomalies.</t>
  </si>
  <si>
    <t>[Marshall, David P.] Univ Oxford, Dept Phys, Oxford OX1 3PU, England</t>
  </si>
  <si>
    <t>University of Oxford</t>
  </si>
  <si>
    <t>Marshall, DP (corresponding author), Univ Oxford, Dept Phys, Oxford OX1 3PU, England.</t>
  </si>
  <si>
    <t>david.marshall@physics.ox.ac.uk</t>
  </si>
  <si>
    <t>Marshall, David Philip/B-6767-2009</t>
  </si>
  <si>
    <t>Marshall, David Philip/0000-0002-5199-6579</t>
  </si>
  <si>
    <t>10.3390/fluids1020017</t>
  </si>
  <si>
    <t>FR0JH</t>
  </si>
  <si>
    <t>WOS:000418747300011</t>
  </si>
  <si>
    <t>Jackson, A; Davila, AF; Böhlke, JK; Sturchio, NC; Sevanthi, R; Estrada, N; Brundrett, M; Lacelle, D; McKay, CP; Poghosyan, A; Pollard, W; Zacny, K</t>
  </si>
  <si>
    <t>Jackson, Andrew; Davila, Alfonso F.; Bohlke, John Karl; Sturchio, Neil C.; Sevanthi, Ritesh; Estrada, Nubia; Brundrett, Maeghan; Lacelle, Denis; McKay, Christopher P.; Poghosyan, Armen; Pollard, Wayne; Zacny, Kris</t>
  </si>
  <si>
    <t>Deposition, accumulation, and alteration of Cl-, NO3-, ClO4- and ClO3- salts in a hyper-arid polar environment: Mass balance and isotopic constraints</t>
  </si>
  <si>
    <t>MCMURDO DRY VALLEYS; SOUTHERN-VICTORIA-LAND; MIOCENE GLACIER ICE; TAYLOR VALLEY; ATMOSPHERIC NITRATE; UNIVERSITY VALLEY; BEACON-VALLEY; GROUND ICE; ANTARCTICA; SOILS</t>
  </si>
  <si>
    <t>The salt fraction in permafrost soils/sediments of the McMurdo Dry Valleys (MDV) of Antarctica can be used as a proxy for cold desert geochemical processes and paleoclimate reconstruction. Previous analyses of the salt fraction in MDV permafrost soils have largely been conducted in coastal regions where permafrost soils are variably affected by aqueous processes and mixed inputs from marine and stratospheric sources. We expand upon this work by evaluating permafrost soil/sediments in University Valley, located in the ultraxerous zone where both liquid water transport and marine influences are minimal. We determined the abundances of Cl-, NO3-, ClO4- and ClO3- in dry and ice-cemented soil/sediments, snow and glacier ice, and also characterized Cl- and NO3- isotopically. The data are not consistent with salt deposition in a sublimation till, nor with nuclear weapon testing fall-out, and instead point to a dominantly stratospheric source and to varying degrees of post depositional transformation depending on the substrate, from minimal alteration in bare soils to significant alteration (photodegradation and/or volatilization) in snow and glacier ice. Ionic abundances in the dry permafrost layer indicate limited vertical transport under the current climate conditions, likely due to percolation of snowmelt. Subtle changes in ClO4-/NO3- ratios and NO3- isotopic composition with depth and location may reflect both transport related fractionation and depositional history. Low molar ratios of ClO3-/ClO4- in surface soils compared to deposition and other arid systems suggest significant post depositional loss of ClO3-, possibly due to reduction by iron minerals, which may have important implications for oxy-chlorine species on Mars. Salt accumulation varies with distance along the valley and apparent accumulation times based on multiple methods range from similar to 10 to 30 kyr near the glacier to 70-200 kyr near the valley mouth. The relatively young age of the salts and relatively low and homogeneous anion concentrations in the ice-cemented sediments point to either a mechanism of recent salt removal, or to relatively modern permafrost soils (&lt;1 million years). Together, our results show that near surface salts in University Valley serve as an end-member of stratospheric sources not subject to biological processes or extensive remobilization. (C) 2016 Elsevier Ltd. All rights reserved.</t>
  </si>
  <si>
    <t>[Jackson, Andrew; Sevanthi, Ritesh; Estrada, Nubia; Brundrett, Maeghan] Texas Tech Univ, Lubbock, TX 79409 USA; [Davila, Alfonso F.] SETI Inst, Carl Sagan Ctr, 189 Bernardo Ave, Mountain View, CA 94043 USA; [Bohlke, John Karl] US Geol Survey, 431 Natl Ctr, Reston, VA 20192 USA; [Sturchio, Neil C.] Univ Delaware, Dept Geol Sci, Newark, DE 19716 USA; [Lacelle, Denis] Univ Ottawa, Dept Geog, Ottawa, ON K1N 6N5, Canada; [McKay, Christopher P.] NASA, Ames Res Ctr, Moffett Field, CA 94035 USA; [Poghosyan, Armen] Skolkovo Inst Sci &amp; Technol, Moscow, Russia; [Pollard, Wayne] McGill Univ, Dept Geog, Montreal, PQ, Canada; [Zacny, Kris] Honeybee Robot, 398 W Washington Blvd,Suite 200, Pasadena 91103, CA, Russia</t>
  </si>
  <si>
    <t>Texas Tech University System; Texas Tech University; United States Department of the Interior; United States Geological Survey; University of Delaware; University of Ottawa; National Aeronautics &amp; Space Administration (NASA); NASA Ames Research Center; Skolkovo Institute of Science &amp; Technology; McGill University</t>
  </si>
  <si>
    <t>Jackson, A (corresponding author), Texas Tech Univ, Lubbock, TX 79409 USA.</t>
  </si>
  <si>
    <t>Davila, Alfonso F/A-2198-2013; Jackson, William/B-8999-2009; Sevanthi, Ritesh/O-7462-2019; Sevanthi (Dilipan), Ritesh/O-5502-2018</t>
  </si>
  <si>
    <t>Jackson, William/0000-0003-4232-4364; Sevanthi (Dilipan), Ritesh/0000-0002-7651-3553; McKay, Christopher/0000-0002-6243-1362; Lacelle, Denis/0000-0002-6691-8717; Bohlke, John Karl/0000-0001-5693-6455; Poghosyan, Armen/0000-0002-9558-391X; Sturchio, Neil/0000-0002-7581-9585</t>
  </si>
  <si>
    <t>Strategic Environmental Research and Development Program (SERDP) of the U.S. Department of Defense [ER-1435]; U.S. Geological Survey Toxic Substances Hydrology Program; National Research Program; Groundwater Resources Program; National Water Quality Assessment Program</t>
  </si>
  <si>
    <t>Strategic Environmental Research and Development Program (SERDP) of the U.S. Department of Defense; U.S. Geological Survey Toxic Substances Hydrology Program(United States Geological Survey); National Research Program; Groundwater Resources Program; National Water Quality Assessment Program</t>
  </si>
  <si>
    <t>This work was supported by the Strategic Environmental Research and Development Program (SERDP Project ER-1435) of the U.S. Department of Defense; the U.S. Geological Survey Toxic Substances Hydrology Program, National Research Program, Groundwater Resources Program, and National Water Quality Assessment Program; Antarctic fieldwork was supported by the NASA ASTEP program, in collaboration with the Antarctic Program within the NSF Office of Polar Programs. Hillary Dugan and Kyle Cronin (UIC) collected the Taylor Valley aerosol samples. Janet Hannon (USGS) performed the nitrate isotope analyses. Baohua Gu (ORNL), Linnea Heraty (UIC), and Stanley Mroczkowski (USGS) assisted with preparation and analysis of the perchlorate isotope sample. Any use of trade, product, or firm names is for descriptive purposes only and does not imply endorsement by the U.S. Government. Mark Claire, Balaji Rao, and two anonymous reviewers provided helpful comments on the manuscript.</t>
  </si>
  <si>
    <t>10.1016/j.gca.2016.03.012</t>
  </si>
  <si>
    <t>DJ8ZQ</t>
  </si>
  <si>
    <t>WOS:000374503900012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</si>
</sst>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90</v>
      </c>
      <c r="AH2">
        <v>20</v>
      </c>
      <c r="AI2">
        <v>21</v>
      </c>
      <c r="AJ2">
        <v>0</v>
      </c>
      <c r="AK2">
        <v>11</v>
      </c>
      <c r="AL2" t="s">
        <v>92</v>
      </c>
      <c r="AM2" t="s">
        <v>93</v>
      </c>
      <c r="AN2" t="s">
        <v>94</v>
      </c>
      <c r="AO2" t="s">
        <v>95</v>
      </c>
      <c r="AP2" t="s">
        <v>96</v>
      </c>
      <c r="AQ2" t="s">
        <v>74</v>
      </c>
      <c r="AR2" t="s">
        <v>97</v>
      </c>
      <c r="AS2" t="s">
        <v>98</v>
      </c>
      <c r="AT2" t="s">
        <v>99</v>
      </c>
      <c r="AU2">
        <v>2016</v>
      </c>
      <c r="AV2">
        <v>183</v>
      </c>
      <c r="AW2" t="s">
        <v>74</v>
      </c>
      <c r="AX2" t="s">
        <v>74</v>
      </c>
      <c r="AY2" t="s">
        <v>74</v>
      </c>
      <c r="AZ2" t="s">
        <v>74</v>
      </c>
      <c r="BA2" t="s">
        <v>74</v>
      </c>
      <c r="BB2">
        <v>559</v>
      </c>
      <c r="BC2">
        <v>573</v>
      </c>
      <c r="BD2" t="s">
        <v>74</v>
      </c>
      <c r="BE2" t="s">
        <v>100</v>
      </c>
      <c r="BF2" t="str">
        <f>HYPERLINK("http://dx.doi.org/10.1016/j.fishres.2016.02.002","http://dx.doi.org/10.1016/j.fishres.2016.02.002")</f>
        <v>http://dx.doi.org/10.1016/j.fishres.2016.02.002</v>
      </c>
      <c r="BG2" t="s">
        <v>74</v>
      </c>
      <c r="BH2" t="s">
        <v>74</v>
      </c>
      <c r="BI2">
        <v>15</v>
      </c>
      <c r="BJ2" t="s">
        <v>101</v>
      </c>
      <c r="BK2" t="s">
        <v>102</v>
      </c>
      <c r="BL2" t="s">
        <v>101</v>
      </c>
      <c r="BM2" t="s">
        <v>103</v>
      </c>
      <c r="BN2" t="s">
        <v>74</v>
      </c>
      <c r="BO2" t="s">
        <v>104</v>
      </c>
      <c r="BP2" t="s">
        <v>74</v>
      </c>
      <c r="BQ2" t="s">
        <v>74</v>
      </c>
      <c r="BR2" t="s">
        <v>105</v>
      </c>
      <c r="BS2" t="s">
        <v>106</v>
      </c>
      <c r="BT2" t="str">
        <f>HYPERLINK("https%3A%2F%2Fwww.webofscience.com%2Fwos%2Fwoscc%2Ffull-record%2FWOS:000382599600059","View Full Record in Web of Science")</f>
        <v>View Full Record in Web of Science</v>
      </c>
    </row>
    <row r="3" spans="1:72" x14ac:dyDescent="0.15">
      <c r="A3" t="s">
        <v>72</v>
      </c>
      <c r="B3" t="s">
        <v>107</v>
      </c>
      <c r="C3" t="s">
        <v>74</v>
      </c>
      <c r="D3" t="s">
        <v>74</v>
      </c>
      <c r="E3" t="s">
        <v>74</v>
      </c>
      <c r="F3" t="s">
        <v>108</v>
      </c>
      <c r="G3" t="s">
        <v>74</v>
      </c>
      <c r="H3" t="s">
        <v>74</v>
      </c>
      <c r="I3" t="s">
        <v>109</v>
      </c>
      <c r="J3" t="s">
        <v>110</v>
      </c>
      <c r="K3" t="s">
        <v>74</v>
      </c>
      <c r="L3" t="s">
        <v>74</v>
      </c>
      <c r="M3" t="s">
        <v>78</v>
      </c>
      <c r="N3" t="s">
        <v>79</v>
      </c>
      <c r="O3" t="s">
        <v>74</v>
      </c>
      <c r="P3" t="s">
        <v>74</v>
      </c>
      <c r="Q3" t="s">
        <v>74</v>
      </c>
      <c r="R3" t="s">
        <v>74</v>
      </c>
      <c r="S3" t="s">
        <v>74</v>
      </c>
      <c r="T3" t="s">
        <v>74</v>
      </c>
      <c r="U3" t="s">
        <v>111</v>
      </c>
      <c r="V3" t="s">
        <v>112</v>
      </c>
      <c r="W3" t="s">
        <v>113</v>
      </c>
      <c r="X3" t="s">
        <v>114</v>
      </c>
      <c r="Y3" t="s">
        <v>115</v>
      </c>
      <c r="Z3" t="s">
        <v>116</v>
      </c>
      <c r="AA3" t="s">
        <v>117</v>
      </c>
      <c r="AB3" t="s">
        <v>118</v>
      </c>
      <c r="AC3" t="s">
        <v>119</v>
      </c>
      <c r="AD3" t="s">
        <v>120</v>
      </c>
      <c r="AE3" t="s">
        <v>121</v>
      </c>
      <c r="AF3" t="s">
        <v>74</v>
      </c>
      <c r="AG3">
        <v>13</v>
      </c>
      <c r="AH3">
        <v>2</v>
      </c>
      <c r="AI3">
        <v>2</v>
      </c>
      <c r="AJ3">
        <v>8</v>
      </c>
      <c r="AK3">
        <v>24</v>
      </c>
      <c r="AL3" t="s">
        <v>122</v>
      </c>
      <c r="AM3" t="s">
        <v>123</v>
      </c>
      <c r="AN3" t="s">
        <v>124</v>
      </c>
      <c r="AO3" t="s">
        <v>74</v>
      </c>
      <c r="AP3" t="s">
        <v>125</v>
      </c>
      <c r="AQ3" t="s">
        <v>74</v>
      </c>
      <c r="AR3" t="s">
        <v>110</v>
      </c>
      <c r="AS3" t="s">
        <v>126</v>
      </c>
      <c r="AT3" t="s">
        <v>127</v>
      </c>
      <c r="AU3">
        <v>2016</v>
      </c>
      <c r="AV3">
        <v>4</v>
      </c>
      <c r="AW3">
        <v>6</v>
      </c>
      <c r="AX3" t="s">
        <v>74</v>
      </c>
      <c r="AY3" t="s">
        <v>74</v>
      </c>
      <c r="AZ3" t="s">
        <v>74</v>
      </c>
      <c r="BA3" t="s">
        <v>74</v>
      </c>
      <c r="BB3" t="s">
        <v>74</v>
      </c>
      <c r="BC3" t="s">
        <v>74</v>
      </c>
      <c r="BD3" t="s">
        <v>128</v>
      </c>
      <c r="BE3" t="s">
        <v>129</v>
      </c>
      <c r="BF3" t="str">
        <f>HYPERLINK("http://dx.doi.org/10.1128/genomeA.01362-16","http://dx.doi.org/10.1128/genomeA.01362-16")</f>
        <v>http://dx.doi.org/10.1128/genomeA.01362-16</v>
      </c>
      <c r="BG3" t="s">
        <v>74</v>
      </c>
      <c r="BH3" t="s">
        <v>74</v>
      </c>
      <c r="BI3">
        <v>2</v>
      </c>
      <c r="BJ3" t="s">
        <v>130</v>
      </c>
      <c r="BK3" t="s">
        <v>131</v>
      </c>
      <c r="BL3" t="s">
        <v>130</v>
      </c>
      <c r="BM3" t="s">
        <v>132</v>
      </c>
      <c r="BN3">
        <v>27932654</v>
      </c>
      <c r="BO3" t="s">
        <v>133</v>
      </c>
      <c r="BP3" t="s">
        <v>74</v>
      </c>
      <c r="BQ3" t="s">
        <v>74</v>
      </c>
      <c r="BR3" t="s">
        <v>105</v>
      </c>
      <c r="BS3" t="s">
        <v>134</v>
      </c>
      <c r="BT3" t="str">
        <f>HYPERLINK("https%3A%2F%2Fwww.webofscience.com%2Fwos%2Fwoscc%2Ffull-record%2FWOS:000460673800156","View Full Record in Web of Science")</f>
        <v>View Full Record in Web of Science</v>
      </c>
    </row>
    <row r="4" spans="1:72" x14ac:dyDescent="0.15">
      <c r="A4" t="s">
        <v>72</v>
      </c>
      <c r="B4" t="s">
        <v>135</v>
      </c>
      <c r="C4" t="s">
        <v>74</v>
      </c>
      <c r="D4" t="s">
        <v>74</v>
      </c>
      <c r="E4" t="s">
        <v>74</v>
      </c>
      <c r="F4" t="s">
        <v>136</v>
      </c>
      <c r="G4" t="s">
        <v>74</v>
      </c>
      <c r="H4" t="s">
        <v>74</v>
      </c>
      <c r="I4" t="s">
        <v>137</v>
      </c>
      <c r="J4" t="s">
        <v>138</v>
      </c>
      <c r="K4" t="s">
        <v>74</v>
      </c>
      <c r="L4" t="s">
        <v>74</v>
      </c>
      <c r="M4" t="s">
        <v>78</v>
      </c>
      <c r="N4" t="s">
        <v>79</v>
      </c>
      <c r="O4" t="s">
        <v>74</v>
      </c>
      <c r="P4" t="s">
        <v>74</v>
      </c>
      <c r="Q4" t="s">
        <v>74</v>
      </c>
      <c r="R4" t="s">
        <v>74</v>
      </c>
      <c r="S4" t="s">
        <v>74</v>
      </c>
      <c r="T4" t="s">
        <v>74</v>
      </c>
      <c r="U4" t="s">
        <v>139</v>
      </c>
      <c r="V4" t="s">
        <v>140</v>
      </c>
      <c r="W4" t="s">
        <v>141</v>
      </c>
      <c r="X4" t="s">
        <v>142</v>
      </c>
      <c r="Y4" t="s">
        <v>143</v>
      </c>
      <c r="Z4" t="s">
        <v>144</v>
      </c>
      <c r="AA4" t="s">
        <v>74</v>
      </c>
      <c r="AB4" t="s">
        <v>145</v>
      </c>
      <c r="AC4" t="s">
        <v>146</v>
      </c>
      <c r="AD4" t="s">
        <v>147</v>
      </c>
      <c r="AE4" t="s">
        <v>148</v>
      </c>
      <c r="AF4" t="s">
        <v>74</v>
      </c>
      <c r="AG4">
        <v>66</v>
      </c>
      <c r="AH4">
        <v>7</v>
      </c>
      <c r="AI4">
        <v>7</v>
      </c>
      <c r="AJ4">
        <v>1</v>
      </c>
      <c r="AK4">
        <v>9</v>
      </c>
      <c r="AL4" t="s">
        <v>149</v>
      </c>
      <c r="AM4" t="s">
        <v>123</v>
      </c>
      <c r="AN4" t="s">
        <v>150</v>
      </c>
      <c r="AO4" t="s">
        <v>151</v>
      </c>
      <c r="AP4" t="s">
        <v>74</v>
      </c>
      <c r="AQ4" t="s">
        <v>74</v>
      </c>
      <c r="AR4" t="s">
        <v>152</v>
      </c>
      <c r="AS4" t="s">
        <v>153</v>
      </c>
      <c r="AT4" t="s">
        <v>99</v>
      </c>
      <c r="AU4">
        <v>2016</v>
      </c>
      <c r="AV4">
        <v>17</v>
      </c>
      <c r="AW4">
        <v>11</v>
      </c>
      <c r="AX4" t="s">
        <v>74</v>
      </c>
      <c r="AY4" t="s">
        <v>74</v>
      </c>
      <c r="AZ4" t="s">
        <v>74</v>
      </c>
      <c r="BA4" t="s">
        <v>74</v>
      </c>
      <c r="BB4">
        <v>4553</v>
      </c>
      <c r="BC4">
        <v>4565</v>
      </c>
      <c r="BD4" t="s">
        <v>74</v>
      </c>
      <c r="BE4" t="s">
        <v>154</v>
      </c>
      <c r="BF4" t="str">
        <f>HYPERLINK("http://dx.doi.org/10.1002/2016GC006627","http://dx.doi.org/10.1002/2016GC006627")</f>
        <v>http://dx.doi.org/10.1002/2016GC006627</v>
      </c>
      <c r="BG4" t="s">
        <v>74</v>
      </c>
      <c r="BH4" t="s">
        <v>74</v>
      </c>
      <c r="BI4">
        <v>13</v>
      </c>
      <c r="BJ4" t="s">
        <v>155</v>
      </c>
      <c r="BK4" t="s">
        <v>156</v>
      </c>
      <c r="BL4" t="s">
        <v>155</v>
      </c>
      <c r="BM4" t="s">
        <v>157</v>
      </c>
      <c r="BN4" t="s">
        <v>74</v>
      </c>
      <c r="BO4" t="s">
        <v>74</v>
      </c>
      <c r="BP4" t="s">
        <v>74</v>
      </c>
      <c r="BQ4" t="s">
        <v>74</v>
      </c>
      <c r="BR4" t="s">
        <v>105</v>
      </c>
      <c r="BS4" t="s">
        <v>158</v>
      </c>
      <c r="BT4" t="str">
        <f>HYPERLINK("https%3A%2F%2Fwww.webofscience.com%2Fwos%2Fwoscc%2Ffull-record%2FWOS:000392717400016","View Full Record in Web of Science")</f>
        <v>View Full Record in Web of Science</v>
      </c>
    </row>
    <row r="5" spans="1:72" x14ac:dyDescent="0.15">
      <c r="A5" t="s">
        <v>72</v>
      </c>
      <c r="B5" t="s">
        <v>159</v>
      </c>
      <c r="C5" t="s">
        <v>74</v>
      </c>
      <c r="D5" t="s">
        <v>74</v>
      </c>
      <c r="E5" t="s">
        <v>74</v>
      </c>
      <c r="F5" t="s">
        <v>160</v>
      </c>
      <c r="G5" t="s">
        <v>74</v>
      </c>
      <c r="H5" t="s">
        <v>74</v>
      </c>
      <c r="I5" t="s">
        <v>161</v>
      </c>
      <c r="J5" t="s">
        <v>162</v>
      </c>
      <c r="K5" t="s">
        <v>74</v>
      </c>
      <c r="L5" t="s">
        <v>74</v>
      </c>
      <c r="M5" t="s">
        <v>78</v>
      </c>
      <c r="N5" t="s">
        <v>79</v>
      </c>
      <c r="O5" t="s">
        <v>74</v>
      </c>
      <c r="P5" t="s">
        <v>74</v>
      </c>
      <c r="Q5" t="s">
        <v>74</v>
      </c>
      <c r="R5" t="s">
        <v>74</v>
      </c>
      <c r="S5" t="s">
        <v>74</v>
      </c>
      <c r="T5" t="s">
        <v>74</v>
      </c>
      <c r="U5" t="s">
        <v>163</v>
      </c>
      <c r="V5" t="s">
        <v>164</v>
      </c>
      <c r="W5" t="s">
        <v>165</v>
      </c>
      <c r="X5" t="s">
        <v>166</v>
      </c>
      <c r="Y5" t="s">
        <v>167</v>
      </c>
      <c r="Z5" t="s">
        <v>74</v>
      </c>
      <c r="AA5" t="s">
        <v>168</v>
      </c>
      <c r="AB5" t="s">
        <v>169</v>
      </c>
      <c r="AC5" t="s">
        <v>170</v>
      </c>
      <c r="AD5" t="s">
        <v>170</v>
      </c>
      <c r="AE5" t="s">
        <v>171</v>
      </c>
      <c r="AF5" t="s">
        <v>74</v>
      </c>
      <c r="AG5">
        <v>36</v>
      </c>
      <c r="AH5">
        <v>3</v>
      </c>
      <c r="AI5">
        <v>7</v>
      </c>
      <c r="AJ5">
        <v>0</v>
      </c>
      <c r="AK5">
        <v>27</v>
      </c>
      <c r="AL5" t="s">
        <v>172</v>
      </c>
      <c r="AM5" t="s">
        <v>173</v>
      </c>
      <c r="AN5" t="s">
        <v>174</v>
      </c>
      <c r="AO5" t="s">
        <v>175</v>
      </c>
      <c r="AP5" t="s">
        <v>176</v>
      </c>
      <c r="AQ5" t="s">
        <v>74</v>
      </c>
      <c r="AR5" t="s">
        <v>162</v>
      </c>
      <c r="AS5" t="s">
        <v>177</v>
      </c>
      <c r="AT5" t="s">
        <v>99</v>
      </c>
      <c r="AU5">
        <v>2016</v>
      </c>
      <c r="AV5">
        <v>44</v>
      </c>
      <c r="AW5">
        <v>11</v>
      </c>
      <c r="AX5" t="s">
        <v>74</v>
      </c>
      <c r="AY5" t="s">
        <v>74</v>
      </c>
      <c r="AZ5" t="s">
        <v>74</v>
      </c>
      <c r="BA5" t="s">
        <v>74</v>
      </c>
      <c r="BB5">
        <v>923</v>
      </c>
      <c r="BC5">
        <v>926</v>
      </c>
      <c r="BD5" t="s">
        <v>74</v>
      </c>
      <c r="BE5" t="s">
        <v>178</v>
      </c>
      <c r="BF5" t="str">
        <f>HYPERLINK("http://dx.doi.org/10.1130/G38290.1","http://dx.doi.org/10.1130/G38290.1")</f>
        <v>http://dx.doi.org/10.1130/G38290.1</v>
      </c>
      <c r="BG5" t="s">
        <v>74</v>
      </c>
      <c r="BH5" t="s">
        <v>74</v>
      </c>
      <c r="BI5">
        <v>4</v>
      </c>
      <c r="BJ5" t="s">
        <v>177</v>
      </c>
      <c r="BK5" t="s">
        <v>156</v>
      </c>
      <c r="BL5" t="s">
        <v>177</v>
      </c>
      <c r="BM5" t="s">
        <v>179</v>
      </c>
      <c r="BN5" t="s">
        <v>74</v>
      </c>
      <c r="BO5" t="s">
        <v>74</v>
      </c>
      <c r="BP5" t="s">
        <v>74</v>
      </c>
      <c r="BQ5" t="s">
        <v>74</v>
      </c>
      <c r="BR5" t="s">
        <v>105</v>
      </c>
      <c r="BS5" t="s">
        <v>180</v>
      </c>
      <c r="BT5" t="str">
        <f>HYPERLINK("https%3A%2F%2Fwww.webofscience.com%2Fwos%2Fwoscc%2Ffull-record%2FWOS:000386121200011","View Full Record in Web of Science")</f>
        <v>View Full Record in Web of Science</v>
      </c>
    </row>
    <row r="6" spans="1:72" x14ac:dyDescent="0.15">
      <c r="A6" t="s">
        <v>72</v>
      </c>
      <c r="B6" t="s">
        <v>181</v>
      </c>
      <c r="C6" t="s">
        <v>74</v>
      </c>
      <c r="D6" t="s">
        <v>74</v>
      </c>
      <c r="E6" t="s">
        <v>74</v>
      </c>
      <c r="F6" t="s">
        <v>182</v>
      </c>
      <c r="G6" t="s">
        <v>74</v>
      </c>
      <c r="H6" t="s">
        <v>74</v>
      </c>
      <c r="I6" t="s">
        <v>183</v>
      </c>
      <c r="J6" t="s">
        <v>184</v>
      </c>
      <c r="K6" t="s">
        <v>74</v>
      </c>
      <c r="L6" t="s">
        <v>74</v>
      </c>
      <c r="M6" t="s">
        <v>78</v>
      </c>
      <c r="N6" t="s">
        <v>79</v>
      </c>
      <c r="O6" t="s">
        <v>74</v>
      </c>
      <c r="P6" t="s">
        <v>74</v>
      </c>
      <c r="Q6" t="s">
        <v>74</v>
      </c>
      <c r="R6" t="s">
        <v>74</v>
      </c>
      <c r="S6" t="s">
        <v>74</v>
      </c>
      <c r="T6" t="s">
        <v>185</v>
      </c>
      <c r="U6" t="s">
        <v>186</v>
      </c>
      <c r="V6" t="s">
        <v>187</v>
      </c>
      <c r="W6" t="s">
        <v>188</v>
      </c>
      <c r="X6" t="s">
        <v>189</v>
      </c>
      <c r="Y6" t="s">
        <v>190</v>
      </c>
      <c r="Z6" t="s">
        <v>191</v>
      </c>
      <c r="AA6" t="s">
        <v>74</v>
      </c>
      <c r="AB6" t="s">
        <v>192</v>
      </c>
      <c r="AC6" t="s">
        <v>193</v>
      </c>
      <c r="AD6" t="s">
        <v>194</v>
      </c>
      <c r="AE6" t="s">
        <v>195</v>
      </c>
      <c r="AF6" t="s">
        <v>74</v>
      </c>
      <c r="AG6">
        <v>68</v>
      </c>
      <c r="AH6">
        <v>107</v>
      </c>
      <c r="AI6">
        <v>113</v>
      </c>
      <c r="AJ6">
        <v>4</v>
      </c>
      <c r="AK6">
        <v>45</v>
      </c>
      <c r="AL6" t="s">
        <v>196</v>
      </c>
      <c r="AM6" t="s">
        <v>93</v>
      </c>
      <c r="AN6" t="s">
        <v>197</v>
      </c>
      <c r="AO6" t="s">
        <v>198</v>
      </c>
      <c r="AP6" t="s">
        <v>199</v>
      </c>
      <c r="AQ6" t="s">
        <v>74</v>
      </c>
      <c r="AR6" t="s">
        <v>200</v>
      </c>
      <c r="AS6" t="s">
        <v>201</v>
      </c>
      <c r="AT6" t="s">
        <v>99</v>
      </c>
      <c r="AU6">
        <v>2016</v>
      </c>
      <c r="AV6">
        <v>146</v>
      </c>
      <c r="AW6" t="s">
        <v>74</v>
      </c>
      <c r="AX6" t="s">
        <v>74</v>
      </c>
      <c r="AY6" t="s">
        <v>74</v>
      </c>
      <c r="AZ6" t="s">
        <v>74</v>
      </c>
      <c r="BA6" t="s">
        <v>74</v>
      </c>
      <c r="BB6">
        <v>179</v>
      </c>
      <c r="BC6">
        <v>189</v>
      </c>
      <c r="BD6" t="s">
        <v>74</v>
      </c>
      <c r="BE6" t="s">
        <v>202</v>
      </c>
      <c r="BF6" t="str">
        <f>HYPERLINK("http://dx.doi.org/10.1016/j.gloplacha.2016.10.006","http://dx.doi.org/10.1016/j.gloplacha.2016.10.006")</f>
        <v>http://dx.doi.org/10.1016/j.gloplacha.2016.10.006</v>
      </c>
      <c r="BG6" t="s">
        <v>74</v>
      </c>
      <c r="BH6" t="s">
        <v>74</v>
      </c>
      <c r="BI6">
        <v>11</v>
      </c>
      <c r="BJ6" t="s">
        <v>203</v>
      </c>
      <c r="BK6" t="s">
        <v>156</v>
      </c>
      <c r="BL6" t="s">
        <v>204</v>
      </c>
      <c r="BM6" t="s">
        <v>205</v>
      </c>
      <c r="BN6" t="s">
        <v>74</v>
      </c>
      <c r="BO6" t="s">
        <v>206</v>
      </c>
      <c r="BP6" t="s">
        <v>74</v>
      </c>
      <c r="BQ6" t="s">
        <v>74</v>
      </c>
      <c r="BR6" t="s">
        <v>105</v>
      </c>
      <c r="BS6" t="s">
        <v>207</v>
      </c>
      <c r="BT6" t="str">
        <f>HYPERLINK("https%3A%2F%2Fwww.webofscience.com%2Fwos%2Fwoscc%2Ffull-record%2FWOS:000388049700015","View Full Record in Web of Science")</f>
        <v>View Full Record in Web of Science</v>
      </c>
    </row>
    <row r="7" spans="1:72" x14ac:dyDescent="0.15">
      <c r="A7" t="s">
        <v>72</v>
      </c>
      <c r="B7" t="s">
        <v>208</v>
      </c>
      <c r="C7" t="s">
        <v>74</v>
      </c>
      <c r="D7" t="s">
        <v>74</v>
      </c>
      <c r="E7" t="s">
        <v>74</v>
      </c>
      <c r="F7" t="s">
        <v>209</v>
      </c>
      <c r="G7" t="s">
        <v>74</v>
      </c>
      <c r="H7" t="s">
        <v>74</v>
      </c>
      <c r="I7" t="s">
        <v>210</v>
      </c>
      <c r="J7" t="s">
        <v>211</v>
      </c>
      <c r="K7" t="s">
        <v>74</v>
      </c>
      <c r="L7" t="s">
        <v>74</v>
      </c>
      <c r="M7" t="s">
        <v>78</v>
      </c>
      <c r="N7" t="s">
        <v>79</v>
      </c>
      <c r="O7" t="s">
        <v>74</v>
      </c>
      <c r="P7" t="s">
        <v>74</v>
      </c>
      <c r="Q7" t="s">
        <v>74</v>
      </c>
      <c r="R7" t="s">
        <v>74</v>
      </c>
      <c r="S7" t="s">
        <v>74</v>
      </c>
      <c r="T7" t="s">
        <v>212</v>
      </c>
      <c r="U7" t="s">
        <v>213</v>
      </c>
      <c r="V7" t="s">
        <v>214</v>
      </c>
      <c r="W7" t="s">
        <v>215</v>
      </c>
      <c r="X7" t="s">
        <v>216</v>
      </c>
      <c r="Y7" t="s">
        <v>217</v>
      </c>
      <c r="Z7" t="s">
        <v>218</v>
      </c>
      <c r="AA7" t="s">
        <v>219</v>
      </c>
      <c r="AB7" t="s">
        <v>220</v>
      </c>
      <c r="AC7" t="s">
        <v>221</v>
      </c>
      <c r="AD7" t="s">
        <v>222</v>
      </c>
      <c r="AE7" t="s">
        <v>223</v>
      </c>
      <c r="AF7" t="s">
        <v>74</v>
      </c>
      <c r="AG7">
        <v>63</v>
      </c>
      <c r="AH7">
        <v>16</v>
      </c>
      <c r="AI7">
        <v>16</v>
      </c>
      <c r="AJ7">
        <v>0</v>
      </c>
      <c r="AK7">
        <v>25</v>
      </c>
      <c r="AL7" t="s">
        <v>149</v>
      </c>
      <c r="AM7" t="s">
        <v>123</v>
      </c>
      <c r="AN7" t="s">
        <v>150</v>
      </c>
      <c r="AO7" t="s">
        <v>224</v>
      </c>
      <c r="AP7" t="s">
        <v>225</v>
      </c>
      <c r="AQ7" t="s">
        <v>74</v>
      </c>
      <c r="AR7" t="s">
        <v>226</v>
      </c>
      <c r="AS7" t="s">
        <v>227</v>
      </c>
      <c r="AT7" t="s">
        <v>99</v>
      </c>
      <c r="AU7">
        <v>2016</v>
      </c>
      <c r="AV7">
        <v>30</v>
      </c>
      <c r="AW7">
        <v>11</v>
      </c>
      <c r="AX7" t="s">
        <v>74</v>
      </c>
      <c r="AY7" t="s">
        <v>74</v>
      </c>
      <c r="AZ7" t="s">
        <v>74</v>
      </c>
      <c r="BA7" t="s">
        <v>74</v>
      </c>
      <c r="BB7">
        <v>1682</v>
      </c>
      <c r="BC7">
        <v>1698</v>
      </c>
      <c r="BD7" t="s">
        <v>74</v>
      </c>
      <c r="BE7" t="s">
        <v>228</v>
      </c>
      <c r="BF7" t="str">
        <f>HYPERLINK("http://dx.doi.org/10.1002/2016GB005476","http://dx.doi.org/10.1002/2016GB005476")</f>
        <v>http://dx.doi.org/10.1002/2016GB005476</v>
      </c>
      <c r="BG7" t="s">
        <v>74</v>
      </c>
      <c r="BH7" t="s">
        <v>74</v>
      </c>
      <c r="BI7">
        <v>17</v>
      </c>
      <c r="BJ7" t="s">
        <v>229</v>
      </c>
      <c r="BK7" t="s">
        <v>156</v>
      </c>
      <c r="BL7" t="s">
        <v>230</v>
      </c>
      <c r="BM7" t="s">
        <v>231</v>
      </c>
      <c r="BN7" t="s">
        <v>74</v>
      </c>
      <c r="BO7" t="s">
        <v>232</v>
      </c>
      <c r="BP7" t="s">
        <v>74</v>
      </c>
      <c r="BQ7" t="s">
        <v>74</v>
      </c>
      <c r="BR7" t="s">
        <v>105</v>
      </c>
      <c r="BS7" t="s">
        <v>233</v>
      </c>
      <c r="BT7" t="str">
        <f>HYPERLINK("https%3A%2F%2Fwww.webofscience.com%2Fwos%2Fwoscc%2Ffull-record%2FWOS:000390812300007","View Full Record in Web of Science")</f>
        <v>View Full Record in Web of Science</v>
      </c>
    </row>
    <row r="8" spans="1:72" x14ac:dyDescent="0.15">
      <c r="A8" t="s">
        <v>72</v>
      </c>
      <c r="B8" t="s">
        <v>234</v>
      </c>
      <c r="C8" t="s">
        <v>74</v>
      </c>
      <c r="D8" t="s">
        <v>74</v>
      </c>
      <c r="E8" t="s">
        <v>74</v>
      </c>
      <c r="F8" t="s">
        <v>235</v>
      </c>
      <c r="G8" t="s">
        <v>74</v>
      </c>
      <c r="H8" t="s">
        <v>74</v>
      </c>
      <c r="I8" t="s">
        <v>236</v>
      </c>
      <c r="J8" t="s">
        <v>237</v>
      </c>
      <c r="K8" t="s">
        <v>74</v>
      </c>
      <c r="L8" t="s">
        <v>74</v>
      </c>
      <c r="M8" t="s">
        <v>78</v>
      </c>
      <c r="N8" t="s">
        <v>79</v>
      </c>
      <c r="O8" t="s">
        <v>74</v>
      </c>
      <c r="P8" t="s">
        <v>74</v>
      </c>
      <c r="Q8" t="s">
        <v>74</v>
      </c>
      <c r="R8" t="s">
        <v>74</v>
      </c>
      <c r="S8" t="s">
        <v>74</v>
      </c>
      <c r="T8" t="s">
        <v>74</v>
      </c>
      <c r="U8" t="s">
        <v>238</v>
      </c>
      <c r="V8" t="s">
        <v>239</v>
      </c>
      <c r="W8" t="s">
        <v>240</v>
      </c>
      <c r="X8" t="s">
        <v>241</v>
      </c>
      <c r="Y8" t="s">
        <v>242</v>
      </c>
      <c r="Z8" t="s">
        <v>243</v>
      </c>
      <c r="AA8" t="s">
        <v>244</v>
      </c>
      <c r="AB8" t="s">
        <v>245</v>
      </c>
      <c r="AC8" t="s">
        <v>246</v>
      </c>
      <c r="AD8" t="s">
        <v>247</v>
      </c>
      <c r="AE8" t="s">
        <v>248</v>
      </c>
      <c r="AF8" t="s">
        <v>74</v>
      </c>
      <c r="AG8">
        <v>24</v>
      </c>
      <c r="AH8">
        <v>12</v>
      </c>
      <c r="AI8">
        <v>12</v>
      </c>
      <c r="AJ8">
        <v>0</v>
      </c>
      <c r="AK8">
        <v>9</v>
      </c>
      <c r="AL8" t="s">
        <v>249</v>
      </c>
      <c r="AM8" t="s">
        <v>250</v>
      </c>
      <c r="AN8" t="s">
        <v>251</v>
      </c>
      <c r="AO8" t="s">
        <v>252</v>
      </c>
      <c r="AP8" t="s">
        <v>253</v>
      </c>
      <c r="AQ8" t="s">
        <v>74</v>
      </c>
      <c r="AR8" t="s">
        <v>254</v>
      </c>
      <c r="AS8" t="s">
        <v>255</v>
      </c>
      <c r="AT8" t="s">
        <v>99</v>
      </c>
      <c r="AU8">
        <v>2016</v>
      </c>
      <c r="AV8">
        <v>66</v>
      </c>
      <c r="AW8" t="s">
        <v>74</v>
      </c>
      <c r="AX8">
        <v>11</v>
      </c>
      <c r="AY8" t="s">
        <v>74</v>
      </c>
      <c r="AZ8" t="s">
        <v>74</v>
      </c>
      <c r="BA8" t="s">
        <v>74</v>
      </c>
      <c r="BB8">
        <v>4401</v>
      </c>
      <c r="BC8">
        <v>4405</v>
      </c>
      <c r="BD8" t="s">
        <v>74</v>
      </c>
      <c r="BE8" t="s">
        <v>256</v>
      </c>
      <c r="BF8" t="str">
        <f>HYPERLINK("http://dx.doi.org/10.1099/ijsem.0.001364","http://dx.doi.org/10.1099/ijsem.0.001364")</f>
        <v>http://dx.doi.org/10.1099/ijsem.0.001364</v>
      </c>
      <c r="BG8" t="s">
        <v>74</v>
      </c>
      <c r="BH8" t="s">
        <v>74</v>
      </c>
      <c r="BI8">
        <v>5</v>
      </c>
      <c r="BJ8" t="s">
        <v>130</v>
      </c>
      <c r="BK8" t="s">
        <v>156</v>
      </c>
      <c r="BL8" t="s">
        <v>130</v>
      </c>
      <c r="BM8" t="s">
        <v>257</v>
      </c>
      <c r="BN8">
        <v>27488543</v>
      </c>
      <c r="BO8" t="s">
        <v>258</v>
      </c>
      <c r="BP8" t="s">
        <v>74</v>
      </c>
      <c r="BQ8" t="s">
        <v>74</v>
      </c>
      <c r="BR8" t="s">
        <v>105</v>
      </c>
      <c r="BS8" t="s">
        <v>259</v>
      </c>
      <c r="BT8" t="str">
        <f>HYPERLINK("https%3A%2F%2Fwww.webofscience.com%2Fwos%2Fwoscc%2Ffull-record%2FWOS:000390686600015","View Full Record in Web of Science")</f>
        <v>View Full Record in Web of Science</v>
      </c>
    </row>
    <row r="9" spans="1:72" x14ac:dyDescent="0.15">
      <c r="A9" t="s">
        <v>72</v>
      </c>
      <c r="B9" t="s">
        <v>260</v>
      </c>
      <c r="C9" t="s">
        <v>74</v>
      </c>
      <c r="D9" t="s">
        <v>74</v>
      </c>
      <c r="E9" t="s">
        <v>74</v>
      </c>
      <c r="F9" t="s">
        <v>261</v>
      </c>
      <c r="G9" t="s">
        <v>74</v>
      </c>
      <c r="H9" t="s">
        <v>74</v>
      </c>
      <c r="I9" t="s">
        <v>262</v>
      </c>
      <c r="J9" t="s">
        <v>263</v>
      </c>
      <c r="K9" t="s">
        <v>74</v>
      </c>
      <c r="L9" t="s">
        <v>74</v>
      </c>
      <c r="M9" t="s">
        <v>78</v>
      </c>
      <c r="N9" t="s">
        <v>79</v>
      </c>
      <c r="O9" t="s">
        <v>74</v>
      </c>
      <c r="P9" t="s">
        <v>74</v>
      </c>
      <c r="Q9" t="s">
        <v>74</v>
      </c>
      <c r="R9" t="s">
        <v>74</v>
      </c>
      <c r="S9" t="s">
        <v>74</v>
      </c>
      <c r="T9" t="s">
        <v>74</v>
      </c>
      <c r="U9" t="s">
        <v>264</v>
      </c>
      <c r="V9" t="s">
        <v>265</v>
      </c>
      <c r="W9" t="s">
        <v>266</v>
      </c>
      <c r="X9" t="s">
        <v>267</v>
      </c>
      <c r="Y9" t="s">
        <v>268</v>
      </c>
      <c r="Z9" t="s">
        <v>269</v>
      </c>
      <c r="AA9" t="s">
        <v>270</v>
      </c>
      <c r="AB9" t="s">
        <v>271</v>
      </c>
      <c r="AC9" t="s">
        <v>272</v>
      </c>
      <c r="AD9" t="s">
        <v>273</v>
      </c>
      <c r="AE9" t="s">
        <v>274</v>
      </c>
      <c r="AF9" t="s">
        <v>74</v>
      </c>
      <c r="AG9">
        <v>79</v>
      </c>
      <c r="AH9">
        <v>54</v>
      </c>
      <c r="AI9">
        <v>59</v>
      </c>
      <c r="AJ9">
        <v>3</v>
      </c>
      <c r="AK9">
        <v>55</v>
      </c>
      <c r="AL9" t="s">
        <v>275</v>
      </c>
      <c r="AM9" t="s">
        <v>250</v>
      </c>
      <c r="AN9" t="s">
        <v>276</v>
      </c>
      <c r="AO9" t="s">
        <v>277</v>
      </c>
      <c r="AP9" t="s">
        <v>278</v>
      </c>
      <c r="AQ9" t="s">
        <v>74</v>
      </c>
      <c r="AR9" t="s">
        <v>279</v>
      </c>
      <c r="AS9" t="s">
        <v>280</v>
      </c>
      <c r="AT9" t="s">
        <v>99</v>
      </c>
      <c r="AU9">
        <v>2016</v>
      </c>
      <c r="AV9">
        <v>10</v>
      </c>
      <c r="AW9">
        <v>11</v>
      </c>
      <c r="AX9" t="s">
        <v>74</v>
      </c>
      <c r="AY9" t="s">
        <v>74</v>
      </c>
      <c r="AZ9" t="s">
        <v>74</v>
      </c>
      <c r="BA9" t="s">
        <v>74</v>
      </c>
      <c r="BB9">
        <v>2605</v>
      </c>
      <c r="BC9">
        <v>2619</v>
      </c>
      <c r="BD9" t="s">
        <v>74</v>
      </c>
      <c r="BE9" t="s">
        <v>281</v>
      </c>
      <c r="BF9" t="str">
        <f>HYPERLINK("http://dx.doi.org/10.1038/ismej.2016.61","http://dx.doi.org/10.1038/ismej.2016.61")</f>
        <v>http://dx.doi.org/10.1038/ismej.2016.61</v>
      </c>
      <c r="BG9" t="s">
        <v>74</v>
      </c>
      <c r="BH9" t="s">
        <v>74</v>
      </c>
      <c r="BI9">
        <v>15</v>
      </c>
      <c r="BJ9" t="s">
        <v>282</v>
      </c>
      <c r="BK9" t="s">
        <v>156</v>
      </c>
      <c r="BL9" t="s">
        <v>283</v>
      </c>
      <c r="BM9" t="s">
        <v>284</v>
      </c>
      <c r="BN9">
        <v>27187795</v>
      </c>
      <c r="BO9" t="s">
        <v>285</v>
      </c>
      <c r="BP9" t="s">
        <v>74</v>
      </c>
      <c r="BQ9" t="s">
        <v>74</v>
      </c>
      <c r="BR9" t="s">
        <v>105</v>
      </c>
      <c r="BS9" t="s">
        <v>286</v>
      </c>
      <c r="BT9" t="str">
        <f>HYPERLINK("https%3A%2F%2Fwww.webofscience.com%2Fwos%2Fwoscc%2Ffull-record%2FWOS:000387035700005","View Full Record in Web of Science")</f>
        <v>View Full Record in Web of Science</v>
      </c>
    </row>
    <row r="10" spans="1:72" x14ac:dyDescent="0.15">
      <c r="A10" t="s">
        <v>72</v>
      </c>
      <c r="B10" t="s">
        <v>287</v>
      </c>
      <c r="C10" t="s">
        <v>74</v>
      </c>
      <c r="D10" t="s">
        <v>74</v>
      </c>
      <c r="E10" t="s">
        <v>74</v>
      </c>
      <c r="F10" t="s">
        <v>288</v>
      </c>
      <c r="G10" t="s">
        <v>74</v>
      </c>
      <c r="H10" t="s">
        <v>74</v>
      </c>
      <c r="I10" t="s">
        <v>289</v>
      </c>
      <c r="J10" t="s">
        <v>290</v>
      </c>
      <c r="K10" t="s">
        <v>74</v>
      </c>
      <c r="L10" t="s">
        <v>74</v>
      </c>
      <c r="M10" t="s">
        <v>78</v>
      </c>
      <c r="N10" t="s">
        <v>79</v>
      </c>
      <c r="O10" t="s">
        <v>74</v>
      </c>
      <c r="P10" t="s">
        <v>74</v>
      </c>
      <c r="Q10" t="s">
        <v>74</v>
      </c>
      <c r="R10" t="s">
        <v>74</v>
      </c>
      <c r="S10" t="s">
        <v>74</v>
      </c>
      <c r="T10" t="s">
        <v>291</v>
      </c>
      <c r="U10" t="s">
        <v>292</v>
      </c>
      <c r="V10" t="s">
        <v>293</v>
      </c>
      <c r="W10" t="s">
        <v>294</v>
      </c>
      <c r="X10" t="s">
        <v>295</v>
      </c>
      <c r="Y10" t="s">
        <v>296</v>
      </c>
      <c r="Z10" t="s">
        <v>297</v>
      </c>
      <c r="AA10" t="s">
        <v>298</v>
      </c>
      <c r="AB10" t="s">
        <v>299</v>
      </c>
      <c r="AC10" t="s">
        <v>300</v>
      </c>
      <c r="AD10" t="s">
        <v>301</v>
      </c>
      <c r="AE10" t="s">
        <v>302</v>
      </c>
      <c r="AF10" t="s">
        <v>74</v>
      </c>
      <c r="AG10">
        <v>58</v>
      </c>
      <c r="AH10">
        <v>52</v>
      </c>
      <c r="AI10">
        <v>55</v>
      </c>
      <c r="AJ10">
        <v>0</v>
      </c>
      <c r="AK10">
        <v>16</v>
      </c>
      <c r="AL10" t="s">
        <v>303</v>
      </c>
      <c r="AM10" t="s">
        <v>304</v>
      </c>
      <c r="AN10" t="s">
        <v>305</v>
      </c>
      <c r="AO10" t="s">
        <v>306</v>
      </c>
      <c r="AP10" t="s">
        <v>307</v>
      </c>
      <c r="AQ10" t="s">
        <v>74</v>
      </c>
      <c r="AR10" t="s">
        <v>308</v>
      </c>
      <c r="AS10" t="s">
        <v>309</v>
      </c>
      <c r="AT10" t="s">
        <v>99</v>
      </c>
      <c r="AU10">
        <v>2016</v>
      </c>
      <c r="AV10">
        <v>149</v>
      </c>
      <c r="AW10" t="s">
        <v>74</v>
      </c>
      <c r="AX10" t="s">
        <v>74</v>
      </c>
      <c r="AY10" t="s">
        <v>74</v>
      </c>
      <c r="AZ10" t="s">
        <v>74</v>
      </c>
      <c r="BA10" t="s">
        <v>74</v>
      </c>
      <c r="BB10">
        <v>180</v>
      </c>
      <c r="BC10">
        <v>190</v>
      </c>
      <c r="BD10" t="s">
        <v>74</v>
      </c>
      <c r="BE10" t="s">
        <v>310</v>
      </c>
      <c r="BF10" t="str">
        <f>HYPERLINK("http://dx.doi.org/10.1016/j.jastp.2016.04.008","http://dx.doi.org/10.1016/j.jastp.2016.04.008")</f>
        <v>http://dx.doi.org/10.1016/j.jastp.2016.04.008</v>
      </c>
      <c r="BG10" t="s">
        <v>74</v>
      </c>
      <c r="BH10" t="s">
        <v>74</v>
      </c>
      <c r="BI10">
        <v>11</v>
      </c>
      <c r="BJ10" t="s">
        <v>311</v>
      </c>
      <c r="BK10" t="s">
        <v>156</v>
      </c>
      <c r="BL10" t="s">
        <v>311</v>
      </c>
      <c r="BM10" t="s">
        <v>312</v>
      </c>
      <c r="BN10" t="s">
        <v>74</v>
      </c>
      <c r="BO10" t="s">
        <v>285</v>
      </c>
      <c r="BP10" t="s">
        <v>74</v>
      </c>
      <c r="BQ10" t="s">
        <v>74</v>
      </c>
      <c r="BR10" t="s">
        <v>105</v>
      </c>
      <c r="BS10" t="s">
        <v>313</v>
      </c>
      <c r="BT10" t="str">
        <f>HYPERLINK("https%3A%2F%2Fwww.webofscience.com%2Fwos%2Fwoscc%2Ffull-record%2FWOS:000389094300021","View Full Record in Web of Science")</f>
        <v>View Full Record in Web of Science</v>
      </c>
    </row>
    <row r="11" spans="1:72" x14ac:dyDescent="0.15">
      <c r="A11" t="s">
        <v>72</v>
      </c>
      <c r="B11" t="s">
        <v>314</v>
      </c>
      <c r="C11" t="s">
        <v>74</v>
      </c>
      <c r="D11" t="s">
        <v>74</v>
      </c>
      <c r="E11" t="s">
        <v>74</v>
      </c>
      <c r="F11" t="s">
        <v>315</v>
      </c>
      <c r="G11" t="s">
        <v>74</v>
      </c>
      <c r="H11" t="s">
        <v>74</v>
      </c>
      <c r="I11" t="s">
        <v>316</v>
      </c>
      <c r="J11" t="s">
        <v>290</v>
      </c>
      <c r="K11" t="s">
        <v>74</v>
      </c>
      <c r="L11" t="s">
        <v>74</v>
      </c>
      <c r="M11" t="s">
        <v>78</v>
      </c>
      <c r="N11" t="s">
        <v>317</v>
      </c>
      <c r="O11" t="s">
        <v>74</v>
      </c>
      <c r="P11" t="s">
        <v>74</v>
      </c>
      <c r="Q11" t="s">
        <v>74</v>
      </c>
      <c r="R11" t="s">
        <v>74</v>
      </c>
      <c r="S11" t="s">
        <v>74</v>
      </c>
      <c r="T11" t="s">
        <v>318</v>
      </c>
      <c r="U11" t="s">
        <v>319</v>
      </c>
      <c r="V11" t="s">
        <v>320</v>
      </c>
      <c r="W11" t="s">
        <v>321</v>
      </c>
      <c r="X11" t="s">
        <v>322</v>
      </c>
      <c r="Y11" t="s">
        <v>323</v>
      </c>
      <c r="Z11" t="s">
        <v>324</v>
      </c>
      <c r="AA11" t="s">
        <v>74</v>
      </c>
      <c r="AB11" t="s">
        <v>74</v>
      </c>
      <c r="AC11" t="s">
        <v>325</v>
      </c>
      <c r="AD11" t="s">
        <v>326</v>
      </c>
      <c r="AE11" t="s">
        <v>327</v>
      </c>
      <c r="AF11" t="s">
        <v>74</v>
      </c>
      <c r="AG11">
        <v>98</v>
      </c>
      <c r="AH11">
        <v>50</v>
      </c>
      <c r="AI11">
        <v>52</v>
      </c>
      <c r="AJ11">
        <v>0</v>
      </c>
      <c r="AK11">
        <v>26</v>
      </c>
      <c r="AL11" t="s">
        <v>303</v>
      </c>
      <c r="AM11" t="s">
        <v>304</v>
      </c>
      <c r="AN11" t="s">
        <v>305</v>
      </c>
      <c r="AO11" t="s">
        <v>306</v>
      </c>
      <c r="AP11" t="s">
        <v>307</v>
      </c>
      <c r="AQ11" t="s">
        <v>74</v>
      </c>
      <c r="AR11" t="s">
        <v>308</v>
      </c>
      <c r="AS11" t="s">
        <v>309</v>
      </c>
      <c r="AT11" t="s">
        <v>99</v>
      </c>
      <c r="AU11">
        <v>2016</v>
      </c>
      <c r="AV11">
        <v>149</v>
      </c>
      <c r="AW11" t="s">
        <v>74</v>
      </c>
      <c r="AX11" t="s">
        <v>74</v>
      </c>
      <c r="AY11" t="s">
        <v>74</v>
      </c>
      <c r="AZ11" t="s">
        <v>74</v>
      </c>
      <c r="BA11" t="s">
        <v>74</v>
      </c>
      <c r="BB11">
        <v>277</v>
      </c>
      <c r="BC11">
        <v>290</v>
      </c>
      <c r="BD11" t="s">
        <v>74</v>
      </c>
      <c r="BE11" t="s">
        <v>328</v>
      </c>
      <c r="BF11" t="str">
        <f>HYPERLINK("http://dx.doi.org/10.1016/j.jastp.2015.10.019","http://dx.doi.org/10.1016/j.jastp.2015.10.019")</f>
        <v>http://dx.doi.org/10.1016/j.jastp.2015.10.019</v>
      </c>
      <c r="BG11" t="s">
        <v>74</v>
      </c>
      <c r="BH11" t="s">
        <v>74</v>
      </c>
      <c r="BI11">
        <v>14</v>
      </c>
      <c r="BJ11" t="s">
        <v>311</v>
      </c>
      <c r="BK11" t="s">
        <v>156</v>
      </c>
      <c r="BL11" t="s">
        <v>311</v>
      </c>
      <c r="BM11" t="s">
        <v>312</v>
      </c>
      <c r="BN11" t="s">
        <v>74</v>
      </c>
      <c r="BO11" t="s">
        <v>329</v>
      </c>
      <c r="BP11" t="s">
        <v>74</v>
      </c>
      <c r="BQ11" t="s">
        <v>74</v>
      </c>
      <c r="BR11" t="s">
        <v>105</v>
      </c>
      <c r="BS11" t="s">
        <v>330</v>
      </c>
      <c r="BT11" t="str">
        <f>HYPERLINK("https%3A%2F%2Fwww.webofscience.com%2Fwos%2Fwoscc%2Ffull-record%2FWOS:000389094300028","View Full Record in Web of Science")</f>
        <v>View Full Record in Web of Science</v>
      </c>
    </row>
    <row r="12" spans="1:72" x14ac:dyDescent="0.15">
      <c r="A12" t="s">
        <v>72</v>
      </c>
      <c r="B12" t="s">
        <v>331</v>
      </c>
      <c r="C12" t="s">
        <v>74</v>
      </c>
      <c r="D12" t="s">
        <v>74</v>
      </c>
      <c r="E12" t="s">
        <v>74</v>
      </c>
      <c r="F12" t="s">
        <v>332</v>
      </c>
      <c r="G12" t="s">
        <v>74</v>
      </c>
      <c r="H12" t="s">
        <v>74</v>
      </c>
      <c r="I12" t="s">
        <v>333</v>
      </c>
      <c r="J12" t="s">
        <v>334</v>
      </c>
      <c r="K12" t="s">
        <v>74</v>
      </c>
      <c r="L12" t="s">
        <v>74</v>
      </c>
      <c r="M12" t="s">
        <v>78</v>
      </c>
      <c r="N12" t="s">
        <v>79</v>
      </c>
      <c r="O12" t="s">
        <v>74</v>
      </c>
      <c r="P12" t="s">
        <v>74</v>
      </c>
      <c r="Q12" t="s">
        <v>74</v>
      </c>
      <c r="R12" t="s">
        <v>74</v>
      </c>
      <c r="S12" t="s">
        <v>74</v>
      </c>
      <c r="T12" t="s">
        <v>335</v>
      </c>
      <c r="U12" t="s">
        <v>336</v>
      </c>
      <c r="V12" t="s">
        <v>337</v>
      </c>
      <c r="W12" t="s">
        <v>338</v>
      </c>
      <c r="X12" t="s">
        <v>339</v>
      </c>
      <c r="Y12" t="s">
        <v>340</v>
      </c>
      <c r="Z12" t="s">
        <v>341</v>
      </c>
      <c r="AA12" t="s">
        <v>342</v>
      </c>
      <c r="AB12" t="s">
        <v>343</v>
      </c>
      <c r="AC12" t="s">
        <v>344</v>
      </c>
      <c r="AD12" t="s">
        <v>345</v>
      </c>
      <c r="AE12" t="s">
        <v>346</v>
      </c>
      <c r="AF12" t="s">
        <v>74</v>
      </c>
      <c r="AG12">
        <v>99</v>
      </c>
      <c r="AH12">
        <v>21</v>
      </c>
      <c r="AI12">
        <v>30</v>
      </c>
      <c r="AJ12">
        <v>2</v>
      </c>
      <c r="AK12">
        <v>28</v>
      </c>
      <c r="AL12" t="s">
        <v>149</v>
      </c>
      <c r="AM12" t="s">
        <v>123</v>
      </c>
      <c r="AN12" t="s">
        <v>150</v>
      </c>
      <c r="AO12" t="s">
        <v>347</v>
      </c>
      <c r="AP12" t="s">
        <v>348</v>
      </c>
      <c r="AQ12" t="s">
        <v>74</v>
      </c>
      <c r="AR12" t="s">
        <v>349</v>
      </c>
      <c r="AS12" t="s">
        <v>350</v>
      </c>
      <c r="AT12" t="s">
        <v>99</v>
      </c>
      <c r="AU12">
        <v>2016</v>
      </c>
      <c r="AV12">
        <v>121</v>
      </c>
      <c r="AW12">
        <v>11</v>
      </c>
      <c r="AX12" t="s">
        <v>74</v>
      </c>
      <c r="AY12" t="s">
        <v>74</v>
      </c>
      <c r="AZ12" t="s">
        <v>74</v>
      </c>
      <c r="BA12" t="s">
        <v>74</v>
      </c>
      <c r="BB12">
        <v>1954</v>
      </c>
      <c r="BC12">
        <v>1983</v>
      </c>
      <c r="BD12" t="s">
        <v>74</v>
      </c>
      <c r="BE12" t="s">
        <v>351</v>
      </c>
      <c r="BF12" t="str">
        <f>HYPERLINK("http://dx.doi.org/10.1002/2015JF003806","http://dx.doi.org/10.1002/2015JF003806")</f>
        <v>http://dx.doi.org/10.1002/2015JF003806</v>
      </c>
      <c r="BG12" t="s">
        <v>74</v>
      </c>
      <c r="BH12" t="s">
        <v>74</v>
      </c>
      <c r="BI12">
        <v>30</v>
      </c>
      <c r="BJ12" t="s">
        <v>352</v>
      </c>
      <c r="BK12" t="s">
        <v>156</v>
      </c>
      <c r="BL12" t="s">
        <v>177</v>
      </c>
      <c r="BM12" t="s">
        <v>353</v>
      </c>
      <c r="BN12" t="s">
        <v>74</v>
      </c>
      <c r="BO12" t="s">
        <v>258</v>
      </c>
      <c r="BP12" t="s">
        <v>74</v>
      </c>
      <c r="BQ12" t="s">
        <v>74</v>
      </c>
      <c r="BR12" t="s">
        <v>105</v>
      </c>
      <c r="BS12" t="s">
        <v>354</v>
      </c>
      <c r="BT12" t="str">
        <f>HYPERLINK("https%3A%2F%2Fwww.webofscience.com%2Fwos%2Fwoscc%2Ffull-record%2FWOS:000392825900001","View Full Record in Web of Science")</f>
        <v>View Full Record in Web of Science</v>
      </c>
    </row>
    <row r="13" spans="1:72" x14ac:dyDescent="0.15">
      <c r="A13" t="s">
        <v>72</v>
      </c>
      <c r="B13" t="s">
        <v>355</v>
      </c>
      <c r="C13" t="s">
        <v>74</v>
      </c>
      <c r="D13" t="s">
        <v>74</v>
      </c>
      <c r="E13" t="s">
        <v>74</v>
      </c>
      <c r="F13" t="s">
        <v>356</v>
      </c>
      <c r="G13" t="s">
        <v>74</v>
      </c>
      <c r="H13" t="s">
        <v>74</v>
      </c>
      <c r="I13" t="s">
        <v>357</v>
      </c>
      <c r="J13" t="s">
        <v>358</v>
      </c>
      <c r="K13" t="s">
        <v>74</v>
      </c>
      <c r="L13" t="s">
        <v>74</v>
      </c>
      <c r="M13" t="s">
        <v>78</v>
      </c>
      <c r="N13" t="s">
        <v>317</v>
      </c>
      <c r="O13" t="s">
        <v>74</v>
      </c>
      <c r="P13" t="s">
        <v>74</v>
      </c>
      <c r="Q13" t="s">
        <v>74</v>
      </c>
      <c r="R13" t="s">
        <v>74</v>
      </c>
      <c r="S13" t="s">
        <v>74</v>
      </c>
      <c r="T13" t="s">
        <v>359</v>
      </c>
      <c r="U13" t="s">
        <v>360</v>
      </c>
      <c r="V13" t="s">
        <v>361</v>
      </c>
      <c r="W13" t="s">
        <v>362</v>
      </c>
      <c r="X13" t="s">
        <v>363</v>
      </c>
      <c r="Y13" t="s">
        <v>364</v>
      </c>
      <c r="Z13" t="s">
        <v>365</v>
      </c>
      <c r="AA13" t="s">
        <v>366</v>
      </c>
      <c r="AB13" t="s">
        <v>367</v>
      </c>
      <c r="AC13" t="s">
        <v>368</v>
      </c>
      <c r="AD13" t="s">
        <v>369</v>
      </c>
      <c r="AE13" t="s">
        <v>370</v>
      </c>
      <c r="AF13" t="s">
        <v>74</v>
      </c>
      <c r="AG13">
        <v>203</v>
      </c>
      <c r="AH13">
        <v>39</v>
      </c>
      <c r="AI13">
        <v>45</v>
      </c>
      <c r="AJ13">
        <v>1</v>
      </c>
      <c r="AK13">
        <v>124</v>
      </c>
      <c r="AL13" t="s">
        <v>371</v>
      </c>
      <c r="AM13" t="s">
        <v>372</v>
      </c>
      <c r="AN13" t="s">
        <v>373</v>
      </c>
      <c r="AO13" t="s">
        <v>374</v>
      </c>
      <c r="AP13" t="s">
        <v>375</v>
      </c>
      <c r="AQ13" t="s">
        <v>74</v>
      </c>
      <c r="AR13" t="s">
        <v>376</v>
      </c>
      <c r="AS13" t="s">
        <v>377</v>
      </c>
      <c r="AT13" t="s">
        <v>99</v>
      </c>
      <c r="AU13">
        <v>2016</v>
      </c>
      <c r="AV13">
        <v>107</v>
      </c>
      <c r="AW13">
        <v>6</v>
      </c>
      <c r="AX13" t="s">
        <v>74</v>
      </c>
      <c r="AY13" t="s">
        <v>74</v>
      </c>
      <c r="AZ13" t="s">
        <v>74</v>
      </c>
      <c r="BA13" t="s">
        <v>74</v>
      </c>
      <c r="BB13">
        <v>481</v>
      </c>
      <c r="BC13">
        <v>495</v>
      </c>
      <c r="BD13" t="s">
        <v>74</v>
      </c>
      <c r="BE13" t="s">
        <v>378</v>
      </c>
      <c r="BF13" t="str">
        <f>HYPERLINK("http://dx.doi.org/10.1093/jhered/esw044","http://dx.doi.org/10.1093/jhered/esw044")</f>
        <v>http://dx.doi.org/10.1093/jhered/esw044</v>
      </c>
      <c r="BG13" t="s">
        <v>74</v>
      </c>
      <c r="BH13" t="s">
        <v>74</v>
      </c>
      <c r="BI13">
        <v>15</v>
      </c>
      <c r="BJ13" t="s">
        <v>379</v>
      </c>
      <c r="BK13" t="s">
        <v>156</v>
      </c>
      <c r="BL13" t="s">
        <v>379</v>
      </c>
      <c r="BM13" t="s">
        <v>380</v>
      </c>
      <c r="BN13">
        <v>27511190</v>
      </c>
      <c r="BO13" t="s">
        <v>232</v>
      </c>
      <c r="BP13" t="s">
        <v>74</v>
      </c>
      <c r="BQ13" t="s">
        <v>74</v>
      </c>
      <c r="BR13" t="s">
        <v>105</v>
      </c>
      <c r="BS13" t="s">
        <v>381</v>
      </c>
      <c r="BT13" t="str">
        <f>HYPERLINK("https%3A%2F%2Fwww.webofscience.com%2Fwos%2Fwoscc%2Ffull-record%2FWOS:000384249400001","View Full Record in Web of Science")</f>
        <v>View Full Record in Web of Science</v>
      </c>
    </row>
    <row r="14" spans="1:72" x14ac:dyDescent="0.15">
      <c r="A14" t="s">
        <v>72</v>
      </c>
      <c r="B14" t="s">
        <v>382</v>
      </c>
      <c r="C14" t="s">
        <v>74</v>
      </c>
      <c r="D14" t="s">
        <v>74</v>
      </c>
      <c r="E14" t="s">
        <v>74</v>
      </c>
      <c r="F14" t="s">
        <v>383</v>
      </c>
      <c r="G14" t="s">
        <v>74</v>
      </c>
      <c r="H14" t="s">
        <v>74</v>
      </c>
      <c r="I14" t="s">
        <v>384</v>
      </c>
      <c r="J14" t="s">
        <v>385</v>
      </c>
      <c r="K14" t="s">
        <v>74</v>
      </c>
      <c r="L14" t="s">
        <v>74</v>
      </c>
      <c r="M14" t="s">
        <v>78</v>
      </c>
      <c r="N14" t="s">
        <v>79</v>
      </c>
      <c r="O14" t="s">
        <v>74</v>
      </c>
      <c r="P14" t="s">
        <v>74</v>
      </c>
      <c r="Q14" t="s">
        <v>74</v>
      </c>
      <c r="R14" t="s">
        <v>74</v>
      </c>
      <c r="S14" t="s">
        <v>74</v>
      </c>
      <c r="T14" t="s">
        <v>74</v>
      </c>
      <c r="U14" t="s">
        <v>386</v>
      </c>
      <c r="V14" t="s">
        <v>387</v>
      </c>
      <c r="W14" t="s">
        <v>388</v>
      </c>
      <c r="X14" t="s">
        <v>389</v>
      </c>
      <c r="Y14" t="s">
        <v>390</v>
      </c>
      <c r="Z14" t="s">
        <v>391</v>
      </c>
      <c r="AA14" t="s">
        <v>392</v>
      </c>
      <c r="AB14" t="s">
        <v>393</v>
      </c>
      <c r="AC14" t="s">
        <v>394</v>
      </c>
      <c r="AD14" t="s">
        <v>395</v>
      </c>
      <c r="AE14" t="s">
        <v>396</v>
      </c>
      <c r="AF14" t="s">
        <v>74</v>
      </c>
      <c r="AG14">
        <v>53</v>
      </c>
      <c r="AH14">
        <v>8</v>
      </c>
      <c r="AI14">
        <v>10</v>
      </c>
      <c r="AJ14">
        <v>1</v>
      </c>
      <c r="AK14">
        <v>8</v>
      </c>
      <c r="AL14" t="s">
        <v>397</v>
      </c>
      <c r="AM14" t="s">
        <v>398</v>
      </c>
      <c r="AN14" t="s">
        <v>399</v>
      </c>
      <c r="AO14" t="s">
        <v>400</v>
      </c>
      <c r="AP14" t="s">
        <v>401</v>
      </c>
      <c r="AQ14" t="s">
        <v>74</v>
      </c>
      <c r="AR14" t="s">
        <v>402</v>
      </c>
      <c r="AS14" t="s">
        <v>403</v>
      </c>
      <c r="AT14" t="s">
        <v>99</v>
      </c>
      <c r="AU14">
        <v>2016</v>
      </c>
      <c r="AV14">
        <v>46</v>
      </c>
      <c r="AW14">
        <v>11</v>
      </c>
      <c r="AX14" t="s">
        <v>74</v>
      </c>
      <c r="AY14" t="s">
        <v>74</v>
      </c>
      <c r="AZ14" t="s">
        <v>74</v>
      </c>
      <c r="BA14" t="s">
        <v>74</v>
      </c>
      <c r="BB14">
        <v>3385</v>
      </c>
      <c r="BC14">
        <v>3396</v>
      </c>
      <c r="BD14" t="s">
        <v>74</v>
      </c>
      <c r="BE14" t="s">
        <v>404</v>
      </c>
      <c r="BF14" t="str">
        <f>HYPERLINK("http://dx.doi.org/10.1175/JPO-D-15-0216.1","http://dx.doi.org/10.1175/JPO-D-15-0216.1")</f>
        <v>http://dx.doi.org/10.1175/JPO-D-15-0216.1</v>
      </c>
      <c r="BG14" t="s">
        <v>74</v>
      </c>
      <c r="BH14" t="s">
        <v>74</v>
      </c>
      <c r="BI14">
        <v>12</v>
      </c>
      <c r="BJ14" t="s">
        <v>405</v>
      </c>
      <c r="BK14" t="s">
        <v>156</v>
      </c>
      <c r="BL14" t="s">
        <v>405</v>
      </c>
      <c r="BM14" t="s">
        <v>406</v>
      </c>
      <c r="BN14" t="s">
        <v>74</v>
      </c>
      <c r="BO14" t="s">
        <v>407</v>
      </c>
      <c r="BP14" t="s">
        <v>74</v>
      </c>
      <c r="BQ14" t="s">
        <v>74</v>
      </c>
      <c r="BR14" t="s">
        <v>105</v>
      </c>
      <c r="BS14" t="s">
        <v>408</v>
      </c>
      <c r="BT14" t="str">
        <f>HYPERLINK("https%3A%2F%2Fwww.webofscience.com%2Fwos%2Fwoscc%2Ffull-record%2FWOS:000389036600008","View Full Record in Web of Science")</f>
        <v>View Full Record in Web of Science</v>
      </c>
    </row>
    <row r="15" spans="1:72" x14ac:dyDescent="0.15">
      <c r="A15" t="s">
        <v>72</v>
      </c>
      <c r="B15" t="s">
        <v>409</v>
      </c>
      <c r="C15" t="s">
        <v>74</v>
      </c>
      <c r="D15" t="s">
        <v>74</v>
      </c>
      <c r="E15" t="s">
        <v>74</v>
      </c>
      <c r="F15" t="s">
        <v>410</v>
      </c>
      <c r="G15" t="s">
        <v>74</v>
      </c>
      <c r="H15" t="s">
        <v>74</v>
      </c>
      <c r="I15" t="s">
        <v>411</v>
      </c>
      <c r="J15" t="s">
        <v>412</v>
      </c>
      <c r="K15" t="s">
        <v>74</v>
      </c>
      <c r="L15" t="s">
        <v>74</v>
      </c>
      <c r="M15" t="s">
        <v>78</v>
      </c>
      <c r="N15" t="s">
        <v>79</v>
      </c>
      <c r="O15" t="s">
        <v>74</v>
      </c>
      <c r="P15" t="s">
        <v>74</v>
      </c>
      <c r="Q15" t="s">
        <v>74</v>
      </c>
      <c r="R15" t="s">
        <v>74</v>
      </c>
      <c r="S15" t="s">
        <v>74</v>
      </c>
      <c r="T15" t="s">
        <v>413</v>
      </c>
      <c r="U15" t="s">
        <v>414</v>
      </c>
      <c r="V15" t="s">
        <v>415</v>
      </c>
      <c r="W15" t="s">
        <v>416</v>
      </c>
      <c r="X15" t="s">
        <v>417</v>
      </c>
      <c r="Y15" t="s">
        <v>418</v>
      </c>
      <c r="Z15" t="s">
        <v>419</v>
      </c>
      <c r="AA15" t="s">
        <v>420</v>
      </c>
      <c r="AB15" t="s">
        <v>421</v>
      </c>
      <c r="AC15" t="s">
        <v>422</v>
      </c>
      <c r="AD15" t="s">
        <v>423</v>
      </c>
      <c r="AE15" t="s">
        <v>424</v>
      </c>
      <c r="AF15" t="s">
        <v>74</v>
      </c>
      <c r="AG15">
        <v>88</v>
      </c>
      <c r="AH15">
        <v>9</v>
      </c>
      <c r="AI15">
        <v>10</v>
      </c>
      <c r="AJ15">
        <v>1</v>
      </c>
      <c r="AK15">
        <v>24</v>
      </c>
      <c r="AL15" t="s">
        <v>92</v>
      </c>
      <c r="AM15" t="s">
        <v>93</v>
      </c>
      <c r="AN15" t="s">
        <v>94</v>
      </c>
      <c r="AO15" t="s">
        <v>425</v>
      </c>
      <c r="AP15" t="s">
        <v>426</v>
      </c>
      <c r="AQ15" t="s">
        <v>74</v>
      </c>
      <c r="AR15" t="s">
        <v>412</v>
      </c>
      <c r="AS15" t="s">
        <v>427</v>
      </c>
      <c r="AT15" t="s">
        <v>428</v>
      </c>
      <c r="AU15">
        <v>2016</v>
      </c>
      <c r="AV15">
        <v>264</v>
      </c>
      <c r="AW15" t="s">
        <v>74</v>
      </c>
      <c r="AX15" t="s">
        <v>74</v>
      </c>
      <c r="AY15" t="s">
        <v>74</v>
      </c>
      <c r="AZ15" t="s">
        <v>74</v>
      </c>
      <c r="BA15" t="s">
        <v>74</v>
      </c>
      <c r="BB15">
        <v>329</v>
      </c>
      <c r="BC15">
        <v>347</v>
      </c>
      <c r="BD15" t="s">
        <v>74</v>
      </c>
      <c r="BE15" t="s">
        <v>429</v>
      </c>
      <c r="BF15" t="str">
        <f>HYPERLINK("http://dx.doi.org/10.1016/j.lithos.2016.08.024","http://dx.doi.org/10.1016/j.lithos.2016.08.024")</f>
        <v>http://dx.doi.org/10.1016/j.lithos.2016.08.024</v>
      </c>
      <c r="BG15" t="s">
        <v>74</v>
      </c>
      <c r="BH15" t="s">
        <v>74</v>
      </c>
      <c r="BI15">
        <v>19</v>
      </c>
      <c r="BJ15" t="s">
        <v>430</v>
      </c>
      <c r="BK15" t="s">
        <v>156</v>
      </c>
      <c r="BL15" t="s">
        <v>430</v>
      </c>
      <c r="BM15" t="s">
        <v>431</v>
      </c>
      <c r="BN15" t="s">
        <v>74</v>
      </c>
      <c r="BO15" t="s">
        <v>432</v>
      </c>
      <c r="BP15" t="s">
        <v>74</v>
      </c>
      <c r="BQ15" t="s">
        <v>74</v>
      </c>
      <c r="BR15" t="s">
        <v>105</v>
      </c>
      <c r="BS15" t="s">
        <v>433</v>
      </c>
      <c r="BT15" t="str">
        <f>HYPERLINK("https%3A%2F%2Fwww.webofscience.com%2Fwos%2Fwoscc%2Ffull-record%2FWOS:000387191600023","View Full Record in Web of Science")</f>
        <v>View Full Record in Web of Science</v>
      </c>
    </row>
    <row r="16" spans="1:72" x14ac:dyDescent="0.15">
      <c r="A16" t="s">
        <v>72</v>
      </c>
      <c r="B16" t="s">
        <v>434</v>
      </c>
      <c r="C16" t="s">
        <v>74</v>
      </c>
      <c r="D16" t="s">
        <v>74</v>
      </c>
      <c r="E16" t="s">
        <v>74</v>
      </c>
      <c r="F16" t="s">
        <v>435</v>
      </c>
      <c r="G16" t="s">
        <v>74</v>
      </c>
      <c r="H16" t="s">
        <v>74</v>
      </c>
      <c r="I16" t="s">
        <v>436</v>
      </c>
      <c r="J16" t="s">
        <v>437</v>
      </c>
      <c r="K16" t="s">
        <v>74</v>
      </c>
      <c r="L16" t="s">
        <v>74</v>
      </c>
      <c r="M16" t="s">
        <v>78</v>
      </c>
      <c r="N16" t="s">
        <v>79</v>
      </c>
      <c r="O16" t="s">
        <v>74</v>
      </c>
      <c r="P16" t="s">
        <v>74</v>
      </c>
      <c r="Q16" t="s">
        <v>74</v>
      </c>
      <c r="R16" t="s">
        <v>74</v>
      </c>
      <c r="S16" t="s">
        <v>74</v>
      </c>
      <c r="T16" t="s">
        <v>74</v>
      </c>
      <c r="U16" t="s">
        <v>438</v>
      </c>
      <c r="V16" t="s">
        <v>439</v>
      </c>
      <c r="W16" t="s">
        <v>440</v>
      </c>
      <c r="X16" t="s">
        <v>441</v>
      </c>
      <c r="Y16" t="s">
        <v>442</v>
      </c>
      <c r="Z16" t="s">
        <v>443</v>
      </c>
      <c r="AA16" t="s">
        <v>444</v>
      </c>
      <c r="AB16" t="s">
        <v>445</v>
      </c>
      <c r="AC16" t="s">
        <v>446</v>
      </c>
      <c r="AD16" t="s">
        <v>447</v>
      </c>
      <c r="AE16" t="s">
        <v>448</v>
      </c>
      <c r="AF16" t="s">
        <v>74</v>
      </c>
      <c r="AG16">
        <v>74</v>
      </c>
      <c r="AH16">
        <v>20</v>
      </c>
      <c r="AI16">
        <v>21</v>
      </c>
      <c r="AJ16">
        <v>1</v>
      </c>
      <c r="AK16">
        <v>26</v>
      </c>
      <c r="AL16" t="s">
        <v>449</v>
      </c>
      <c r="AM16" t="s">
        <v>450</v>
      </c>
      <c r="AN16" t="s">
        <v>451</v>
      </c>
      <c r="AO16" t="s">
        <v>452</v>
      </c>
      <c r="AP16" t="s">
        <v>453</v>
      </c>
      <c r="AQ16" t="s">
        <v>74</v>
      </c>
      <c r="AR16" t="s">
        <v>454</v>
      </c>
      <c r="AS16" t="s">
        <v>455</v>
      </c>
      <c r="AT16" t="s">
        <v>99</v>
      </c>
      <c r="AU16">
        <v>2016</v>
      </c>
      <c r="AV16">
        <v>163</v>
      </c>
      <c r="AW16">
        <v>11</v>
      </c>
      <c r="AX16" t="s">
        <v>74</v>
      </c>
      <c r="AY16" t="s">
        <v>74</v>
      </c>
      <c r="AZ16" t="s">
        <v>74</v>
      </c>
      <c r="BA16" t="s">
        <v>74</v>
      </c>
      <c r="BB16" t="s">
        <v>74</v>
      </c>
      <c r="BC16" t="s">
        <v>74</v>
      </c>
      <c r="BD16">
        <v>223</v>
      </c>
      <c r="BE16" t="s">
        <v>456</v>
      </c>
      <c r="BF16" t="str">
        <f>HYPERLINK("http://dx.doi.org/10.1007/s00227-016-3000-1","http://dx.doi.org/10.1007/s00227-016-3000-1")</f>
        <v>http://dx.doi.org/10.1007/s00227-016-3000-1</v>
      </c>
      <c r="BG16" t="s">
        <v>74</v>
      </c>
      <c r="BH16" t="s">
        <v>74</v>
      </c>
      <c r="BI16">
        <v>11</v>
      </c>
      <c r="BJ16" t="s">
        <v>457</v>
      </c>
      <c r="BK16" t="s">
        <v>156</v>
      </c>
      <c r="BL16" t="s">
        <v>457</v>
      </c>
      <c r="BM16" t="s">
        <v>458</v>
      </c>
      <c r="BN16" t="s">
        <v>74</v>
      </c>
      <c r="BO16" t="s">
        <v>459</v>
      </c>
      <c r="BP16" t="s">
        <v>74</v>
      </c>
      <c r="BQ16" t="s">
        <v>74</v>
      </c>
      <c r="BR16" t="s">
        <v>105</v>
      </c>
      <c r="BS16" t="s">
        <v>460</v>
      </c>
      <c r="BT16" t="str">
        <f>HYPERLINK("https%3A%2F%2Fwww.webofscience.com%2Fwos%2Fwoscc%2Ffull-record%2FWOS:000386768500002","View Full Record in Web of Science")</f>
        <v>View Full Record in Web of Science</v>
      </c>
    </row>
    <row r="17" spans="1:72" x14ac:dyDescent="0.15">
      <c r="A17" t="s">
        <v>72</v>
      </c>
      <c r="B17" t="s">
        <v>461</v>
      </c>
      <c r="C17" t="s">
        <v>74</v>
      </c>
      <c r="D17" t="s">
        <v>74</v>
      </c>
      <c r="E17" t="s">
        <v>74</v>
      </c>
      <c r="F17" t="s">
        <v>462</v>
      </c>
      <c r="G17" t="s">
        <v>74</v>
      </c>
      <c r="H17" t="s">
        <v>74</v>
      </c>
      <c r="I17" t="s">
        <v>463</v>
      </c>
      <c r="J17" t="s">
        <v>464</v>
      </c>
      <c r="K17" t="s">
        <v>74</v>
      </c>
      <c r="L17" t="s">
        <v>74</v>
      </c>
      <c r="M17" t="s">
        <v>78</v>
      </c>
      <c r="N17" t="s">
        <v>79</v>
      </c>
      <c r="O17" t="s">
        <v>74</v>
      </c>
      <c r="P17" t="s">
        <v>74</v>
      </c>
      <c r="Q17" t="s">
        <v>74</v>
      </c>
      <c r="R17" t="s">
        <v>74</v>
      </c>
      <c r="S17" t="s">
        <v>74</v>
      </c>
      <c r="T17" t="s">
        <v>465</v>
      </c>
      <c r="U17" t="s">
        <v>466</v>
      </c>
      <c r="V17" t="s">
        <v>467</v>
      </c>
      <c r="W17" t="s">
        <v>468</v>
      </c>
      <c r="X17" t="s">
        <v>469</v>
      </c>
      <c r="Y17" t="s">
        <v>470</v>
      </c>
      <c r="Z17" t="s">
        <v>471</v>
      </c>
      <c r="AA17" t="s">
        <v>472</v>
      </c>
      <c r="AB17" t="s">
        <v>473</v>
      </c>
      <c r="AC17" t="s">
        <v>74</v>
      </c>
      <c r="AD17" t="s">
        <v>74</v>
      </c>
      <c r="AE17" t="s">
        <v>74</v>
      </c>
      <c r="AF17" t="s">
        <v>74</v>
      </c>
      <c r="AG17">
        <v>90</v>
      </c>
      <c r="AH17">
        <v>19</v>
      </c>
      <c r="AI17">
        <v>22</v>
      </c>
      <c r="AJ17">
        <v>3</v>
      </c>
      <c r="AK17">
        <v>79</v>
      </c>
      <c r="AL17" t="s">
        <v>474</v>
      </c>
      <c r="AM17" t="s">
        <v>304</v>
      </c>
      <c r="AN17" t="s">
        <v>475</v>
      </c>
      <c r="AO17" t="s">
        <v>476</v>
      </c>
      <c r="AP17" t="s">
        <v>477</v>
      </c>
      <c r="AQ17" t="s">
        <v>74</v>
      </c>
      <c r="AR17" t="s">
        <v>478</v>
      </c>
      <c r="AS17" t="s">
        <v>479</v>
      </c>
      <c r="AT17" t="s">
        <v>99</v>
      </c>
      <c r="AU17">
        <v>2016</v>
      </c>
      <c r="AV17">
        <v>73</v>
      </c>
      <c r="AW17" t="s">
        <v>74</v>
      </c>
      <c r="AX17" t="s">
        <v>74</v>
      </c>
      <c r="AY17" t="s">
        <v>74</v>
      </c>
      <c r="AZ17" t="s">
        <v>74</v>
      </c>
      <c r="BA17" t="s">
        <v>74</v>
      </c>
      <c r="BB17">
        <v>172</v>
      </c>
      <c r="BC17">
        <v>180</v>
      </c>
      <c r="BD17" t="s">
        <v>74</v>
      </c>
      <c r="BE17" t="s">
        <v>480</v>
      </c>
      <c r="BF17" t="str">
        <f>HYPERLINK("http://dx.doi.org/10.1016/j.marpol.2016.08.005","http://dx.doi.org/10.1016/j.marpol.2016.08.005")</f>
        <v>http://dx.doi.org/10.1016/j.marpol.2016.08.005</v>
      </c>
      <c r="BG17" t="s">
        <v>74</v>
      </c>
      <c r="BH17" t="s">
        <v>74</v>
      </c>
      <c r="BI17">
        <v>9</v>
      </c>
      <c r="BJ17" t="s">
        <v>481</v>
      </c>
      <c r="BK17" t="s">
        <v>482</v>
      </c>
      <c r="BL17" t="s">
        <v>483</v>
      </c>
      <c r="BM17" t="s">
        <v>484</v>
      </c>
      <c r="BN17" t="s">
        <v>74</v>
      </c>
      <c r="BO17" t="s">
        <v>74</v>
      </c>
      <c r="BP17" t="s">
        <v>74</v>
      </c>
      <c r="BQ17" t="s">
        <v>74</v>
      </c>
      <c r="BR17" t="s">
        <v>105</v>
      </c>
      <c r="BS17" t="s">
        <v>485</v>
      </c>
      <c r="BT17" t="str">
        <f>HYPERLINK("https%3A%2F%2Fwww.webofscience.com%2Fwos%2Fwoscc%2Ffull-record%2FWOS:000385325300021","View Full Record in Web of Science")</f>
        <v>View Full Record in Web of Science</v>
      </c>
    </row>
    <row r="18" spans="1:72" x14ac:dyDescent="0.15">
      <c r="A18" t="s">
        <v>72</v>
      </c>
      <c r="B18" t="s">
        <v>486</v>
      </c>
      <c r="C18" t="s">
        <v>74</v>
      </c>
      <c r="D18" t="s">
        <v>74</v>
      </c>
      <c r="E18" t="s">
        <v>74</v>
      </c>
      <c r="F18" t="s">
        <v>487</v>
      </c>
      <c r="G18" t="s">
        <v>74</v>
      </c>
      <c r="H18" t="s">
        <v>74</v>
      </c>
      <c r="I18" t="s">
        <v>488</v>
      </c>
      <c r="J18" t="s">
        <v>489</v>
      </c>
      <c r="K18" t="s">
        <v>74</v>
      </c>
      <c r="L18" t="s">
        <v>74</v>
      </c>
      <c r="M18" t="s">
        <v>78</v>
      </c>
      <c r="N18" t="s">
        <v>79</v>
      </c>
      <c r="O18" t="s">
        <v>74</v>
      </c>
      <c r="P18" t="s">
        <v>74</v>
      </c>
      <c r="Q18" t="s">
        <v>74</v>
      </c>
      <c r="R18" t="s">
        <v>74</v>
      </c>
      <c r="S18" t="s">
        <v>74</v>
      </c>
      <c r="T18" t="s">
        <v>74</v>
      </c>
      <c r="U18" t="s">
        <v>490</v>
      </c>
      <c r="V18" t="s">
        <v>491</v>
      </c>
      <c r="W18" t="s">
        <v>492</v>
      </c>
      <c r="X18" t="s">
        <v>493</v>
      </c>
      <c r="Y18" t="s">
        <v>494</v>
      </c>
      <c r="Z18" t="s">
        <v>495</v>
      </c>
      <c r="AA18" t="s">
        <v>496</v>
      </c>
      <c r="AB18" t="s">
        <v>497</v>
      </c>
      <c r="AC18" t="s">
        <v>498</v>
      </c>
      <c r="AD18" t="s">
        <v>499</v>
      </c>
      <c r="AE18" t="s">
        <v>500</v>
      </c>
      <c r="AF18" t="s">
        <v>74</v>
      </c>
      <c r="AG18">
        <v>208</v>
      </c>
      <c r="AH18">
        <v>105</v>
      </c>
      <c r="AI18">
        <v>109</v>
      </c>
      <c r="AJ18">
        <v>2</v>
      </c>
      <c r="AK18">
        <v>38</v>
      </c>
      <c r="AL18" t="s">
        <v>501</v>
      </c>
      <c r="AM18" t="s">
        <v>502</v>
      </c>
      <c r="AN18" t="s">
        <v>503</v>
      </c>
      <c r="AO18" t="s">
        <v>504</v>
      </c>
      <c r="AP18" t="s">
        <v>505</v>
      </c>
      <c r="AQ18" t="s">
        <v>74</v>
      </c>
      <c r="AR18" t="s">
        <v>506</v>
      </c>
      <c r="AS18" t="s">
        <v>507</v>
      </c>
      <c r="AT18" t="s">
        <v>99</v>
      </c>
      <c r="AU18">
        <v>2016</v>
      </c>
      <c r="AV18">
        <v>51</v>
      </c>
      <c r="AW18">
        <v>11</v>
      </c>
      <c r="AX18" t="s">
        <v>74</v>
      </c>
      <c r="AY18" t="s">
        <v>74</v>
      </c>
      <c r="AZ18" t="s">
        <v>74</v>
      </c>
      <c r="BA18" t="s">
        <v>74</v>
      </c>
      <c r="BB18">
        <v>2036</v>
      </c>
      <c r="BC18">
        <v>2060</v>
      </c>
      <c r="BD18" t="s">
        <v>74</v>
      </c>
      <c r="BE18" t="s">
        <v>508</v>
      </c>
      <c r="BF18" t="str">
        <f>HYPERLINK("http://dx.doi.org/10.1111/maps.12639","http://dx.doi.org/10.1111/maps.12639")</f>
        <v>http://dx.doi.org/10.1111/maps.12639</v>
      </c>
      <c r="BG18" t="s">
        <v>74</v>
      </c>
      <c r="BH18" t="s">
        <v>74</v>
      </c>
      <c r="BI18">
        <v>25</v>
      </c>
      <c r="BJ18" t="s">
        <v>155</v>
      </c>
      <c r="BK18" t="s">
        <v>156</v>
      </c>
      <c r="BL18" t="s">
        <v>155</v>
      </c>
      <c r="BM18" t="s">
        <v>509</v>
      </c>
      <c r="BN18" t="s">
        <v>74</v>
      </c>
      <c r="BO18" t="s">
        <v>104</v>
      </c>
      <c r="BP18" t="s">
        <v>74</v>
      </c>
      <c r="BQ18" t="s">
        <v>74</v>
      </c>
      <c r="BR18" t="s">
        <v>105</v>
      </c>
      <c r="BS18" t="s">
        <v>510</v>
      </c>
      <c r="BT18" t="str">
        <f>HYPERLINK("https%3A%2F%2Fwww.webofscience.com%2Fwos%2Fwoscc%2Ffull-record%2FWOS:000388279900006","View Full Record in Web of Science")</f>
        <v>View Full Record in Web of Science</v>
      </c>
    </row>
    <row r="19" spans="1:72" x14ac:dyDescent="0.15">
      <c r="A19" t="s">
        <v>72</v>
      </c>
      <c r="B19" t="s">
        <v>511</v>
      </c>
      <c r="C19" t="s">
        <v>74</v>
      </c>
      <c r="D19" t="s">
        <v>74</v>
      </c>
      <c r="E19" t="s">
        <v>74</v>
      </c>
      <c r="F19" t="s">
        <v>512</v>
      </c>
      <c r="G19" t="s">
        <v>74</v>
      </c>
      <c r="H19" t="s">
        <v>74</v>
      </c>
      <c r="I19" t="s">
        <v>513</v>
      </c>
      <c r="J19" t="s">
        <v>514</v>
      </c>
      <c r="K19" t="s">
        <v>74</v>
      </c>
      <c r="L19" t="s">
        <v>74</v>
      </c>
      <c r="M19" t="s">
        <v>78</v>
      </c>
      <c r="N19" t="s">
        <v>79</v>
      </c>
      <c r="O19" t="s">
        <v>74</v>
      </c>
      <c r="P19" t="s">
        <v>74</v>
      </c>
      <c r="Q19" t="s">
        <v>74</v>
      </c>
      <c r="R19" t="s">
        <v>74</v>
      </c>
      <c r="S19" t="s">
        <v>74</v>
      </c>
      <c r="T19" t="s">
        <v>515</v>
      </c>
      <c r="U19" t="s">
        <v>516</v>
      </c>
      <c r="V19" t="s">
        <v>517</v>
      </c>
      <c r="W19" t="s">
        <v>518</v>
      </c>
      <c r="X19" t="s">
        <v>519</v>
      </c>
      <c r="Y19" t="s">
        <v>520</v>
      </c>
      <c r="Z19" t="s">
        <v>521</v>
      </c>
      <c r="AA19" t="s">
        <v>522</v>
      </c>
      <c r="AB19" t="s">
        <v>523</v>
      </c>
      <c r="AC19" t="s">
        <v>524</v>
      </c>
      <c r="AD19" t="s">
        <v>525</v>
      </c>
      <c r="AE19" t="s">
        <v>74</v>
      </c>
      <c r="AF19" t="s">
        <v>74</v>
      </c>
      <c r="AG19">
        <v>36</v>
      </c>
      <c r="AH19">
        <v>137</v>
      </c>
      <c r="AI19">
        <v>152</v>
      </c>
      <c r="AJ19">
        <v>1</v>
      </c>
      <c r="AK19">
        <v>39</v>
      </c>
      <c r="AL19" t="s">
        <v>501</v>
      </c>
      <c r="AM19" t="s">
        <v>502</v>
      </c>
      <c r="AN19" t="s">
        <v>503</v>
      </c>
      <c r="AO19" t="s">
        <v>526</v>
      </c>
      <c r="AP19" t="s">
        <v>527</v>
      </c>
      <c r="AQ19" t="s">
        <v>74</v>
      </c>
      <c r="AR19" t="s">
        <v>528</v>
      </c>
      <c r="AS19" t="s">
        <v>529</v>
      </c>
      <c r="AT19" t="s">
        <v>99</v>
      </c>
      <c r="AU19">
        <v>2016</v>
      </c>
      <c r="AV19">
        <v>7</v>
      </c>
      <c r="AW19">
        <v>11</v>
      </c>
      <c r="AX19" t="s">
        <v>74</v>
      </c>
      <c r="AY19" t="s">
        <v>74</v>
      </c>
      <c r="AZ19" t="s">
        <v>74</v>
      </c>
      <c r="BA19" t="s">
        <v>74</v>
      </c>
      <c r="BB19">
        <v>1331</v>
      </c>
      <c r="BC19">
        <v>1339</v>
      </c>
      <c r="BD19" t="s">
        <v>74</v>
      </c>
      <c r="BE19" t="s">
        <v>530</v>
      </c>
      <c r="BF19" t="str">
        <f>HYPERLINK("http://dx.doi.org/10.1111/2041-210X.12588","http://dx.doi.org/10.1111/2041-210X.12588")</f>
        <v>http://dx.doi.org/10.1111/2041-210X.12588</v>
      </c>
      <c r="BG19" t="s">
        <v>74</v>
      </c>
      <c r="BH19" t="s">
        <v>74</v>
      </c>
      <c r="BI19">
        <v>9</v>
      </c>
      <c r="BJ19" t="s">
        <v>531</v>
      </c>
      <c r="BK19" t="s">
        <v>156</v>
      </c>
      <c r="BL19" t="s">
        <v>532</v>
      </c>
      <c r="BM19" t="s">
        <v>533</v>
      </c>
      <c r="BN19" t="s">
        <v>74</v>
      </c>
      <c r="BO19" t="s">
        <v>534</v>
      </c>
      <c r="BP19" t="s">
        <v>74</v>
      </c>
      <c r="BQ19" t="s">
        <v>74</v>
      </c>
      <c r="BR19" t="s">
        <v>105</v>
      </c>
      <c r="BS19" t="s">
        <v>535</v>
      </c>
      <c r="BT19" t="str">
        <f>HYPERLINK("https%3A%2F%2Fwww.webofscience.com%2Fwos%2Fwoscc%2Ffull-record%2FWOS:000387669600009","View Full Record in Web of Science")</f>
        <v>View Full Record in Web of Science</v>
      </c>
    </row>
    <row r="20" spans="1:72" x14ac:dyDescent="0.15">
      <c r="A20" t="s">
        <v>72</v>
      </c>
      <c r="B20" t="s">
        <v>536</v>
      </c>
      <c r="C20" t="s">
        <v>74</v>
      </c>
      <c r="D20" t="s">
        <v>74</v>
      </c>
      <c r="E20" t="s">
        <v>74</v>
      </c>
      <c r="F20" t="s">
        <v>537</v>
      </c>
      <c r="G20" t="s">
        <v>74</v>
      </c>
      <c r="H20" t="s">
        <v>74</v>
      </c>
      <c r="I20" t="s">
        <v>538</v>
      </c>
      <c r="J20" t="s">
        <v>539</v>
      </c>
      <c r="K20" t="s">
        <v>74</v>
      </c>
      <c r="L20" t="s">
        <v>74</v>
      </c>
      <c r="M20" t="s">
        <v>78</v>
      </c>
      <c r="N20" t="s">
        <v>79</v>
      </c>
      <c r="O20" t="s">
        <v>74</v>
      </c>
      <c r="P20" t="s">
        <v>74</v>
      </c>
      <c r="Q20" t="s">
        <v>74</v>
      </c>
      <c r="R20" t="s">
        <v>74</v>
      </c>
      <c r="S20" t="s">
        <v>74</v>
      </c>
      <c r="T20" t="s">
        <v>540</v>
      </c>
      <c r="U20" t="s">
        <v>541</v>
      </c>
      <c r="V20" t="s">
        <v>542</v>
      </c>
      <c r="W20" t="s">
        <v>543</v>
      </c>
      <c r="X20" t="s">
        <v>544</v>
      </c>
      <c r="Y20" t="s">
        <v>545</v>
      </c>
      <c r="Z20" t="s">
        <v>546</v>
      </c>
      <c r="AA20" t="s">
        <v>74</v>
      </c>
      <c r="AB20" t="s">
        <v>547</v>
      </c>
      <c r="AC20" t="s">
        <v>548</v>
      </c>
      <c r="AD20" t="s">
        <v>548</v>
      </c>
      <c r="AE20" t="s">
        <v>549</v>
      </c>
      <c r="AF20" t="s">
        <v>74</v>
      </c>
      <c r="AG20">
        <v>128</v>
      </c>
      <c r="AH20">
        <v>51</v>
      </c>
      <c r="AI20">
        <v>57</v>
      </c>
      <c r="AJ20">
        <v>5</v>
      </c>
      <c r="AK20">
        <v>63</v>
      </c>
      <c r="AL20" t="s">
        <v>550</v>
      </c>
      <c r="AM20" t="s">
        <v>551</v>
      </c>
      <c r="AN20" t="s">
        <v>552</v>
      </c>
      <c r="AO20" t="s">
        <v>553</v>
      </c>
      <c r="AP20" t="s">
        <v>74</v>
      </c>
      <c r="AQ20" t="s">
        <v>74</v>
      </c>
      <c r="AR20" t="s">
        <v>554</v>
      </c>
      <c r="AS20" t="s">
        <v>555</v>
      </c>
      <c r="AT20" t="s">
        <v>99</v>
      </c>
      <c r="AU20">
        <v>2016</v>
      </c>
      <c r="AV20">
        <v>192</v>
      </c>
      <c r="AW20" t="s">
        <v>74</v>
      </c>
      <c r="AX20" t="s">
        <v>74</v>
      </c>
      <c r="AY20" t="s">
        <v>74</v>
      </c>
      <c r="AZ20" t="s">
        <v>74</v>
      </c>
      <c r="BA20" t="s">
        <v>74</v>
      </c>
      <c r="BB20">
        <v>192</v>
      </c>
      <c r="BC20">
        <v>202</v>
      </c>
      <c r="BD20" t="s">
        <v>74</v>
      </c>
      <c r="BE20" t="s">
        <v>556</v>
      </c>
      <c r="BF20" t="str">
        <f>HYPERLINK("http://dx.doi.org/10.1016/j.micres.2016.07.004","http://dx.doi.org/10.1016/j.micres.2016.07.004")</f>
        <v>http://dx.doi.org/10.1016/j.micres.2016.07.004</v>
      </c>
      <c r="BG20" t="s">
        <v>74</v>
      </c>
      <c r="BH20" t="s">
        <v>74</v>
      </c>
      <c r="BI20">
        <v>11</v>
      </c>
      <c r="BJ20" t="s">
        <v>130</v>
      </c>
      <c r="BK20" t="s">
        <v>156</v>
      </c>
      <c r="BL20" t="s">
        <v>130</v>
      </c>
      <c r="BM20" t="s">
        <v>557</v>
      </c>
      <c r="BN20">
        <v>27664737</v>
      </c>
      <c r="BO20" t="s">
        <v>74</v>
      </c>
      <c r="BP20" t="s">
        <v>74</v>
      </c>
      <c r="BQ20" t="s">
        <v>74</v>
      </c>
      <c r="BR20" t="s">
        <v>105</v>
      </c>
      <c r="BS20" t="s">
        <v>558</v>
      </c>
      <c r="BT20" t="str">
        <f>HYPERLINK("https%3A%2F%2Fwww.webofscience.com%2Fwos%2Fwoscc%2Ffull-record%2FWOS:000392563200020","View Full Record in Web of Science")</f>
        <v>View Full Record in Web of Science</v>
      </c>
    </row>
    <row r="21" spans="1:72" x14ac:dyDescent="0.15">
      <c r="A21" t="s">
        <v>72</v>
      </c>
      <c r="B21" t="s">
        <v>559</v>
      </c>
      <c r="C21" t="s">
        <v>74</v>
      </c>
      <c r="D21" t="s">
        <v>74</v>
      </c>
      <c r="E21" t="s">
        <v>74</v>
      </c>
      <c r="F21" t="s">
        <v>560</v>
      </c>
      <c r="G21" t="s">
        <v>74</v>
      </c>
      <c r="H21" t="s">
        <v>74</v>
      </c>
      <c r="I21" t="s">
        <v>561</v>
      </c>
      <c r="J21" t="s">
        <v>562</v>
      </c>
      <c r="K21" t="s">
        <v>74</v>
      </c>
      <c r="L21" t="s">
        <v>74</v>
      </c>
      <c r="M21" t="s">
        <v>78</v>
      </c>
      <c r="N21" t="s">
        <v>79</v>
      </c>
      <c r="O21" t="s">
        <v>74</v>
      </c>
      <c r="P21" t="s">
        <v>74</v>
      </c>
      <c r="Q21" t="s">
        <v>74</v>
      </c>
      <c r="R21" t="s">
        <v>74</v>
      </c>
      <c r="S21" t="s">
        <v>74</v>
      </c>
      <c r="T21" t="s">
        <v>74</v>
      </c>
      <c r="U21" t="s">
        <v>563</v>
      </c>
      <c r="V21" t="s">
        <v>564</v>
      </c>
      <c r="W21" t="s">
        <v>565</v>
      </c>
      <c r="X21" t="s">
        <v>566</v>
      </c>
      <c r="Y21" t="s">
        <v>567</v>
      </c>
      <c r="Z21" t="s">
        <v>568</v>
      </c>
      <c r="AA21" t="s">
        <v>569</v>
      </c>
      <c r="AB21" t="s">
        <v>570</v>
      </c>
      <c r="AC21" t="s">
        <v>571</v>
      </c>
      <c r="AD21" t="s">
        <v>572</v>
      </c>
      <c r="AE21" t="s">
        <v>573</v>
      </c>
      <c r="AF21" t="s">
        <v>74</v>
      </c>
      <c r="AG21">
        <v>61</v>
      </c>
      <c r="AH21">
        <v>141</v>
      </c>
      <c r="AI21">
        <v>153</v>
      </c>
      <c r="AJ21">
        <v>8</v>
      </c>
      <c r="AK21">
        <v>102</v>
      </c>
      <c r="AL21" t="s">
        <v>574</v>
      </c>
      <c r="AM21" t="s">
        <v>575</v>
      </c>
      <c r="AN21" t="s">
        <v>576</v>
      </c>
      <c r="AO21" t="s">
        <v>577</v>
      </c>
      <c r="AP21" t="s">
        <v>74</v>
      </c>
      <c r="AQ21" t="s">
        <v>74</v>
      </c>
      <c r="AR21" t="s">
        <v>578</v>
      </c>
      <c r="AS21" t="s">
        <v>579</v>
      </c>
      <c r="AT21" t="s">
        <v>99</v>
      </c>
      <c r="AU21">
        <v>2016</v>
      </c>
      <c r="AV21">
        <v>1</v>
      </c>
      <c r="AW21">
        <v>11</v>
      </c>
      <c r="AX21" t="s">
        <v>74</v>
      </c>
      <c r="AY21" t="s">
        <v>74</v>
      </c>
      <c r="AZ21" t="s">
        <v>74</v>
      </c>
      <c r="BA21" t="s">
        <v>74</v>
      </c>
      <c r="BB21" t="s">
        <v>74</v>
      </c>
      <c r="BC21" t="s">
        <v>74</v>
      </c>
      <c r="BD21">
        <v>16163</v>
      </c>
      <c r="BE21" t="s">
        <v>580</v>
      </c>
      <c r="BF21" t="str">
        <f>HYPERLINK("http://dx.doi.org/10.1038/NMICROBIOL.2016.163","http://dx.doi.org/10.1038/NMICROBIOL.2016.163")</f>
        <v>http://dx.doi.org/10.1038/NMICROBIOL.2016.163</v>
      </c>
      <c r="BG21" t="s">
        <v>74</v>
      </c>
      <c r="BH21" t="s">
        <v>74</v>
      </c>
      <c r="BI21">
        <v>7</v>
      </c>
      <c r="BJ21" t="s">
        <v>130</v>
      </c>
      <c r="BK21" t="s">
        <v>156</v>
      </c>
      <c r="BL21" t="s">
        <v>130</v>
      </c>
      <c r="BM21" t="s">
        <v>581</v>
      </c>
      <c r="BN21">
        <v>27617976</v>
      </c>
      <c r="BO21" t="s">
        <v>74</v>
      </c>
      <c r="BP21" t="s">
        <v>74</v>
      </c>
      <c r="BQ21" t="s">
        <v>74</v>
      </c>
      <c r="BR21" t="s">
        <v>105</v>
      </c>
      <c r="BS21" t="s">
        <v>582</v>
      </c>
      <c r="BT21" t="str">
        <f>HYPERLINK("https%3A%2F%2Fwww.webofscience.com%2Fwos%2Fwoscc%2Ffull-record%2FWOS:000389139500014","View Full Record in Web of Science")</f>
        <v>View Full Record in Web of Science</v>
      </c>
    </row>
    <row r="22" spans="1:72" x14ac:dyDescent="0.15">
      <c r="A22" t="s">
        <v>72</v>
      </c>
      <c r="B22" t="s">
        <v>583</v>
      </c>
      <c r="C22" t="s">
        <v>74</v>
      </c>
      <c r="D22" t="s">
        <v>74</v>
      </c>
      <c r="E22" t="s">
        <v>74</v>
      </c>
      <c r="F22" t="s">
        <v>584</v>
      </c>
      <c r="G22" t="s">
        <v>74</v>
      </c>
      <c r="H22" t="s">
        <v>74</v>
      </c>
      <c r="I22" t="s">
        <v>585</v>
      </c>
      <c r="J22" t="s">
        <v>586</v>
      </c>
      <c r="K22" t="s">
        <v>74</v>
      </c>
      <c r="L22" t="s">
        <v>74</v>
      </c>
      <c r="M22" t="s">
        <v>78</v>
      </c>
      <c r="N22" t="s">
        <v>587</v>
      </c>
      <c r="O22" t="s">
        <v>74</v>
      </c>
      <c r="P22" t="s">
        <v>74</v>
      </c>
      <c r="Q22" t="s">
        <v>74</v>
      </c>
      <c r="R22" t="s">
        <v>74</v>
      </c>
      <c r="S22" t="s">
        <v>74</v>
      </c>
      <c r="T22" t="s">
        <v>74</v>
      </c>
      <c r="U22" t="s">
        <v>588</v>
      </c>
      <c r="V22" t="s">
        <v>589</v>
      </c>
      <c r="W22" t="s">
        <v>590</v>
      </c>
      <c r="X22" t="s">
        <v>591</v>
      </c>
      <c r="Y22" t="s">
        <v>592</v>
      </c>
      <c r="Z22" t="s">
        <v>593</v>
      </c>
      <c r="AA22" t="s">
        <v>74</v>
      </c>
      <c r="AB22" t="s">
        <v>74</v>
      </c>
      <c r="AC22" t="s">
        <v>74</v>
      </c>
      <c r="AD22" t="s">
        <v>74</v>
      </c>
      <c r="AE22" t="s">
        <v>74</v>
      </c>
      <c r="AF22" t="s">
        <v>74</v>
      </c>
      <c r="AG22">
        <v>10</v>
      </c>
      <c r="AH22">
        <v>3</v>
      </c>
      <c r="AI22">
        <v>3</v>
      </c>
      <c r="AJ22">
        <v>0</v>
      </c>
      <c r="AK22">
        <v>0</v>
      </c>
      <c r="AL22" t="s">
        <v>275</v>
      </c>
      <c r="AM22" t="s">
        <v>594</v>
      </c>
      <c r="AN22" t="s">
        <v>595</v>
      </c>
      <c r="AO22" t="s">
        <v>596</v>
      </c>
      <c r="AP22" t="s">
        <v>597</v>
      </c>
      <c r="AQ22" t="s">
        <v>74</v>
      </c>
      <c r="AR22" t="s">
        <v>598</v>
      </c>
      <c r="AS22" t="s">
        <v>599</v>
      </c>
      <c r="AT22" t="s">
        <v>99</v>
      </c>
      <c r="AU22">
        <v>2016</v>
      </c>
      <c r="AV22">
        <v>13</v>
      </c>
      <c r="AW22">
        <v>11</v>
      </c>
      <c r="AX22" t="s">
        <v>74</v>
      </c>
      <c r="AY22" t="s">
        <v>74</v>
      </c>
      <c r="AZ22" t="s">
        <v>74</v>
      </c>
      <c r="BA22" t="s">
        <v>74</v>
      </c>
      <c r="BB22">
        <v>639</v>
      </c>
      <c r="BC22">
        <v>640</v>
      </c>
      <c r="BD22" t="s">
        <v>74</v>
      </c>
      <c r="BE22" t="s">
        <v>600</v>
      </c>
      <c r="BF22" t="str">
        <f>HYPERLINK("http://dx.doi.org/10.1038/nrcardio.2016.167","http://dx.doi.org/10.1038/nrcardio.2016.167")</f>
        <v>http://dx.doi.org/10.1038/nrcardio.2016.167</v>
      </c>
      <c r="BG22" t="s">
        <v>74</v>
      </c>
      <c r="BH22" t="s">
        <v>74</v>
      </c>
      <c r="BI22">
        <v>2</v>
      </c>
      <c r="BJ22" t="s">
        <v>601</v>
      </c>
      <c r="BK22" t="s">
        <v>156</v>
      </c>
      <c r="BL22" t="s">
        <v>602</v>
      </c>
      <c r="BM22" t="s">
        <v>603</v>
      </c>
      <c r="BN22">
        <v>27708280</v>
      </c>
      <c r="BO22" t="s">
        <v>74</v>
      </c>
      <c r="BP22" t="s">
        <v>74</v>
      </c>
      <c r="BQ22" t="s">
        <v>74</v>
      </c>
      <c r="BR22" t="s">
        <v>105</v>
      </c>
      <c r="BS22" t="s">
        <v>604</v>
      </c>
      <c r="BT22" t="str">
        <f>HYPERLINK("https%3A%2F%2Fwww.webofscience.com%2Fwos%2Fwoscc%2Ffull-record%2FWOS:000386318800003","View Full Record in Web of Science")</f>
        <v>View Full Record in Web of Science</v>
      </c>
    </row>
    <row r="23" spans="1:72" x14ac:dyDescent="0.15">
      <c r="A23" t="s">
        <v>72</v>
      </c>
      <c r="B23" t="s">
        <v>605</v>
      </c>
      <c r="C23" t="s">
        <v>74</v>
      </c>
      <c r="D23" t="s">
        <v>74</v>
      </c>
      <c r="E23" t="s">
        <v>74</v>
      </c>
      <c r="F23" t="s">
        <v>606</v>
      </c>
      <c r="G23" t="s">
        <v>74</v>
      </c>
      <c r="H23" t="s">
        <v>74</v>
      </c>
      <c r="I23" t="s">
        <v>607</v>
      </c>
      <c r="J23" t="s">
        <v>608</v>
      </c>
      <c r="K23" t="s">
        <v>74</v>
      </c>
      <c r="L23" t="s">
        <v>74</v>
      </c>
      <c r="M23" t="s">
        <v>78</v>
      </c>
      <c r="N23" t="s">
        <v>317</v>
      </c>
      <c r="O23" t="s">
        <v>74</v>
      </c>
      <c r="P23" t="s">
        <v>74</v>
      </c>
      <c r="Q23" t="s">
        <v>74</v>
      </c>
      <c r="R23" t="s">
        <v>74</v>
      </c>
      <c r="S23" t="s">
        <v>74</v>
      </c>
      <c r="T23" t="s">
        <v>609</v>
      </c>
      <c r="U23" t="s">
        <v>610</v>
      </c>
      <c r="V23" t="s">
        <v>611</v>
      </c>
      <c r="W23" t="s">
        <v>612</v>
      </c>
      <c r="X23" t="s">
        <v>613</v>
      </c>
      <c r="Y23" t="s">
        <v>614</v>
      </c>
      <c r="Z23" t="s">
        <v>615</v>
      </c>
      <c r="AA23" t="s">
        <v>616</v>
      </c>
      <c r="AB23" t="s">
        <v>617</v>
      </c>
      <c r="AC23" t="s">
        <v>618</v>
      </c>
      <c r="AD23" t="s">
        <v>618</v>
      </c>
      <c r="AE23" t="s">
        <v>619</v>
      </c>
      <c r="AF23" t="s">
        <v>74</v>
      </c>
      <c r="AG23">
        <v>189</v>
      </c>
      <c r="AH23">
        <v>12</v>
      </c>
      <c r="AI23">
        <v>13</v>
      </c>
      <c r="AJ23">
        <v>0</v>
      </c>
      <c r="AK23">
        <v>29</v>
      </c>
      <c r="AL23" t="s">
        <v>449</v>
      </c>
      <c r="AM23" t="s">
        <v>450</v>
      </c>
      <c r="AN23" t="s">
        <v>451</v>
      </c>
      <c r="AO23" t="s">
        <v>620</v>
      </c>
      <c r="AP23" t="s">
        <v>621</v>
      </c>
      <c r="AQ23" t="s">
        <v>74</v>
      </c>
      <c r="AR23" t="s">
        <v>622</v>
      </c>
      <c r="AS23" t="s">
        <v>623</v>
      </c>
      <c r="AT23" t="s">
        <v>99</v>
      </c>
      <c r="AU23">
        <v>2016</v>
      </c>
      <c r="AV23">
        <v>66</v>
      </c>
      <c r="AW23">
        <v>11</v>
      </c>
      <c r="AX23" t="s">
        <v>74</v>
      </c>
      <c r="AY23" t="s">
        <v>74</v>
      </c>
      <c r="AZ23" t="s">
        <v>74</v>
      </c>
      <c r="BA23" t="s">
        <v>74</v>
      </c>
      <c r="BB23">
        <v>1379</v>
      </c>
      <c r="BC23">
        <v>1413</v>
      </c>
      <c r="BD23" t="s">
        <v>74</v>
      </c>
      <c r="BE23" t="s">
        <v>624</v>
      </c>
      <c r="BF23" t="str">
        <f>HYPERLINK("http://dx.doi.org/10.1007/s10236-016-0988-1","http://dx.doi.org/10.1007/s10236-016-0988-1")</f>
        <v>http://dx.doi.org/10.1007/s10236-016-0988-1</v>
      </c>
      <c r="BG23" t="s">
        <v>74</v>
      </c>
      <c r="BH23" t="s">
        <v>74</v>
      </c>
      <c r="BI23">
        <v>35</v>
      </c>
      <c r="BJ23" t="s">
        <v>405</v>
      </c>
      <c r="BK23" t="s">
        <v>156</v>
      </c>
      <c r="BL23" t="s">
        <v>405</v>
      </c>
      <c r="BM23" t="s">
        <v>625</v>
      </c>
      <c r="BN23" t="s">
        <v>74</v>
      </c>
      <c r="BO23" t="s">
        <v>626</v>
      </c>
      <c r="BP23" t="s">
        <v>74</v>
      </c>
      <c r="BQ23" t="s">
        <v>74</v>
      </c>
      <c r="BR23" t="s">
        <v>105</v>
      </c>
      <c r="BS23" t="s">
        <v>627</v>
      </c>
      <c r="BT23" t="str">
        <f>HYPERLINK("https%3A%2F%2Fwww.webofscience.com%2Fwos%2Fwoscc%2Ffull-record%2FWOS:000385196600001","View Full Record in Web of Science")</f>
        <v>View Full Record in Web of Science</v>
      </c>
    </row>
    <row r="24" spans="1:72" x14ac:dyDescent="0.15">
      <c r="A24" t="s">
        <v>72</v>
      </c>
      <c r="B24" t="s">
        <v>628</v>
      </c>
      <c r="C24" t="s">
        <v>74</v>
      </c>
      <c r="D24" t="s">
        <v>74</v>
      </c>
      <c r="E24" t="s">
        <v>74</v>
      </c>
      <c r="F24" t="s">
        <v>629</v>
      </c>
      <c r="G24" t="s">
        <v>74</v>
      </c>
      <c r="H24" t="s">
        <v>74</v>
      </c>
      <c r="I24" t="s">
        <v>630</v>
      </c>
      <c r="J24" t="s">
        <v>631</v>
      </c>
      <c r="K24" t="s">
        <v>74</v>
      </c>
      <c r="L24" t="s">
        <v>74</v>
      </c>
      <c r="M24" t="s">
        <v>78</v>
      </c>
      <c r="N24" t="s">
        <v>79</v>
      </c>
      <c r="O24" t="s">
        <v>74</v>
      </c>
      <c r="P24" t="s">
        <v>74</v>
      </c>
      <c r="Q24" t="s">
        <v>74</v>
      </c>
      <c r="R24" t="s">
        <v>74</v>
      </c>
      <c r="S24" t="s">
        <v>74</v>
      </c>
      <c r="T24" t="s">
        <v>632</v>
      </c>
      <c r="U24" t="s">
        <v>633</v>
      </c>
      <c r="V24" t="s">
        <v>634</v>
      </c>
      <c r="W24" t="s">
        <v>635</v>
      </c>
      <c r="X24" t="s">
        <v>636</v>
      </c>
      <c r="Y24" t="s">
        <v>637</v>
      </c>
      <c r="Z24" t="s">
        <v>638</v>
      </c>
      <c r="AA24" t="s">
        <v>639</v>
      </c>
      <c r="AB24" t="s">
        <v>640</v>
      </c>
      <c r="AC24" t="s">
        <v>641</v>
      </c>
      <c r="AD24" t="s">
        <v>642</v>
      </c>
      <c r="AE24" t="s">
        <v>643</v>
      </c>
      <c r="AF24" t="s">
        <v>74</v>
      </c>
      <c r="AG24">
        <v>62</v>
      </c>
      <c r="AH24">
        <v>34</v>
      </c>
      <c r="AI24">
        <v>36</v>
      </c>
      <c r="AJ24">
        <v>2</v>
      </c>
      <c r="AK24">
        <v>44</v>
      </c>
      <c r="AL24" t="s">
        <v>644</v>
      </c>
      <c r="AM24" t="s">
        <v>594</v>
      </c>
      <c r="AN24" t="s">
        <v>645</v>
      </c>
      <c r="AO24" t="s">
        <v>646</v>
      </c>
      <c r="AP24" t="s">
        <v>647</v>
      </c>
      <c r="AQ24" t="s">
        <v>74</v>
      </c>
      <c r="AR24" t="s">
        <v>648</v>
      </c>
      <c r="AS24" t="s">
        <v>649</v>
      </c>
      <c r="AT24" t="s">
        <v>99</v>
      </c>
      <c r="AU24">
        <v>2016</v>
      </c>
      <c r="AV24">
        <v>39</v>
      </c>
      <c r="AW24">
        <v>11</v>
      </c>
      <c r="AX24">
        <v>2</v>
      </c>
      <c r="AY24" t="s">
        <v>74</v>
      </c>
      <c r="AZ24" t="s">
        <v>650</v>
      </c>
      <c r="BA24" t="s">
        <v>74</v>
      </c>
      <c r="BB24">
        <v>2009</v>
      </c>
      <c r="BC24">
        <v>2020</v>
      </c>
      <c r="BD24" t="s">
        <v>74</v>
      </c>
      <c r="BE24" t="s">
        <v>651</v>
      </c>
      <c r="BF24" t="str">
        <f>HYPERLINK("http://dx.doi.org/10.1007/s00300-016-1906-1","http://dx.doi.org/10.1007/s00300-016-1906-1")</f>
        <v>http://dx.doi.org/10.1007/s00300-016-1906-1</v>
      </c>
      <c r="BG24" t="s">
        <v>74</v>
      </c>
      <c r="BH24" t="s">
        <v>74</v>
      </c>
      <c r="BI24">
        <v>12</v>
      </c>
      <c r="BJ24" t="s">
        <v>652</v>
      </c>
      <c r="BK24" t="s">
        <v>156</v>
      </c>
      <c r="BL24" t="s">
        <v>653</v>
      </c>
      <c r="BM24" t="s">
        <v>654</v>
      </c>
      <c r="BN24" t="s">
        <v>74</v>
      </c>
      <c r="BO24" t="s">
        <v>74</v>
      </c>
      <c r="BP24" t="s">
        <v>74</v>
      </c>
      <c r="BQ24" t="s">
        <v>74</v>
      </c>
      <c r="BR24" t="s">
        <v>105</v>
      </c>
      <c r="BS24" t="s">
        <v>655</v>
      </c>
      <c r="BT24" t="str">
        <f>HYPERLINK("https%3A%2F%2Fwww.webofscience.com%2Fwos%2Fwoscc%2Ffull-record%2FWOS:000390030500007","View Full Record in Web of Science")</f>
        <v>View Full Record in Web of Science</v>
      </c>
    </row>
    <row r="25" spans="1:72" x14ac:dyDescent="0.15">
      <c r="A25" t="s">
        <v>72</v>
      </c>
      <c r="B25" t="s">
        <v>656</v>
      </c>
      <c r="C25" t="s">
        <v>74</v>
      </c>
      <c r="D25" t="s">
        <v>74</v>
      </c>
      <c r="E25" t="s">
        <v>74</v>
      </c>
      <c r="F25" t="s">
        <v>657</v>
      </c>
      <c r="G25" t="s">
        <v>74</v>
      </c>
      <c r="H25" t="s">
        <v>74</v>
      </c>
      <c r="I25" t="s">
        <v>658</v>
      </c>
      <c r="J25" t="s">
        <v>631</v>
      </c>
      <c r="K25" t="s">
        <v>74</v>
      </c>
      <c r="L25" t="s">
        <v>74</v>
      </c>
      <c r="M25" t="s">
        <v>78</v>
      </c>
      <c r="N25" t="s">
        <v>79</v>
      </c>
      <c r="O25" t="s">
        <v>74</v>
      </c>
      <c r="P25" t="s">
        <v>74</v>
      </c>
      <c r="Q25" t="s">
        <v>74</v>
      </c>
      <c r="R25" t="s">
        <v>74</v>
      </c>
      <c r="S25" t="s">
        <v>74</v>
      </c>
      <c r="T25" t="s">
        <v>659</v>
      </c>
      <c r="U25" t="s">
        <v>660</v>
      </c>
      <c r="V25" t="s">
        <v>661</v>
      </c>
      <c r="W25" t="s">
        <v>662</v>
      </c>
      <c r="X25" t="s">
        <v>663</v>
      </c>
      <c r="Y25" t="s">
        <v>664</v>
      </c>
      <c r="Z25" t="s">
        <v>665</v>
      </c>
      <c r="AA25" t="s">
        <v>666</v>
      </c>
      <c r="AB25" t="s">
        <v>667</v>
      </c>
      <c r="AC25" t="s">
        <v>668</v>
      </c>
      <c r="AD25" t="s">
        <v>669</v>
      </c>
      <c r="AE25" t="s">
        <v>670</v>
      </c>
      <c r="AF25" t="s">
        <v>74</v>
      </c>
      <c r="AG25">
        <v>54</v>
      </c>
      <c r="AH25">
        <v>27</v>
      </c>
      <c r="AI25">
        <v>30</v>
      </c>
      <c r="AJ25">
        <v>1</v>
      </c>
      <c r="AK25">
        <v>50</v>
      </c>
      <c r="AL25" t="s">
        <v>644</v>
      </c>
      <c r="AM25" t="s">
        <v>594</v>
      </c>
      <c r="AN25" t="s">
        <v>645</v>
      </c>
      <c r="AO25" t="s">
        <v>646</v>
      </c>
      <c r="AP25" t="s">
        <v>647</v>
      </c>
      <c r="AQ25" t="s">
        <v>74</v>
      </c>
      <c r="AR25" t="s">
        <v>648</v>
      </c>
      <c r="AS25" t="s">
        <v>649</v>
      </c>
      <c r="AT25" t="s">
        <v>99</v>
      </c>
      <c r="AU25">
        <v>2016</v>
      </c>
      <c r="AV25">
        <v>39</v>
      </c>
      <c r="AW25">
        <v>11</v>
      </c>
      <c r="AX25">
        <v>2</v>
      </c>
      <c r="AY25" t="s">
        <v>74</v>
      </c>
      <c r="AZ25" t="s">
        <v>650</v>
      </c>
      <c r="BA25" t="s">
        <v>74</v>
      </c>
      <c r="BB25">
        <v>2179</v>
      </c>
      <c r="BC25">
        <v>2188</v>
      </c>
      <c r="BD25" t="s">
        <v>74</v>
      </c>
      <c r="BE25" t="s">
        <v>671</v>
      </c>
      <c r="BF25" t="str">
        <f>HYPERLINK("http://dx.doi.org/10.1007/s00300-016-1908-z","http://dx.doi.org/10.1007/s00300-016-1908-z")</f>
        <v>http://dx.doi.org/10.1007/s00300-016-1908-z</v>
      </c>
      <c r="BG25" t="s">
        <v>74</v>
      </c>
      <c r="BH25" t="s">
        <v>74</v>
      </c>
      <c r="BI25">
        <v>10</v>
      </c>
      <c r="BJ25" t="s">
        <v>652</v>
      </c>
      <c r="BK25" t="s">
        <v>156</v>
      </c>
      <c r="BL25" t="s">
        <v>653</v>
      </c>
      <c r="BM25" t="s">
        <v>654</v>
      </c>
      <c r="BN25" t="s">
        <v>74</v>
      </c>
      <c r="BO25" t="s">
        <v>459</v>
      </c>
      <c r="BP25" t="s">
        <v>74</v>
      </c>
      <c r="BQ25" t="s">
        <v>74</v>
      </c>
      <c r="BR25" t="s">
        <v>105</v>
      </c>
      <c r="BS25" t="s">
        <v>672</v>
      </c>
      <c r="BT25" t="str">
        <f>HYPERLINK("https%3A%2F%2Fwww.webofscience.com%2Fwos%2Fwoscc%2Ffull-record%2FWOS:000390030500019","View Full Record in Web of Science")</f>
        <v>View Full Record in Web of Science</v>
      </c>
    </row>
    <row r="26" spans="1:72" x14ac:dyDescent="0.15">
      <c r="A26" t="s">
        <v>72</v>
      </c>
      <c r="B26" t="s">
        <v>673</v>
      </c>
      <c r="C26" t="s">
        <v>74</v>
      </c>
      <c r="D26" t="s">
        <v>74</v>
      </c>
      <c r="E26" t="s">
        <v>74</v>
      </c>
      <c r="F26" t="s">
        <v>674</v>
      </c>
      <c r="G26" t="s">
        <v>74</v>
      </c>
      <c r="H26" t="s">
        <v>74</v>
      </c>
      <c r="I26" t="s">
        <v>675</v>
      </c>
      <c r="J26" t="s">
        <v>676</v>
      </c>
      <c r="K26" t="s">
        <v>74</v>
      </c>
      <c r="L26" t="s">
        <v>74</v>
      </c>
      <c r="M26" t="s">
        <v>78</v>
      </c>
      <c r="N26" t="s">
        <v>79</v>
      </c>
      <c r="O26" t="s">
        <v>74</v>
      </c>
      <c r="P26" t="s">
        <v>74</v>
      </c>
      <c r="Q26" t="s">
        <v>74</v>
      </c>
      <c r="R26" t="s">
        <v>74</v>
      </c>
      <c r="S26" t="s">
        <v>74</v>
      </c>
      <c r="T26" t="s">
        <v>677</v>
      </c>
      <c r="U26" t="s">
        <v>678</v>
      </c>
      <c r="V26" t="s">
        <v>679</v>
      </c>
      <c r="W26" t="s">
        <v>680</v>
      </c>
      <c r="X26" t="s">
        <v>681</v>
      </c>
      <c r="Y26" t="s">
        <v>682</v>
      </c>
      <c r="Z26" t="s">
        <v>683</v>
      </c>
      <c r="AA26" t="s">
        <v>684</v>
      </c>
      <c r="AB26" t="s">
        <v>685</v>
      </c>
      <c r="AC26" t="s">
        <v>686</v>
      </c>
      <c r="AD26" t="s">
        <v>687</v>
      </c>
      <c r="AE26" t="s">
        <v>688</v>
      </c>
      <c r="AF26" t="s">
        <v>74</v>
      </c>
      <c r="AG26">
        <v>68</v>
      </c>
      <c r="AH26">
        <v>1</v>
      </c>
      <c r="AI26">
        <v>2</v>
      </c>
      <c r="AJ26">
        <v>0</v>
      </c>
      <c r="AK26">
        <v>5</v>
      </c>
      <c r="AL26" t="s">
        <v>92</v>
      </c>
      <c r="AM26" t="s">
        <v>93</v>
      </c>
      <c r="AN26" t="s">
        <v>94</v>
      </c>
      <c r="AO26" t="s">
        <v>689</v>
      </c>
      <c r="AP26" t="s">
        <v>74</v>
      </c>
      <c r="AQ26" t="s">
        <v>74</v>
      </c>
      <c r="AR26" t="s">
        <v>690</v>
      </c>
      <c r="AS26" t="s">
        <v>691</v>
      </c>
      <c r="AT26" t="s">
        <v>99</v>
      </c>
      <c r="AU26">
        <v>2016</v>
      </c>
      <c r="AV26">
        <v>8</v>
      </c>
      <c r="AW26" t="s">
        <v>74</v>
      </c>
      <c r="AX26">
        <v>1</v>
      </c>
      <c r="AY26" t="s">
        <v>74</v>
      </c>
      <c r="AZ26" t="s">
        <v>74</v>
      </c>
      <c r="BA26" t="s">
        <v>74</v>
      </c>
      <c r="BB26">
        <v>122</v>
      </c>
      <c r="BC26">
        <v>132</v>
      </c>
      <c r="BD26" t="s">
        <v>74</v>
      </c>
      <c r="BE26" t="s">
        <v>692</v>
      </c>
      <c r="BF26" t="str">
        <f>HYPERLINK("http://dx.doi.org/10.1016/j.rsma.2016.08.006","http://dx.doi.org/10.1016/j.rsma.2016.08.006")</f>
        <v>http://dx.doi.org/10.1016/j.rsma.2016.08.006</v>
      </c>
      <c r="BG26" t="s">
        <v>74</v>
      </c>
      <c r="BH26" t="s">
        <v>74</v>
      </c>
      <c r="BI26">
        <v>11</v>
      </c>
      <c r="BJ26" t="s">
        <v>693</v>
      </c>
      <c r="BK26" t="s">
        <v>156</v>
      </c>
      <c r="BL26" t="s">
        <v>694</v>
      </c>
      <c r="BM26" t="s">
        <v>695</v>
      </c>
      <c r="BN26" t="s">
        <v>74</v>
      </c>
      <c r="BO26" t="s">
        <v>74</v>
      </c>
      <c r="BP26" t="s">
        <v>74</v>
      </c>
      <c r="BQ26" t="s">
        <v>74</v>
      </c>
      <c r="BR26" t="s">
        <v>105</v>
      </c>
      <c r="BS26" t="s">
        <v>696</v>
      </c>
      <c r="BT26" t="str">
        <f>HYPERLINK("https%3A%2F%2Fwww.webofscience.com%2Fwos%2Fwoscc%2Ffull-record%2FWOS:000414771200015","View Full Record in Web of Science")</f>
        <v>View Full Record in Web of Science</v>
      </c>
    </row>
    <row r="27" spans="1:72" x14ac:dyDescent="0.15">
      <c r="A27" t="s">
        <v>72</v>
      </c>
      <c r="B27" t="s">
        <v>697</v>
      </c>
      <c r="C27" t="s">
        <v>74</v>
      </c>
      <c r="D27" t="s">
        <v>74</v>
      </c>
      <c r="E27" t="s">
        <v>74</v>
      </c>
      <c r="F27" t="s">
        <v>698</v>
      </c>
      <c r="G27" t="s">
        <v>74</v>
      </c>
      <c r="H27" t="s">
        <v>74</v>
      </c>
      <c r="I27" t="s">
        <v>699</v>
      </c>
      <c r="J27" t="s">
        <v>700</v>
      </c>
      <c r="K27" t="s">
        <v>74</v>
      </c>
      <c r="L27" t="s">
        <v>74</v>
      </c>
      <c r="M27" t="s">
        <v>78</v>
      </c>
      <c r="N27" t="s">
        <v>79</v>
      </c>
      <c r="O27" t="s">
        <v>74</v>
      </c>
      <c r="P27" t="s">
        <v>74</v>
      </c>
      <c r="Q27" t="s">
        <v>74</v>
      </c>
      <c r="R27" t="s">
        <v>74</v>
      </c>
      <c r="S27" t="s">
        <v>74</v>
      </c>
      <c r="T27" t="s">
        <v>701</v>
      </c>
      <c r="U27" t="s">
        <v>702</v>
      </c>
      <c r="V27" t="s">
        <v>703</v>
      </c>
      <c r="W27" t="s">
        <v>704</v>
      </c>
      <c r="X27" t="s">
        <v>705</v>
      </c>
      <c r="Y27" t="s">
        <v>706</v>
      </c>
      <c r="Z27" t="s">
        <v>707</v>
      </c>
      <c r="AA27" t="s">
        <v>708</v>
      </c>
      <c r="AB27" t="s">
        <v>709</v>
      </c>
      <c r="AC27" t="s">
        <v>710</v>
      </c>
      <c r="AD27" t="s">
        <v>711</v>
      </c>
      <c r="AE27" t="s">
        <v>712</v>
      </c>
      <c r="AF27" t="s">
        <v>74</v>
      </c>
      <c r="AG27">
        <v>77</v>
      </c>
      <c r="AH27">
        <v>71</v>
      </c>
      <c r="AI27">
        <v>78</v>
      </c>
      <c r="AJ27">
        <v>1</v>
      </c>
      <c r="AK27">
        <v>18</v>
      </c>
      <c r="AL27" t="s">
        <v>713</v>
      </c>
      <c r="AM27" t="s">
        <v>250</v>
      </c>
      <c r="AN27" t="s">
        <v>714</v>
      </c>
      <c r="AO27" t="s">
        <v>715</v>
      </c>
      <c r="AP27" t="s">
        <v>74</v>
      </c>
      <c r="AQ27" t="s">
        <v>74</v>
      </c>
      <c r="AR27" t="s">
        <v>716</v>
      </c>
      <c r="AS27" t="s">
        <v>717</v>
      </c>
      <c r="AT27" t="s">
        <v>99</v>
      </c>
      <c r="AU27">
        <v>2016</v>
      </c>
      <c r="AV27">
        <v>3</v>
      </c>
      <c r="AW27">
        <v>11</v>
      </c>
      <c r="AX27" t="s">
        <v>74</v>
      </c>
      <c r="AY27" t="s">
        <v>74</v>
      </c>
      <c r="AZ27" t="s">
        <v>74</v>
      </c>
      <c r="BA27" t="s">
        <v>74</v>
      </c>
      <c r="BB27" t="s">
        <v>74</v>
      </c>
      <c r="BC27" t="s">
        <v>74</v>
      </c>
      <c r="BD27">
        <v>160432</v>
      </c>
      <c r="BE27" t="s">
        <v>718</v>
      </c>
      <c r="BF27" t="str">
        <f>HYPERLINK("http://dx.doi.org/10.1098/rsos.160432","http://dx.doi.org/10.1098/rsos.160432")</f>
        <v>http://dx.doi.org/10.1098/rsos.160432</v>
      </c>
      <c r="BG27" t="s">
        <v>74</v>
      </c>
      <c r="BH27" t="s">
        <v>74</v>
      </c>
      <c r="BI27">
        <v>19</v>
      </c>
      <c r="BJ27" t="s">
        <v>719</v>
      </c>
      <c r="BK27" t="s">
        <v>156</v>
      </c>
      <c r="BL27" t="s">
        <v>720</v>
      </c>
      <c r="BM27" t="s">
        <v>721</v>
      </c>
      <c r="BN27">
        <v>28018624</v>
      </c>
      <c r="BO27" t="s">
        <v>722</v>
      </c>
      <c r="BP27" t="s">
        <v>74</v>
      </c>
      <c r="BQ27" t="s">
        <v>74</v>
      </c>
      <c r="BR27" t="s">
        <v>105</v>
      </c>
      <c r="BS27" t="s">
        <v>723</v>
      </c>
      <c r="BT27" t="str">
        <f>HYPERLINK("https%3A%2F%2Fwww.webofscience.com%2Fwos%2Fwoscc%2Ffull-record%2FWOS:000389244400016","View Full Record in Web of Science")</f>
        <v>View Full Record in Web of Science</v>
      </c>
    </row>
    <row r="28" spans="1:72" x14ac:dyDescent="0.15">
      <c r="A28" t="s">
        <v>72</v>
      </c>
      <c r="B28" t="s">
        <v>724</v>
      </c>
      <c r="C28" t="s">
        <v>74</v>
      </c>
      <c r="D28" t="s">
        <v>74</v>
      </c>
      <c r="E28" t="s">
        <v>74</v>
      </c>
      <c r="F28" t="s">
        <v>725</v>
      </c>
      <c r="G28" t="s">
        <v>74</v>
      </c>
      <c r="H28" t="s">
        <v>74</v>
      </c>
      <c r="I28" t="s">
        <v>726</v>
      </c>
      <c r="J28" t="s">
        <v>727</v>
      </c>
      <c r="K28" t="s">
        <v>74</v>
      </c>
      <c r="L28" t="s">
        <v>74</v>
      </c>
      <c r="M28" t="s">
        <v>78</v>
      </c>
      <c r="N28" t="s">
        <v>79</v>
      </c>
      <c r="O28" t="s">
        <v>74</v>
      </c>
      <c r="P28" t="s">
        <v>74</v>
      </c>
      <c r="Q28" t="s">
        <v>74</v>
      </c>
      <c r="R28" t="s">
        <v>74</v>
      </c>
      <c r="S28" t="s">
        <v>74</v>
      </c>
      <c r="T28" t="s">
        <v>728</v>
      </c>
      <c r="U28" t="s">
        <v>729</v>
      </c>
      <c r="V28" t="s">
        <v>730</v>
      </c>
      <c r="W28" t="s">
        <v>731</v>
      </c>
      <c r="X28" t="s">
        <v>732</v>
      </c>
      <c r="Y28" t="s">
        <v>733</v>
      </c>
      <c r="Z28" t="s">
        <v>734</v>
      </c>
      <c r="AA28" t="s">
        <v>735</v>
      </c>
      <c r="AB28" t="s">
        <v>736</v>
      </c>
      <c r="AC28" t="s">
        <v>737</v>
      </c>
      <c r="AD28" t="s">
        <v>738</v>
      </c>
      <c r="AE28" t="s">
        <v>739</v>
      </c>
      <c r="AF28" t="s">
        <v>74</v>
      </c>
      <c r="AG28">
        <v>65</v>
      </c>
      <c r="AH28">
        <v>66</v>
      </c>
      <c r="AI28">
        <v>66</v>
      </c>
      <c r="AJ28">
        <v>3</v>
      </c>
      <c r="AK28">
        <v>20</v>
      </c>
      <c r="AL28" t="s">
        <v>644</v>
      </c>
      <c r="AM28" t="s">
        <v>740</v>
      </c>
      <c r="AN28" t="s">
        <v>741</v>
      </c>
      <c r="AO28" t="s">
        <v>742</v>
      </c>
      <c r="AP28" t="s">
        <v>743</v>
      </c>
      <c r="AQ28" t="s">
        <v>74</v>
      </c>
      <c r="AR28" t="s">
        <v>744</v>
      </c>
      <c r="AS28" t="s">
        <v>745</v>
      </c>
      <c r="AT28" t="s">
        <v>99</v>
      </c>
      <c r="AU28">
        <v>2016</v>
      </c>
      <c r="AV28">
        <v>291</v>
      </c>
      <c r="AW28" t="s">
        <v>746</v>
      </c>
      <c r="AX28" t="s">
        <v>74</v>
      </c>
      <c r="AY28" t="s">
        <v>74</v>
      </c>
      <c r="AZ28" t="s">
        <v>74</v>
      </c>
      <c r="BA28" t="s">
        <v>74</v>
      </c>
      <c r="BB28">
        <v>3025</v>
      </c>
      <c r="BC28">
        <v>3043</v>
      </c>
      <c r="BD28" t="s">
        <v>74</v>
      </c>
      <c r="BE28" t="s">
        <v>747</v>
      </c>
      <c r="BF28" t="str">
        <f>HYPERLINK("http://dx.doi.org/10.1007/s11207-016-0969-z","http://dx.doi.org/10.1007/s11207-016-0969-z")</f>
        <v>http://dx.doi.org/10.1007/s11207-016-0969-z</v>
      </c>
      <c r="BG28" t="s">
        <v>74</v>
      </c>
      <c r="BH28" t="s">
        <v>74</v>
      </c>
      <c r="BI28">
        <v>19</v>
      </c>
      <c r="BJ28" t="s">
        <v>748</v>
      </c>
      <c r="BK28" t="s">
        <v>156</v>
      </c>
      <c r="BL28" t="s">
        <v>748</v>
      </c>
      <c r="BM28" t="s">
        <v>749</v>
      </c>
      <c r="BN28" t="s">
        <v>74</v>
      </c>
      <c r="BO28" t="s">
        <v>104</v>
      </c>
      <c r="BP28" t="s">
        <v>74</v>
      </c>
      <c r="BQ28" t="s">
        <v>74</v>
      </c>
      <c r="BR28" t="s">
        <v>105</v>
      </c>
      <c r="BS28" t="s">
        <v>750</v>
      </c>
      <c r="BT28" t="str">
        <f>HYPERLINK("https%3A%2F%2Fwww.webofscience.com%2Fwos%2Fwoscc%2Ffull-record%2FWOS:000388842600028","View Full Record in Web of Science")</f>
        <v>View Full Record in Web of Science</v>
      </c>
    </row>
    <row r="29" spans="1:72" x14ac:dyDescent="0.15">
      <c r="A29" t="s">
        <v>72</v>
      </c>
      <c r="B29" t="s">
        <v>751</v>
      </c>
      <c r="C29" t="s">
        <v>74</v>
      </c>
      <c r="D29" t="s">
        <v>74</v>
      </c>
      <c r="E29" t="s">
        <v>74</v>
      </c>
      <c r="F29" t="s">
        <v>752</v>
      </c>
      <c r="G29" t="s">
        <v>74</v>
      </c>
      <c r="H29" t="s">
        <v>74</v>
      </c>
      <c r="I29" t="s">
        <v>753</v>
      </c>
      <c r="J29" t="s">
        <v>754</v>
      </c>
      <c r="K29" t="s">
        <v>74</v>
      </c>
      <c r="L29" t="s">
        <v>74</v>
      </c>
      <c r="M29" t="s">
        <v>78</v>
      </c>
      <c r="N29" t="s">
        <v>79</v>
      </c>
      <c r="O29" t="s">
        <v>74</v>
      </c>
      <c r="P29" t="s">
        <v>74</v>
      </c>
      <c r="Q29" t="s">
        <v>74</v>
      </c>
      <c r="R29" t="s">
        <v>74</v>
      </c>
      <c r="S29" t="s">
        <v>74</v>
      </c>
      <c r="T29" t="s">
        <v>755</v>
      </c>
      <c r="U29" t="s">
        <v>756</v>
      </c>
      <c r="V29" t="s">
        <v>757</v>
      </c>
      <c r="W29" t="s">
        <v>758</v>
      </c>
      <c r="X29" t="s">
        <v>759</v>
      </c>
      <c r="Y29" t="s">
        <v>760</v>
      </c>
      <c r="Z29" t="s">
        <v>761</v>
      </c>
      <c r="AA29" t="s">
        <v>762</v>
      </c>
      <c r="AB29" t="s">
        <v>763</v>
      </c>
      <c r="AC29" t="s">
        <v>764</v>
      </c>
      <c r="AD29" t="s">
        <v>765</v>
      </c>
      <c r="AE29" t="s">
        <v>764</v>
      </c>
      <c r="AF29" t="s">
        <v>74</v>
      </c>
      <c r="AG29">
        <v>15</v>
      </c>
      <c r="AH29">
        <v>3</v>
      </c>
      <c r="AI29">
        <v>3</v>
      </c>
      <c r="AJ29">
        <v>1</v>
      </c>
      <c r="AK29">
        <v>16</v>
      </c>
      <c r="AL29" t="s">
        <v>766</v>
      </c>
      <c r="AM29" t="s">
        <v>767</v>
      </c>
      <c r="AN29" t="s">
        <v>768</v>
      </c>
      <c r="AO29" t="s">
        <v>769</v>
      </c>
      <c r="AP29" t="s">
        <v>770</v>
      </c>
      <c r="AQ29" t="s">
        <v>74</v>
      </c>
      <c r="AR29" t="s">
        <v>771</v>
      </c>
      <c r="AS29" t="s">
        <v>772</v>
      </c>
      <c r="AT29" t="s">
        <v>127</v>
      </c>
      <c r="AU29">
        <v>2016</v>
      </c>
      <c r="AV29">
        <v>112</v>
      </c>
      <c r="AW29" t="s">
        <v>773</v>
      </c>
      <c r="AX29" t="s">
        <v>74</v>
      </c>
      <c r="AY29" t="s">
        <v>74</v>
      </c>
      <c r="AZ29" t="s">
        <v>74</v>
      </c>
      <c r="BA29" t="s">
        <v>74</v>
      </c>
      <c r="BB29" t="s">
        <v>74</v>
      </c>
      <c r="BC29" t="s">
        <v>74</v>
      </c>
      <c r="BD29" t="s">
        <v>774</v>
      </c>
      <c r="BE29" t="s">
        <v>775</v>
      </c>
      <c r="BF29" t="str">
        <f>HYPERLINK("http://dx.doi.org/10.17159/sajs.2016/20160202","http://dx.doi.org/10.17159/sajs.2016/20160202")</f>
        <v>http://dx.doi.org/10.17159/sajs.2016/20160202</v>
      </c>
      <c r="BG29" t="s">
        <v>74</v>
      </c>
      <c r="BH29" t="s">
        <v>74</v>
      </c>
      <c r="BI29">
        <v>5</v>
      </c>
      <c r="BJ29" t="s">
        <v>719</v>
      </c>
      <c r="BK29" t="s">
        <v>156</v>
      </c>
      <c r="BL29" t="s">
        <v>720</v>
      </c>
      <c r="BM29" t="s">
        <v>776</v>
      </c>
      <c r="BN29" t="s">
        <v>74</v>
      </c>
      <c r="BO29" t="s">
        <v>777</v>
      </c>
      <c r="BP29" t="s">
        <v>74</v>
      </c>
      <c r="BQ29" t="s">
        <v>74</v>
      </c>
      <c r="BR29" t="s">
        <v>105</v>
      </c>
      <c r="BS29" t="s">
        <v>778</v>
      </c>
      <c r="BT29" t="str">
        <f>HYPERLINK("https%3A%2F%2Fwww.webofscience.com%2Fwos%2Fwoscc%2Ffull-record%2FWOS:000392518700019","View Full Record in Web of Science")</f>
        <v>View Full Record in Web of Science</v>
      </c>
    </row>
    <row r="30" spans="1:72" x14ac:dyDescent="0.15">
      <c r="A30" t="s">
        <v>72</v>
      </c>
      <c r="B30" t="s">
        <v>779</v>
      </c>
      <c r="C30" t="s">
        <v>74</v>
      </c>
      <c r="D30" t="s">
        <v>74</v>
      </c>
      <c r="E30" t="s">
        <v>74</v>
      </c>
      <c r="F30" t="s">
        <v>780</v>
      </c>
      <c r="G30" t="s">
        <v>74</v>
      </c>
      <c r="H30" t="s">
        <v>74</v>
      </c>
      <c r="I30" t="s">
        <v>781</v>
      </c>
      <c r="J30" t="s">
        <v>782</v>
      </c>
      <c r="K30" t="s">
        <v>74</v>
      </c>
      <c r="L30" t="s">
        <v>74</v>
      </c>
      <c r="M30" t="s">
        <v>78</v>
      </c>
      <c r="N30" t="s">
        <v>79</v>
      </c>
      <c r="O30" t="s">
        <v>74</v>
      </c>
      <c r="P30" t="s">
        <v>74</v>
      </c>
      <c r="Q30" t="s">
        <v>74</v>
      </c>
      <c r="R30" t="s">
        <v>74</v>
      </c>
      <c r="S30" t="s">
        <v>74</v>
      </c>
      <c r="T30" t="s">
        <v>783</v>
      </c>
      <c r="U30" t="s">
        <v>784</v>
      </c>
      <c r="V30" t="s">
        <v>785</v>
      </c>
      <c r="W30" t="s">
        <v>786</v>
      </c>
      <c r="X30" t="s">
        <v>787</v>
      </c>
      <c r="Y30" t="s">
        <v>788</v>
      </c>
      <c r="Z30" t="s">
        <v>789</v>
      </c>
      <c r="AA30" t="s">
        <v>790</v>
      </c>
      <c r="AB30" t="s">
        <v>791</v>
      </c>
      <c r="AC30" t="s">
        <v>792</v>
      </c>
      <c r="AD30" t="s">
        <v>793</v>
      </c>
      <c r="AE30" t="s">
        <v>794</v>
      </c>
      <c r="AF30" t="s">
        <v>74</v>
      </c>
      <c r="AG30">
        <v>19</v>
      </c>
      <c r="AH30">
        <v>12</v>
      </c>
      <c r="AI30">
        <v>12</v>
      </c>
      <c r="AJ30">
        <v>0</v>
      </c>
      <c r="AK30">
        <v>6</v>
      </c>
      <c r="AL30" t="s">
        <v>795</v>
      </c>
      <c r="AM30" t="s">
        <v>250</v>
      </c>
      <c r="AN30" t="s">
        <v>796</v>
      </c>
      <c r="AO30" t="s">
        <v>797</v>
      </c>
      <c r="AP30" t="s">
        <v>798</v>
      </c>
      <c r="AQ30" t="s">
        <v>74</v>
      </c>
      <c r="AR30" t="s">
        <v>799</v>
      </c>
      <c r="AS30" t="s">
        <v>800</v>
      </c>
      <c r="AT30" t="s">
        <v>99</v>
      </c>
      <c r="AU30">
        <v>2016</v>
      </c>
      <c r="AV30">
        <v>34</v>
      </c>
      <c r="AW30">
        <v>1</v>
      </c>
      <c r="AX30" t="s">
        <v>74</v>
      </c>
      <c r="AY30" t="s">
        <v>74</v>
      </c>
      <c r="AZ30" t="s">
        <v>74</v>
      </c>
      <c r="BA30" t="s">
        <v>74</v>
      </c>
      <c r="BB30">
        <v>3</v>
      </c>
      <c r="BC30">
        <v>10</v>
      </c>
      <c r="BD30" t="s">
        <v>74</v>
      </c>
      <c r="BE30" t="s">
        <v>801</v>
      </c>
      <c r="BF30" t="str">
        <f>HYPERLINK("http://dx.doi.org/10.3723/ut.34.003","http://dx.doi.org/10.3723/ut.34.003")</f>
        <v>http://dx.doi.org/10.3723/ut.34.003</v>
      </c>
      <c r="BG30" t="s">
        <v>74</v>
      </c>
      <c r="BH30" t="s">
        <v>74</v>
      </c>
      <c r="BI30">
        <v>8</v>
      </c>
      <c r="BJ30" t="s">
        <v>802</v>
      </c>
      <c r="BK30" t="s">
        <v>131</v>
      </c>
      <c r="BL30" t="s">
        <v>803</v>
      </c>
      <c r="BM30" t="s">
        <v>804</v>
      </c>
      <c r="BN30" t="s">
        <v>74</v>
      </c>
      <c r="BO30" t="s">
        <v>805</v>
      </c>
      <c r="BP30" t="s">
        <v>74</v>
      </c>
      <c r="BQ30" t="s">
        <v>74</v>
      </c>
      <c r="BR30" t="s">
        <v>105</v>
      </c>
      <c r="BS30" t="s">
        <v>806</v>
      </c>
      <c r="BT30" t="str">
        <f>HYPERLINK("https%3A%2F%2Fwww.webofscience.com%2Fwos%2Fwoscc%2Ffull-record%2FWOS:000412468000002","View Full Record in Web of Science")</f>
        <v>View Full Record in Web of Science</v>
      </c>
    </row>
    <row r="31" spans="1:72" x14ac:dyDescent="0.15">
      <c r="A31" t="s">
        <v>72</v>
      </c>
      <c r="B31" t="s">
        <v>807</v>
      </c>
      <c r="C31" t="s">
        <v>74</v>
      </c>
      <c r="D31" t="s">
        <v>74</v>
      </c>
      <c r="E31" t="s">
        <v>74</v>
      </c>
      <c r="F31" t="s">
        <v>808</v>
      </c>
      <c r="G31" t="s">
        <v>74</v>
      </c>
      <c r="H31" t="s">
        <v>74</v>
      </c>
      <c r="I31" t="s">
        <v>809</v>
      </c>
      <c r="J31" t="s">
        <v>810</v>
      </c>
      <c r="K31" t="s">
        <v>74</v>
      </c>
      <c r="L31" t="s">
        <v>74</v>
      </c>
      <c r="M31" t="s">
        <v>78</v>
      </c>
      <c r="N31" t="s">
        <v>317</v>
      </c>
      <c r="O31" t="s">
        <v>74</v>
      </c>
      <c r="P31" t="s">
        <v>74</v>
      </c>
      <c r="Q31" t="s">
        <v>74</v>
      </c>
      <c r="R31" t="s">
        <v>74</v>
      </c>
      <c r="S31" t="s">
        <v>74</v>
      </c>
      <c r="T31" t="s">
        <v>74</v>
      </c>
      <c r="U31" t="s">
        <v>811</v>
      </c>
      <c r="V31" t="s">
        <v>812</v>
      </c>
      <c r="W31" t="s">
        <v>813</v>
      </c>
      <c r="X31" t="s">
        <v>814</v>
      </c>
      <c r="Y31" t="s">
        <v>815</v>
      </c>
      <c r="Z31" t="s">
        <v>816</v>
      </c>
      <c r="AA31" t="s">
        <v>817</v>
      </c>
      <c r="AB31" t="s">
        <v>818</v>
      </c>
      <c r="AC31" t="s">
        <v>74</v>
      </c>
      <c r="AD31" t="s">
        <v>74</v>
      </c>
      <c r="AE31" t="s">
        <v>74</v>
      </c>
      <c r="AF31" t="s">
        <v>74</v>
      </c>
      <c r="AG31">
        <v>217</v>
      </c>
      <c r="AH31">
        <v>69</v>
      </c>
      <c r="AI31">
        <v>78</v>
      </c>
      <c r="AJ31">
        <v>2</v>
      </c>
      <c r="AK31">
        <v>109</v>
      </c>
      <c r="AL31" t="s">
        <v>501</v>
      </c>
      <c r="AM31" t="s">
        <v>502</v>
      </c>
      <c r="AN31" t="s">
        <v>503</v>
      </c>
      <c r="AO31" t="s">
        <v>819</v>
      </c>
      <c r="AP31" t="s">
        <v>820</v>
      </c>
      <c r="AQ31" t="s">
        <v>74</v>
      </c>
      <c r="AR31" t="s">
        <v>821</v>
      </c>
      <c r="AS31" t="s">
        <v>822</v>
      </c>
      <c r="AT31" t="s">
        <v>127</v>
      </c>
      <c r="AU31">
        <v>2016</v>
      </c>
      <c r="AV31">
        <v>7</v>
      </c>
      <c r="AW31">
        <v>6</v>
      </c>
      <c r="AX31" t="s">
        <v>74</v>
      </c>
      <c r="AY31" t="s">
        <v>74</v>
      </c>
      <c r="AZ31" t="s">
        <v>74</v>
      </c>
      <c r="BA31" t="s">
        <v>74</v>
      </c>
      <c r="BB31">
        <v>910</v>
      </c>
      <c r="BC31">
        <v>931</v>
      </c>
      <c r="BD31" t="s">
        <v>74</v>
      </c>
      <c r="BE31" t="s">
        <v>823</v>
      </c>
      <c r="BF31" t="str">
        <f>HYPERLINK("http://dx.doi.org/10.1002/wcc.428","http://dx.doi.org/10.1002/wcc.428")</f>
        <v>http://dx.doi.org/10.1002/wcc.428</v>
      </c>
      <c r="BG31" t="s">
        <v>74</v>
      </c>
      <c r="BH31" t="s">
        <v>74</v>
      </c>
      <c r="BI31">
        <v>22</v>
      </c>
      <c r="BJ31" t="s">
        <v>824</v>
      </c>
      <c r="BK31" t="s">
        <v>102</v>
      </c>
      <c r="BL31" t="s">
        <v>825</v>
      </c>
      <c r="BM31" t="s">
        <v>826</v>
      </c>
      <c r="BN31" t="s">
        <v>74</v>
      </c>
      <c r="BO31" t="s">
        <v>74</v>
      </c>
      <c r="BP31" t="s">
        <v>74</v>
      </c>
      <c r="BQ31" t="s">
        <v>74</v>
      </c>
      <c r="BR31" t="s">
        <v>105</v>
      </c>
      <c r="BS31" t="s">
        <v>827</v>
      </c>
      <c r="BT31" t="str">
        <f>HYPERLINK("https%3A%2F%2Fwww.webofscience.com%2Fwos%2Fwoscc%2Ffull-record%2FWOS:000385827200008","View Full Record in Web of Science")</f>
        <v>View Full Record in Web of Science</v>
      </c>
    </row>
    <row r="32" spans="1:72" x14ac:dyDescent="0.15">
      <c r="A32" t="s">
        <v>72</v>
      </c>
      <c r="B32" t="s">
        <v>828</v>
      </c>
      <c r="C32" t="s">
        <v>74</v>
      </c>
      <c r="D32" t="s">
        <v>74</v>
      </c>
      <c r="E32" t="s">
        <v>74</v>
      </c>
      <c r="F32" t="s">
        <v>829</v>
      </c>
      <c r="G32" t="s">
        <v>74</v>
      </c>
      <c r="H32" t="s">
        <v>74</v>
      </c>
      <c r="I32" t="s">
        <v>830</v>
      </c>
      <c r="J32" t="s">
        <v>831</v>
      </c>
      <c r="K32" t="s">
        <v>74</v>
      </c>
      <c r="L32" t="s">
        <v>74</v>
      </c>
      <c r="M32" t="s">
        <v>78</v>
      </c>
      <c r="N32" t="s">
        <v>79</v>
      </c>
      <c r="O32" t="s">
        <v>74</v>
      </c>
      <c r="P32" t="s">
        <v>74</v>
      </c>
      <c r="Q32" t="s">
        <v>74</v>
      </c>
      <c r="R32" t="s">
        <v>74</v>
      </c>
      <c r="S32" t="s">
        <v>74</v>
      </c>
      <c r="T32" t="s">
        <v>832</v>
      </c>
      <c r="U32" t="s">
        <v>833</v>
      </c>
      <c r="V32" t="s">
        <v>834</v>
      </c>
      <c r="W32" t="s">
        <v>835</v>
      </c>
      <c r="X32" t="s">
        <v>836</v>
      </c>
      <c r="Y32" t="s">
        <v>837</v>
      </c>
      <c r="Z32" t="s">
        <v>838</v>
      </c>
      <c r="AA32" t="s">
        <v>74</v>
      </c>
      <c r="AB32" t="s">
        <v>74</v>
      </c>
      <c r="AC32" t="s">
        <v>839</v>
      </c>
      <c r="AD32" t="s">
        <v>840</v>
      </c>
      <c r="AE32" t="s">
        <v>841</v>
      </c>
      <c r="AF32" t="s">
        <v>74</v>
      </c>
      <c r="AG32">
        <v>56</v>
      </c>
      <c r="AH32">
        <v>36</v>
      </c>
      <c r="AI32">
        <v>36</v>
      </c>
      <c r="AJ32">
        <v>2</v>
      </c>
      <c r="AK32">
        <v>63</v>
      </c>
      <c r="AL32" t="s">
        <v>303</v>
      </c>
      <c r="AM32" t="s">
        <v>304</v>
      </c>
      <c r="AN32" t="s">
        <v>305</v>
      </c>
      <c r="AO32" t="s">
        <v>842</v>
      </c>
      <c r="AP32" t="s">
        <v>843</v>
      </c>
      <c r="AQ32" t="s">
        <v>74</v>
      </c>
      <c r="AR32" t="s">
        <v>831</v>
      </c>
      <c r="AS32" t="s">
        <v>844</v>
      </c>
      <c r="AT32" t="s">
        <v>99</v>
      </c>
      <c r="AU32">
        <v>2016</v>
      </c>
      <c r="AV32">
        <v>163</v>
      </c>
      <c r="AW32" t="s">
        <v>74</v>
      </c>
      <c r="AX32" t="s">
        <v>74</v>
      </c>
      <c r="AY32" t="s">
        <v>74</v>
      </c>
      <c r="AZ32" t="s">
        <v>74</v>
      </c>
      <c r="BA32" t="s">
        <v>74</v>
      </c>
      <c r="BB32">
        <v>202</v>
      </c>
      <c r="BC32">
        <v>208</v>
      </c>
      <c r="BD32" t="s">
        <v>74</v>
      </c>
      <c r="BE32" t="s">
        <v>845</v>
      </c>
      <c r="BF32" t="str">
        <f>HYPERLINK("http://dx.doi.org/10.1016/j.chemosphere.2016.08.007","http://dx.doi.org/10.1016/j.chemosphere.2016.08.007")</f>
        <v>http://dx.doi.org/10.1016/j.chemosphere.2016.08.007</v>
      </c>
      <c r="BG32" t="s">
        <v>74</v>
      </c>
      <c r="BH32" t="s">
        <v>74</v>
      </c>
      <c r="BI32">
        <v>7</v>
      </c>
      <c r="BJ32" t="s">
        <v>846</v>
      </c>
      <c r="BK32" t="s">
        <v>156</v>
      </c>
      <c r="BL32" t="s">
        <v>532</v>
      </c>
      <c r="BM32" t="s">
        <v>847</v>
      </c>
      <c r="BN32">
        <v>27529384</v>
      </c>
      <c r="BO32" t="s">
        <v>74</v>
      </c>
      <c r="BP32" t="s">
        <v>74</v>
      </c>
      <c r="BQ32" t="s">
        <v>74</v>
      </c>
      <c r="BR32" t="s">
        <v>105</v>
      </c>
      <c r="BS32" t="s">
        <v>848</v>
      </c>
      <c r="BT32" t="str">
        <f>HYPERLINK("https%3A%2F%2Fwww.webofscience.com%2Fwos%2Fwoscc%2Ffull-record%2FWOS:000384776800023","View Full Record in Web of Science")</f>
        <v>View Full Record in Web of Science</v>
      </c>
    </row>
    <row r="33" spans="1:72" x14ac:dyDescent="0.15">
      <c r="A33" t="s">
        <v>72</v>
      </c>
      <c r="B33" t="s">
        <v>849</v>
      </c>
      <c r="C33" t="s">
        <v>74</v>
      </c>
      <c r="D33" t="s">
        <v>74</v>
      </c>
      <c r="E33" t="s">
        <v>74</v>
      </c>
      <c r="F33" t="s">
        <v>850</v>
      </c>
      <c r="G33" t="s">
        <v>74</v>
      </c>
      <c r="H33" t="s">
        <v>74</v>
      </c>
      <c r="I33" t="s">
        <v>851</v>
      </c>
      <c r="J33" t="s">
        <v>852</v>
      </c>
      <c r="K33" t="s">
        <v>74</v>
      </c>
      <c r="L33" t="s">
        <v>74</v>
      </c>
      <c r="M33" t="s">
        <v>78</v>
      </c>
      <c r="N33" t="s">
        <v>79</v>
      </c>
      <c r="O33" t="s">
        <v>74</v>
      </c>
      <c r="P33" t="s">
        <v>74</v>
      </c>
      <c r="Q33" t="s">
        <v>74</v>
      </c>
      <c r="R33" t="s">
        <v>74</v>
      </c>
      <c r="S33" t="s">
        <v>74</v>
      </c>
      <c r="T33" t="s">
        <v>853</v>
      </c>
      <c r="U33" t="s">
        <v>854</v>
      </c>
      <c r="V33" t="s">
        <v>855</v>
      </c>
      <c r="W33" t="s">
        <v>856</v>
      </c>
      <c r="X33" t="s">
        <v>857</v>
      </c>
      <c r="Y33" t="s">
        <v>858</v>
      </c>
      <c r="Z33" t="s">
        <v>859</v>
      </c>
      <c r="AA33" t="s">
        <v>74</v>
      </c>
      <c r="AB33" t="s">
        <v>74</v>
      </c>
      <c r="AC33" t="s">
        <v>74</v>
      </c>
      <c r="AD33" t="s">
        <v>74</v>
      </c>
      <c r="AE33" t="s">
        <v>74</v>
      </c>
      <c r="AF33" t="s">
        <v>74</v>
      </c>
      <c r="AG33">
        <v>18</v>
      </c>
      <c r="AH33">
        <v>12</v>
      </c>
      <c r="AI33">
        <v>12</v>
      </c>
      <c r="AJ33">
        <v>0</v>
      </c>
      <c r="AK33">
        <v>7</v>
      </c>
      <c r="AL33" t="s">
        <v>860</v>
      </c>
      <c r="AM33" t="s">
        <v>861</v>
      </c>
      <c r="AN33" t="s">
        <v>862</v>
      </c>
      <c r="AO33" t="s">
        <v>863</v>
      </c>
      <c r="AP33" t="s">
        <v>864</v>
      </c>
      <c r="AQ33" t="s">
        <v>74</v>
      </c>
      <c r="AR33" t="s">
        <v>865</v>
      </c>
      <c r="AS33" t="s">
        <v>866</v>
      </c>
      <c r="AT33" t="s">
        <v>99</v>
      </c>
      <c r="AU33">
        <v>2016</v>
      </c>
      <c r="AV33">
        <v>50</v>
      </c>
      <c r="AW33" t="s">
        <v>867</v>
      </c>
      <c r="AX33" t="s">
        <v>74</v>
      </c>
      <c r="AY33" t="s">
        <v>74</v>
      </c>
      <c r="AZ33" t="s">
        <v>74</v>
      </c>
      <c r="BA33" t="s">
        <v>74</v>
      </c>
      <c r="BB33">
        <v>2673</v>
      </c>
      <c r="BC33">
        <v>2690</v>
      </c>
      <c r="BD33" t="s">
        <v>74</v>
      </c>
      <c r="BE33" t="s">
        <v>868</v>
      </c>
      <c r="BF33" t="str">
        <f>HYPERLINK("http://dx.doi.org/10.1080/00222933.2016.1208907","http://dx.doi.org/10.1080/00222933.2016.1208907")</f>
        <v>http://dx.doi.org/10.1080/00222933.2016.1208907</v>
      </c>
      <c r="BG33" t="s">
        <v>74</v>
      </c>
      <c r="BH33" t="s">
        <v>74</v>
      </c>
      <c r="BI33">
        <v>18</v>
      </c>
      <c r="BJ33" t="s">
        <v>869</v>
      </c>
      <c r="BK33" t="s">
        <v>156</v>
      </c>
      <c r="BL33" t="s">
        <v>870</v>
      </c>
      <c r="BM33" t="s">
        <v>871</v>
      </c>
      <c r="BN33" t="s">
        <v>74</v>
      </c>
      <c r="BO33" t="s">
        <v>74</v>
      </c>
      <c r="BP33" t="s">
        <v>74</v>
      </c>
      <c r="BQ33" t="s">
        <v>74</v>
      </c>
      <c r="BR33" t="s">
        <v>105</v>
      </c>
      <c r="BS33" t="s">
        <v>872</v>
      </c>
      <c r="BT33" t="str">
        <f>HYPERLINK("https%3A%2F%2Fwww.webofscience.com%2Fwos%2Fwoscc%2Ffull-record%2FWOS:000384545400005","View Full Record in Web of Science")</f>
        <v>View Full Record in Web of Science</v>
      </c>
    </row>
    <row r="34" spans="1:72" x14ac:dyDescent="0.15">
      <c r="A34" t="s">
        <v>72</v>
      </c>
      <c r="B34" t="s">
        <v>873</v>
      </c>
      <c r="C34" t="s">
        <v>74</v>
      </c>
      <c r="D34" t="s">
        <v>74</v>
      </c>
      <c r="E34" t="s">
        <v>74</v>
      </c>
      <c r="F34" t="s">
        <v>874</v>
      </c>
      <c r="G34" t="s">
        <v>74</v>
      </c>
      <c r="H34" t="s">
        <v>74</v>
      </c>
      <c r="I34" t="s">
        <v>875</v>
      </c>
      <c r="J34" t="s">
        <v>876</v>
      </c>
      <c r="K34" t="s">
        <v>74</v>
      </c>
      <c r="L34" t="s">
        <v>74</v>
      </c>
      <c r="M34" t="s">
        <v>78</v>
      </c>
      <c r="N34" t="s">
        <v>79</v>
      </c>
      <c r="O34" t="s">
        <v>74</v>
      </c>
      <c r="P34" t="s">
        <v>74</v>
      </c>
      <c r="Q34" t="s">
        <v>74</v>
      </c>
      <c r="R34" t="s">
        <v>74</v>
      </c>
      <c r="S34" t="s">
        <v>74</v>
      </c>
      <c r="T34" t="s">
        <v>877</v>
      </c>
      <c r="U34" t="s">
        <v>878</v>
      </c>
      <c r="V34" t="s">
        <v>879</v>
      </c>
      <c r="W34" t="s">
        <v>880</v>
      </c>
      <c r="X34" t="s">
        <v>881</v>
      </c>
      <c r="Y34" t="s">
        <v>882</v>
      </c>
      <c r="Z34" t="s">
        <v>883</v>
      </c>
      <c r="AA34" t="s">
        <v>884</v>
      </c>
      <c r="AB34" t="s">
        <v>885</v>
      </c>
      <c r="AC34" t="s">
        <v>886</v>
      </c>
      <c r="AD34" t="s">
        <v>887</v>
      </c>
      <c r="AE34" t="s">
        <v>888</v>
      </c>
      <c r="AF34" t="s">
        <v>74</v>
      </c>
      <c r="AG34">
        <v>80</v>
      </c>
      <c r="AH34">
        <v>25</v>
      </c>
      <c r="AI34">
        <v>27</v>
      </c>
      <c r="AJ34">
        <v>1</v>
      </c>
      <c r="AK34">
        <v>21</v>
      </c>
      <c r="AL34" t="s">
        <v>303</v>
      </c>
      <c r="AM34" t="s">
        <v>304</v>
      </c>
      <c r="AN34" t="s">
        <v>305</v>
      </c>
      <c r="AO34" t="s">
        <v>889</v>
      </c>
      <c r="AP34" t="s">
        <v>890</v>
      </c>
      <c r="AQ34" t="s">
        <v>74</v>
      </c>
      <c r="AR34" t="s">
        <v>891</v>
      </c>
      <c r="AS34" t="s">
        <v>892</v>
      </c>
      <c r="AT34" t="s">
        <v>99</v>
      </c>
      <c r="AU34">
        <v>2016</v>
      </c>
      <c r="AV34">
        <v>192</v>
      </c>
      <c r="AW34" t="s">
        <v>74</v>
      </c>
      <c r="AX34" t="s">
        <v>74</v>
      </c>
      <c r="AY34" t="s">
        <v>74</v>
      </c>
      <c r="AZ34" t="s">
        <v>74</v>
      </c>
      <c r="BA34" t="s">
        <v>74</v>
      </c>
      <c r="BB34">
        <v>29</v>
      </c>
      <c r="BC34">
        <v>48</v>
      </c>
      <c r="BD34" t="s">
        <v>74</v>
      </c>
      <c r="BE34" t="s">
        <v>893</v>
      </c>
      <c r="BF34" t="str">
        <f>HYPERLINK("http://dx.doi.org/10.1016/j.gca.2016.07.025","http://dx.doi.org/10.1016/j.gca.2016.07.025")</f>
        <v>http://dx.doi.org/10.1016/j.gca.2016.07.025</v>
      </c>
      <c r="BG34" t="s">
        <v>74</v>
      </c>
      <c r="BH34" t="s">
        <v>74</v>
      </c>
      <c r="BI34">
        <v>20</v>
      </c>
      <c r="BJ34" t="s">
        <v>155</v>
      </c>
      <c r="BK34" t="s">
        <v>156</v>
      </c>
      <c r="BL34" t="s">
        <v>155</v>
      </c>
      <c r="BM34" t="s">
        <v>894</v>
      </c>
      <c r="BN34" t="s">
        <v>74</v>
      </c>
      <c r="BO34" t="s">
        <v>895</v>
      </c>
      <c r="BP34" t="s">
        <v>74</v>
      </c>
      <c r="BQ34" t="s">
        <v>74</v>
      </c>
      <c r="BR34" t="s">
        <v>105</v>
      </c>
      <c r="BS34" t="s">
        <v>896</v>
      </c>
      <c r="BT34" t="str">
        <f>HYPERLINK("https%3A%2F%2Fwww.webofscience.com%2Fwos%2Fwoscc%2Ffull-record%2FWOS:000384105700002","View Full Record in Web of Science")</f>
        <v>View Full Record in Web of Science</v>
      </c>
    </row>
    <row r="35" spans="1:72" x14ac:dyDescent="0.15">
      <c r="A35" t="s">
        <v>72</v>
      </c>
      <c r="B35" t="s">
        <v>897</v>
      </c>
      <c r="C35" t="s">
        <v>74</v>
      </c>
      <c r="D35" t="s">
        <v>74</v>
      </c>
      <c r="E35" t="s">
        <v>74</v>
      </c>
      <c r="F35" t="s">
        <v>898</v>
      </c>
      <c r="G35" t="s">
        <v>74</v>
      </c>
      <c r="H35" t="s">
        <v>74</v>
      </c>
      <c r="I35" t="s">
        <v>899</v>
      </c>
      <c r="J35" t="s">
        <v>900</v>
      </c>
      <c r="K35" t="s">
        <v>74</v>
      </c>
      <c r="L35" t="s">
        <v>74</v>
      </c>
      <c r="M35" t="s">
        <v>78</v>
      </c>
      <c r="N35" t="s">
        <v>79</v>
      </c>
      <c r="O35" t="s">
        <v>74</v>
      </c>
      <c r="P35" t="s">
        <v>74</v>
      </c>
      <c r="Q35" t="s">
        <v>74</v>
      </c>
      <c r="R35" t="s">
        <v>74</v>
      </c>
      <c r="S35" t="s">
        <v>74</v>
      </c>
      <c r="T35" t="s">
        <v>901</v>
      </c>
      <c r="U35" t="s">
        <v>902</v>
      </c>
      <c r="V35" t="s">
        <v>903</v>
      </c>
      <c r="W35" t="s">
        <v>904</v>
      </c>
      <c r="X35" t="s">
        <v>905</v>
      </c>
      <c r="Y35" t="s">
        <v>906</v>
      </c>
      <c r="Z35" t="s">
        <v>907</v>
      </c>
      <c r="AA35" t="s">
        <v>908</v>
      </c>
      <c r="AB35" t="s">
        <v>909</v>
      </c>
      <c r="AC35" t="s">
        <v>910</v>
      </c>
      <c r="AD35" t="s">
        <v>911</v>
      </c>
      <c r="AE35" t="s">
        <v>912</v>
      </c>
      <c r="AF35" t="s">
        <v>74</v>
      </c>
      <c r="AG35">
        <v>37</v>
      </c>
      <c r="AH35">
        <v>82</v>
      </c>
      <c r="AI35">
        <v>87</v>
      </c>
      <c r="AJ35">
        <v>2</v>
      </c>
      <c r="AK35">
        <v>40</v>
      </c>
      <c r="AL35" t="s">
        <v>92</v>
      </c>
      <c r="AM35" t="s">
        <v>93</v>
      </c>
      <c r="AN35" t="s">
        <v>94</v>
      </c>
      <c r="AO35" t="s">
        <v>913</v>
      </c>
      <c r="AP35" t="s">
        <v>914</v>
      </c>
      <c r="AQ35" t="s">
        <v>74</v>
      </c>
      <c r="AR35" t="s">
        <v>915</v>
      </c>
      <c r="AS35" t="s">
        <v>916</v>
      </c>
      <c r="AT35" t="s">
        <v>428</v>
      </c>
      <c r="AU35">
        <v>2016</v>
      </c>
      <c r="AV35">
        <v>453</v>
      </c>
      <c r="AW35" t="s">
        <v>74</v>
      </c>
      <c r="AX35" t="s">
        <v>74</v>
      </c>
      <c r="AY35" t="s">
        <v>74</v>
      </c>
      <c r="AZ35" t="s">
        <v>74</v>
      </c>
      <c r="BA35" t="s">
        <v>74</v>
      </c>
      <c r="BB35">
        <v>171</v>
      </c>
      <c r="BC35">
        <v>181</v>
      </c>
      <c r="BD35" t="s">
        <v>74</v>
      </c>
      <c r="BE35" t="s">
        <v>917</v>
      </c>
      <c r="BF35" t="str">
        <f>HYPERLINK("http://dx.doi.org/10.1016/j.epsl.2016.07.056","http://dx.doi.org/10.1016/j.epsl.2016.07.056")</f>
        <v>http://dx.doi.org/10.1016/j.epsl.2016.07.056</v>
      </c>
      <c r="BG35" t="s">
        <v>74</v>
      </c>
      <c r="BH35" t="s">
        <v>74</v>
      </c>
      <c r="BI35">
        <v>11</v>
      </c>
      <c r="BJ35" t="s">
        <v>155</v>
      </c>
      <c r="BK35" t="s">
        <v>156</v>
      </c>
      <c r="BL35" t="s">
        <v>155</v>
      </c>
      <c r="BM35" t="s">
        <v>918</v>
      </c>
      <c r="BN35" t="s">
        <v>74</v>
      </c>
      <c r="BO35" t="s">
        <v>104</v>
      </c>
      <c r="BP35" t="s">
        <v>74</v>
      </c>
      <c r="BQ35" t="s">
        <v>74</v>
      </c>
      <c r="BR35" t="s">
        <v>105</v>
      </c>
      <c r="BS35" t="s">
        <v>919</v>
      </c>
      <c r="BT35" t="str">
        <f>HYPERLINK("https%3A%2F%2Fwww.webofscience.com%2Fwos%2Fwoscc%2Ffull-record%2FWOS:000383932300017","View Full Record in Web of Science")</f>
        <v>View Full Record in Web of Science</v>
      </c>
    </row>
    <row r="36" spans="1:72" x14ac:dyDescent="0.15">
      <c r="A36" t="s">
        <v>72</v>
      </c>
      <c r="B36" t="s">
        <v>920</v>
      </c>
      <c r="C36" t="s">
        <v>74</v>
      </c>
      <c r="D36" t="s">
        <v>74</v>
      </c>
      <c r="E36" t="s">
        <v>74</v>
      </c>
      <c r="F36" t="s">
        <v>921</v>
      </c>
      <c r="G36" t="s">
        <v>74</v>
      </c>
      <c r="H36" t="s">
        <v>74</v>
      </c>
      <c r="I36" t="s">
        <v>922</v>
      </c>
      <c r="J36" t="s">
        <v>831</v>
      </c>
      <c r="K36" t="s">
        <v>74</v>
      </c>
      <c r="L36" t="s">
        <v>74</v>
      </c>
      <c r="M36" t="s">
        <v>78</v>
      </c>
      <c r="N36" t="s">
        <v>79</v>
      </c>
      <c r="O36" t="s">
        <v>74</v>
      </c>
      <c r="P36" t="s">
        <v>74</v>
      </c>
      <c r="Q36" t="s">
        <v>74</v>
      </c>
      <c r="R36" t="s">
        <v>74</v>
      </c>
      <c r="S36" t="s">
        <v>74</v>
      </c>
      <c r="T36" t="s">
        <v>923</v>
      </c>
      <c r="U36" t="s">
        <v>924</v>
      </c>
      <c r="V36" t="s">
        <v>925</v>
      </c>
      <c r="W36" t="s">
        <v>926</v>
      </c>
      <c r="X36" t="s">
        <v>927</v>
      </c>
      <c r="Y36" t="s">
        <v>928</v>
      </c>
      <c r="Z36" t="s">
        <v>929</v>
      </c>
      <c r="AA36" t="s">
        <v>930</v>
      </c>
      <c r="AB36" t="s">
        <v>74</v>
      </c>
      <c r="AC36" t="s">
        <v>931</v>
      </c>
      <c r="AD36" t="s">
        <v>931</v>
      </c>
      <c r="AE36" t="s">
        <v>932</v>
      </c>
      <c r="AF36" t="s">
        <v>74</v>
      </c>
      <c r="AG36">
        <v>51</v>
      </c>
      <c r="AH36">
        <v>4</v>
      </c>
      <c r="AI36">
        <v>4</v>
      </c>
      <c r="AJ36">
        <v>1</v>
      </c>
      <c r="AK36">
        <v>63</v>
      </c>
      <c r="AL36" t="s">
        <v>303</v>
      </c>
      <c r="AM36" t="s">
        <v>304</v>
      </c>
      <c r="AN36" t="s">
        <v>305</v>
      </c>
      <c r="AO36" t="s">
        <v>842</v>
      </c>
      <c r="AP36" t="s">
        <v>843</v>
      </c>
      <c r="AQ36" t="s">
        <v>74</v>
      </c>
      <c r="AR36" t="s">
        <v>831</v>
      </c>
      <c r="AS36" t="s">
        <v>844</v>
      </c>
      <c r="AT36" t="s">
        <v>99</v>
      </c>
      <c r="AU36">
        <v>2016</v>
      </c>
      <c r="AV36">
        <v>162</v>
      </c>
      <c r="AW36" t="s">
        <v>74</v>
      </c>
      <c r="AX36" t="s">
        <v>74</v>
      </c>
      <c r="AY36" t="s">
        <v>74</v>
      </c>
      <c r="AZ36" t="s">
        <v>74</v>
      </c>
      <c r="BA36" t="s">
        <v>74</v>
      </c>
      <c r="BB36">
        <v>91</v>
      </c>
      <c r="BC36">
        <v>98</v>
      </c>
      <c r="BD36" t="s">
        <v>74</v>
      </c>
      <c r="BE36" t="s">
        <v>933</v>
      </c>
      <c r="BF36" t="str">
        <f>HYPERLINK("http://dx.doi.org/10.1016/j.chemosphere.2016.07.049","http://dx.doi.org/10.1016/j.chemosphere.2016.07.049")</f>
        <v>http://dx.doi.org/10.1016/j.chemosphere.2016.07.049</v>
      </c>
      <c r="BG36" t="s">
        <v>74</v>
      </c>
      <c r="BH36" t="s">
        <v>74</v>
      </c>
      <c r="BI36">
        <v>8</v>
      </c>
      <c r="BJ36" t="s">
        <v>846</v>
      </c>
      <c r="BK36" t="s">
        <v>156</v>
      </c>
      <c r="BL36" t="s">
        <v>532</v>
      </c>
      <c r="BM36" t="s">
        <v>934</v>
      </c>
      <c r="BN36">
        <v>27487093</v>
      </c>
      <c r="BO36" t="s">
        <v>74</v>
      </c>
      <c r="BP36" t="s">
        <v>74</v>
      </c>
      <c r="BQ36" t="s">
        <v>74</v>
      </c>
      <c r="BR36" t="s">
        <v>105</v>
      </c>
      <c r="BS36" t="s">
        <v>935</v>
      </c>
      <c r="BT36" t="str">
        <f>HYPERLINK("https%3A%2F%2Fwww.webofscience.com%2Fwos%2Fwoscc%2Ffull-record%2FWOS:000383296500012","View Full Record in Web of Science")</f>
        <v>View Full Record in Web of Science</v>
      </c>
    </row>
    <row r="37" spans="1:72" x14ac:dyDescent="0.15">
      <c r="A37" t="s">
        <v>72</v>
      </c>
      <c r="B37" t="s">
        <v>936</v>
      </c>
      <c r="C37" t="s">
        <v>74</v>
      </c>
      <c r="D37" t="s">
        <v>74</v>
      </c>
      <c r="E37" t="s">
        <v>74</v>
      </c>
      <c r="F37" t="s">
        <v>937</v>
      </c>
      <c r="G37" t="s">
        <v>74</v>
      </c>
      <c r="H37" t="s">
        <v>74</v>
      </c>
      <c r="I37" t="s">
        <v>938</v>
      </c>
      <c r="J37" t="s">
        <v>939</v>
      </c>
      <c r="K37" t="s">
        <v>74</v>
      </c>
      <c r="L37" t="s">
        <v>74</v>
      </c>
      <c r="M37" t="s">
        <v>78</v>
      </c>
      <c r="N37" t="s">
        <v>79</v>
      </c>
      <c r="O37" t="s">
        <v>74</v>
      </c>
      <c r="P37" t="s">
        <v>74</v>
      </c>
      <c r="Q37" t="s">
        <v>74</v>
      </c>
      <c r="R37" t="s">
        <v>74</v>
      </c>
      <c r="S37" t="s">
        <v>74</v>
      </c>
      <c r="T37" t="s">
        <v>940</v>
      </c>
      <c r="U37" t="s">
        <v>941</v>
      </c>
      <c r="V37" t="s">
        <v>942</v>
      </c>
      <c r="W37" t="s">
        <v>943</v>
      </c>
      <c r="X37" t="s">
        <v>944</v>
      </c>
      <c r="Y37" t="s">
        <v>945</v>
      </c>
      <c r="Z37" t="s">
        <v>946</v>
      </c>
      <c r="AA37" t="s">
        <v>947</v>
      </c>
      <c r="AB37" t="s">
        <v>948</v>
      </c>
      <c r="AC37" t="s">
        <v>949</v>
      </c>
      <c r="AD37" t="s">
        <v>950</v>
      </c>
      <c r="AE37" t="s">
        <v>951</v>
      </c>
      <c r="AF37" t="s">
        <v>74</v>
      </c>
      <c r="AG37">
        <v>124</v>
      </c>
      <c r="AH37">
        <v>22</v>
      </c>
      <c r="AI37">
        <v>23</v>
      </c>
      <c r="AJ37">
        <v>2</v>
      </c>
      <c r="AK37">
        <v>46</v>
      </c>
      <c r="AL37" t="s">
        <v>952</v>
      </c>
      <c r="AM37" t="s">
        <v>953</v>
      </c>
      <c r="AN37" t="s">
        <v>954</v>
      </c>
      <c r="AO37" t="s">
        <v>955</v>
      </c>
      <c r="AP37" t="s">
        <v>956</v>
      </c>
      <c r="AQ37" t="s">
        <v>74</v>
      </c>
      <c r="AR37" t="s">
        <v>957</v>
      </c>
      <c r="AS37" t="s">
        <v>958</v>
      </c>
      <c r="AT37" t="s">
        <v>99</v>
      </c>
      <c r="AU37">
        <v>2016</v>
      </c>
      <c r="AV37">
        <v>104</v>
      </c>
      <c r="AW37" t="s">
        <v>74</v>
      </c>
      <c r="AX37" t="s">
        <v>74</v>
      </c>
      <c r="AY37" t="s">
        <v>74</v>
      </c>
      <c r="AZ37" t="s">
        <v>74</v>
      </c>
      <c r="BA37" t="s">
        <v>74</v>
      </c>
      <c r="BB37">
        <v>32</v>
      </c>
      <c r="BC37">
        <v>43</v>
      </c>
      <c r="BD37" t="s">
        <v>74</v>
      </c>
      <c r="BE37" t="s">
        <v>959</v>
      </c>
      <c r="BF37" t="str">
        <f>HYPERLINK("http://dx.doi.org/10.1016/j.ympev.2016.07.013","http://dx.doi.org/10.1016/j.ympev.2016.07.013")</f>
        <v>http://dx.doi.org/10.1016/j.ympev.2016.07.013</v>
      </c>
      <c r="BG37" t="s">
        <v>74</v>
      </c>
      <c r="BH37" t="s">
        <v>74</v>
      </c>
      <c r="BI37">
        <v>12</v>
      </c>
      <c r="BJ37" t="s">
        <v>960</v>
      </c>
      <c r="BK37" t="s">
        <v>156</v>
      </c>
      <c r="BL37" t="s">
        <v>960</v>
      </c>
      <c r="BM37" t="s">
        <v>961</v>
      </c>
      <c r="BN37">
        <v>27421566</v>
      </c>
      <c r="BO37" t="s">
        <v>74</v>
      </c>
      <c r="BP37" t="s">
        <v>74</v>
      </c>
      <c r="BQ37" t="s">
        <v>74</v>
      </c>
      <c r="BR37" t="s">
        <v>105</v>
      </c>
      <c r="BS37" t="s">
        <v>962</v>
      </c>
      <c r="BT37" t="str">
        <f>HYPERLINK("https%3A%2F%2Fwww.webofscience.com%2Fwos%2Fwoscc%2Ffull-record%2FWOS:000383217100004","View Full Record in Web of Science")</f>
        <v>View Full Record in Web of Science</v>
      </c>
    </row>
    <row r="38" spans="1:72" x14ac:dyDescent="0.15">
      <c r="A38" t="s">
        <v>72</v>
      </c>
      <c r="B38" t="s">
        <v>963</v>
      </c>
      <c r="C38" t="s">
        <v>74</v>
      </c>
      <c r="D38" t="s">
        <v>74</v>
      </c>
      <c r="E38" t="s">
        <v>74</v>
      </c>
      <c r="F38" t="s">
        <v>964</v>
      </c>
      <c r="G38" t="s">
        <v>74</v>
      </c>
      <c r="H38" t="s">
        <v>74</v>
      </c>
      <c r="I38" t="s">
        <v>965</v>
      </c>
      <c r="J38" t="s">
        <v>966</v>
      </c>
      <c r="K38" t="s">
        <v>74</v>
      </c>
      <c r="L38" t="s">
        <v>74</v>
      </c>
      <c r="M38" t="s">
        <v>78</v>
      </c>
      <c r="N38" t="s">
        <v>79</v>
      </c>
      <c r="O38" t="s">
        <v>74</v>
      </c>
      <c r="P38" t="s">
        <v>74</v>
      </c>
      <c r="Q38" t="s">
        <v>74</v>
      </c>
      <c r="R38" t="s">
        <v>74</v>
      </c>
      <c r="S38" t="s">
        <v>74</v>
      </c>
      <c r="T38" t="s">
        <v>967</v>
      </c>
      <c r="U38" t="s">
        <v>968</v>
      </c>
      <c r="V38" t="s">
        <v>969</v>
      </c>
      <c r="W38" t="s">
        <v>970</v>
      </c>
      <c r="X38" t="s">
        <v>971</v>
      </c>
      <c r="Y38" t="s">
        <v>972</v>
      </c>
      <c r="Z38" t="s">
        <v>973</v>
      </c>
      <c r="AA38" t="s">
        <v>974</v>
      </c>
      <c r="AB38" t="s">
        <v>975</v>
      </c>
      <c r="AC38" t="s">
        <v>976</v>
      </c>
      <c r="AD38" t="s">
        <v>977</v>
      </c>
      <c r="AE38" t="s">
        <v>978</v>
      </c>
      <c r="AF38" t="s">
        <v>74</v>
      </c>
      <c r="AG38">
        <v>34</v>
      </c>
      <c r="AH38">
        <v>33</v>
      </c>
      <c r="AI38">
        <v>34</v>
      </c>
      <c r="AJ38">
        <v>1</v>
      </c>
      <c r="AK38">
        <v>159</v>
      </c>
      <c r="AL38" t="s">
        <v>196</v>
      </c>
      <c r="AM38" t="s">
        <v>93</v>
      </c>
      <c r="AN38" t="s">
        <v>197</v>
      </c>
      <c r="AO38" t="s">
        <v>979</v>
      </c>
      <c r="AP38" t="s">
        <v>980</v>
      </c>
      <c r="AQ38" t="s">
        <v>74</v>
      </c>
      <c r="AR38" t="s">
        <v>981</v>
      </c>
      <c r="AS38" t="s">
        <v>982</v>
      </c>
      <c r="AT38" t="s">
        <v>428</v>
      </c>
      <c r="AU38">
        <v>2016</v>
      </c>
      <c r="AV38">
        <v>569</v>
      </c>
      <c r="AW38" t="s">
        <v>74</v>
      </c>
      <c r="AX38" t="s">
        <v>74</v>
      </c>
      <c r="AY38" t="s">
        <v>74</v>
      </c>
      <c r="AZ38" t="s">
        <v>74</v>
      </c>
      <c r="BA38" t="s">
        <v>74</v>
      </c>
      <c r="BB38">
        <v>672</v>
      </c>
      <c r="BC38">
        <v>680</v>
      </c>
      <c r="BD38" t="s">
        <v>74</v>
      </c>
      <c r="BE38" t="s">
        <v>983</v>
      </c>
      <c r="BF38" t="str">
        <f>HYPERLINK("http://dx.doi.org/10.1016/j.scitotenv.2016.06.183","http://dx.doi.org/10.1016/j.scitotenv.2016.06.183")</f>
        <v>http://dx.doi.org/10.1016/j.scitotenv.2016.06.183</v>
      </c>
      <c r="BG38" t="s">
        <v>74</v>
      </c>
      <c r="BH38" t="s">
        <v>74</v>
      </c>
      <c r="BI38">
        <v>9</v>
      </c>
      <c r="BJ38" t="s">
        <v>846</v>
      </c>
      <c r="BK38" t="s">
        <v>156</v>
      </c>
      <c r="BL38" t="s">
        <v>532</v>
      </c>
      <c r="BM38" t="s">
        <v>984</v>
      </c>
      <c r="BN38">
        <v>27376921</v>
      </c>
      <c r="BO38" t="s">
        <v>74</v>
      </c>
      <c r="BP38" t="s">
        <v>74</v>
      </c>
      <c r="BQ38" t="s">
        <v>74</v>
      </c>
      <c r="BR38" t="s">
        <v>105</v>
      </c>
      <c r="BS38" t="s">
        <v>985</v>
      </c>
      <c r="BT38" t="str">
        <f>HYPERLINK("https%3A%2F%2Fwww.webofscience.com%2Fwos%2Fwoscc%2Ffull-record%2FWOS:000382269000069","View Full Record in Web of Science")</f>
        <v>View Full Record in Web of Science</v>
      </c>
    </row>
    <row r="39" spans="1:72" x14ac:dyDescent="0.15">
      <c r="A39" t="s">
        <v>72</v>
      </c>
      <c r="B39" t="s">
        <v>986</v>
      </c>
      <c r="C39" t="s">
        <v>74</v>
      </c>
      <c r="D39" t="s">
        <v>74</v>
      </c>
      <c r="E39" t="s">
        <v>74</v>
      </c>
      <c r="F39" t="s">
        <v>987</v>
      </c>
      <c r="G39" t="s">
        <v>74</v>
      </c>
      <c r="H39" t="s">
        <v>74</v>
      </c>
      <c r="I39" t="s">
        <v>988</v>
      </c>
      <c r="J39" t="s">
        <v>966</v>
      </c>
      <c r="K39" t="s">
        <v>74</v>
      </c>
      <c r="L39" t="s">
        <v>74</v>
      </c>
      <c r="M39" t="s">
        <v>78</v>
      </c>
      <c r="N39" t="s">
        <v>79</v>
      </c>
      <c r="O39" t="s">
        <v>74</v>
      </c>
      <c r="P39" t="s">
        <v>74</v>
      </c>
      <c r="Q39" t="s">
        <v>74</v>
      </c>
      <c r="R39" t="s">
        <v>74</v>
      </c>
      <c r="S39" t="s">
        <v>74</v>
      </c>
      <c r="T39" t="s">
        <v>989</v>
      </c>
      <c r="U39" t="s">
        <v>990</v>
      </c>
      <c r="V39" t="s">
        <v>991</v>
      </c>
      <c r="W39" t="s">
        <v>992</v>
      </c>
      <c r="X39" t="s">
        <v>993</v>
      </c>
      <c r="Y39" t="s">
        <v>994</v>
      </c>
      <c r="Z39" t="s">
        <v>995</v>
      </c>
      <c r="AA39" t="s">
        <v>996</v>
      </c>
      <c r="AB39" t="s">
        <v>997</v>
      </c>
      <c r="AC39" t="s">
        <v>998</v>
      </c>
      <c r="AD39" t="s">
        <v>999</v>
      </c>
      <c r="AE39" t="s">
        <v>1000</v>
      </c>
      <c r="AF39" t="s">
        <v>74</v>
      </c>
      <c r="AG39">
        <v>53</v>
      </c>
      <c r="AH39">
        <v>32</v>
      </c>
      <c r="AI39">
        <v>34</v>
      </c>
      <c r="AJ39">
        <v>3</v>
      </c>
      <c r="AK39">
        <v>65</v>
      </c>
      <c r="AL39" t="s">
        <v>92</v>
      </c>
      <c r="AM39" t="s">
        <v>93</v>
      </c>
      <c r="AN39" t="s">
        <v>94</v>
      </c>
      <c r="AO39" t="s">
        <v>979</v>
      </c>
      <c r="AP39" t="s">
        <v>980</v>
      </c>
      <c r="AQ39" t="s">
        <v>74</v>
      </c>
      <c r="AR39" t="s">
        <v>981</v>
      </c>
      <c r="AS39" t="s">
        <v>982</v>
      </c>
      <c r="AT39" t="s">
        <v>428</v>
      </c>
      <c r="AU39">
        <v>2016</v>
      </c>
      <c r="AV39">
        <v>569</v>
      </c>
      <c r="AW39" t="s">
        <v>74</v>
      </c>
      <c r="AX39" t="s">
        <v>74</v>
      </c>
      <c r="AY39" t="s">
        <v>74</v>
      </c>
      <c r="AZ39" t="s">
        <v>74</v>
      </c>
      <c r="BA39" t="s">
        <v>74</v>
      </c>
      <c r="BB39">
        <v>1500</v>
      </c>
      <c r="BC39">
        <v>1509</v>
      </c>
      <c r="BD39" t="s">
        <v>74</v>
      </c>
      <c r="BE39" t="s">
        <v>1001</v>
      </c>
      <c r="BF39" t="str">
        <f>HYPERLINK("http://dx.doi.org/10.1016/j.scitotenv.2016.06.240","http://dx.doi.org/10.1016/j.scitotenv.2016.06.240")</f>
        <v>http://dx.doi.org/10.1016/j.scitotenv.2016.06.240</v>
      </c>
      <c r="BG39" t="s">
        <v>74</v>
      </c>
      <c r="BH39" t="s">
        <v>74</v>
      </c>
      <c r="BI39">
        <v>10</v>
      </c>
      <c r="BJ39" t="s">
        <v>846</v>
      </c>
      <c r="BK39" t="s">
        <v>156</v>
      </c>
      <c r="BL39" t="s">
        <v>532</v>
      </c>
      <c r="BM39" t="s">
        <v>984</v>
      </c>
      <c r="BN39">
        <v>27450242</v>
      </c>
      <c r="BO39" t="s">
        <v>1002</v>
      </c>
      <c r="BP39" t="s">
        <v>74</v>
      </c>
      <c r="BQ39" t="s">
        <v>74</v>
      </c>
      <c r="BR39" t="s">
        <v>105</v>
      </c>
      <c r="BS39" t="s">
        <v>1003</v>
      </c>
      <c r="BT39" t="str">
        <f>HYPERLINK("https%3A%2F%2Fwww.webofscience.com%2Fwos%2Fwoscc%2Ffull-record%2FWOS:000382269000144","View Full Record in Web of Science")</f>
        <v>View Full Record in Web of Science</v>
      </c>
    </row>
    <row r="40" spans="1:72" x14ac:dyDescent="0.15">
      <c r="A40" t="s">
        <v>72</v>
      </c>
      <c r="B40" t="s">
        <v>1004</v>
      </c>
      <c r="C40" t="s">
        <v>74</v>
      </c>
      <c r="D40" t="s">
        <v>74</v>
      </c>
      <c r="E40" t="s">
        <v>74</v>
      </c>
      <c r="F40" t="s">
        <v>1005</v>
      </c>
      <c r="G40" t="s">
        <v>74</v>
      </c>
      <c r="H40" t="s">
        <v>74</v>
      </c>
      <c r="I40" t="s">
        <v>1006</v>
      </c>
      <c r="J40" t="s">
        <v>1007</v>
      </c>
      <c r="K40" t="s">
        <v>74</v>
      </c>
      <c r="L40" t="s">
        <v>74</v>
      </c>
      <c r="M40" t="s">
        <v>78</v>
      </c>
      <c r="N40" t="s">
        <v>79</v>
      </c>
      <c r="O40" t="s">
        <v>74</v>
      </c>
      <c r="P40" t="s">
        <v>74</v>
      </c>
      <c r="Q40" t="s">
        <v>74</v>
      </c>
      <c r="R40" t="s">
        <v>74</v>
      </c>
      <c r="S40" t="s">
        <v>74</v>
      </c>
      <c r="T40" t="s">
        <v>1008</v>
      </c>
      <c r="U40" t="s">
        <v>1009</v>
      </c>
      <c r="V40" t="s">
        <v>1010</v>
      </c>
      <c r="W40" t="s">
        <v>1011</v>
      </c>
      <c r="X40" t="s">
        <v>1012</v>
      </c>
      <c r="Y40" t="s">
        <v>1013</v>
      </c>
      <c r="Z40" t="s">
        <v>1014</v>
      </c>
      <c r="AA40" t="s">
        <v>1015</v>
      </c>
      <c r="AB40" t="s">
        <v>1016</v>
      </c>
      <c r="AC40" t="s">
        <v>1017</v>
      </c>
      <c r="AD40" t="s">
        <v>1018</v>
      </c>
      <c r="AE40" t="s">
        <v>1019</v>
      </c>
      <c r="AF40" t="s">
        <v>74</v>
      </c>
      <c r="AG40">
        <v>67</v>
      </c>
      <c r="AH40">
        <v>8</v>
      </c>
      <c r="AI40">
        <v>8</v>
      </c>
      <c r="AJ40">
        <v>1</v>
      </c>
      <c r="AK40">
        <v>38</v>
      </c>
      <c r="AL40" t="s">
        <v>92</v>
      </c>
      <c r="AM40" t="s">
        <v>93</v>
      </c>
      <c r="AN40" t="s">
        <v>94</v>
      </c>
      <c r="AO40" t="s">
        <v>1020</v>
      </c>
      <c r="AP40" t="s">
        <v>1021</v>
      </c>
      <c r="AQ40" t="s">
        <v>74</v>
      </c>
      <c r="AR40" t="s">
        <v>1022</v>
      </c>
      <c r="AS40" t="s">
        <v>1023</v>
      </c>
      <c r="AT40" t="s">
        <v>99</v>
      </c>
      <c r="AU40">
        <v>2016</v>
      </c>
      <c r="AV40">
        <v>163</v>
      </c>
      <c r="AW40" t="s">
        <v>74</v>
      </c>
      <c r="AX40" t="s">
        <v>74</v>
      </c>
      <c r="AY40" t="s">
        <v>74</v>
      </c>
      <c r="AZ40" t="s">
        <v>74</v>
      </c>
      <c r="BA40" t="s">
        <v>74</v>
      </c>
      <c r="BB40">
        <v>1</v>
      </c>
      <c r="BC40">
        <v>11</v>
      </c>
      <c r="BD40" t="s">
        <v>74</v>
      </c>
      <c r="BE40" t="s">
        <v>1024</v>
      </c>
      <c r="BF40" t="str">
        <f>HYPERLINK("http://dx.doi.org/10.1016/j.jmarsys.2016.06.001","http://dx.doi.org/10.1016/j.jmarsys.2016.06.001")</f>
        <v>http://dx.doi.org/10.1016/j.jmarsys.2016.06.001</v>
      </c>
      <c r="BG40" t="s">
        <v>74</v>
      </c>
      <c r="BH40" t="s">
        <v>74</v>
      </c>
      <c r="BI40">
        <v>11</v>
      </c>
      <c r="BJ40" t="s">
        <v>1025</v>
      </c>
      <c r="BK40" t="s">
        <v>156</v>
      </c>
      <c r="BL40" t="s">
        <v>1026</v>
      </c>
      <c r="BM40" t="s">
        <v>1027</v>
      </c>
      <c r="BN40" t="s">
        <v>74</v>
      </c>
      <c r="BO40" t="s">
        <v>74</v>
      </c>
      <c r="BP40" t="s">
        <v>74</v>
      </c>
      <c r="BQ40" t="s">
        <v>74</v>
      </c>
      <c r="BR40" t="s">
        <v>105</v>
      </c>
      <c r="BS40" t="s">
        <v>1028</v>
      </c>
      <c r="BT40" t="str">
        <f>HYPERLINK("https%3A%2F%2Fwww.webofscience.com%2Fwos%2Fwoscc%2Ffull-record%2FWOS:000382408000001","View Full Record in Web of Science")</f>
        <v>View Full Record in Web of Science</v>
      </c>
    </row>
    <row r="41" spans="1:72" x14ac:dyDescent="0.15">
      <c r="A41" t="s">
        <v>72</v>
      </c>
      <c r="B41" t="s">
        <v>1029</v>
      </c>
      <c r="C41" t="s">
        <v>74</v>
      </c>
      <c r="D41" t="s">
        <v>74</v>
      </c>
      <c r="E41" t="s">
        <v>74</v>
      </c>
      <c r="F41" t="s">
        <v>1030</v>
      </c>
      <c r="G41" t="s">
        <v>74</v>
      </c>
      <c r="H41" t="s">
        <v>74</v>
      </c>
      <c r="I41" t="s">
        <v>1031</v>
      </c>
      <c r="J41" t="s">
        <v>1007</v>
      </c>
      <c r="K41" t="s">
        <v>74</v>
      </c>
      <c r="L41" t="s">
        <v>74</v>
      </c>
      <c r="M41" t="s">
        <v>78</v>
      </c>
      <c r="N41" t="s">
        <v>79</v>
      </c>
      <c r="O41" t="s">
        <v>74</v>
      </c>
      <c r="P41" t="s">
        <v>74</v>
      </c>
      <c r="Q41" t="s">
        <v>74</v>
      </c>
      <c r="R41" t="s">
        <v>74</v>
      </c>
      <c r="S41" t="s">
        <v>74</v>
      </c>
      <c r="T41" t="s">
        <v>1032</v>
      </c>
      <c r="U41" t="s">
        <v>1033</v>
      </c>
      <c r="V41" t="s">
        <v>1034</v>
      </c>
      <c r="W41" t="s">
        <v>1035</v>
      </c>
      <c r="X41" t="s">
        <v>1036</v>
      </c>
      <c r="Y41" t="s">
        <v>1037</v>
      </c>
      <c r="Z41" t="s">
        <v>74</v>
      </c>
      <c r="AA41" t="s">
        <v>1038</v>
      </c>
      <c r="AB41" t="s">
        <v>1039</v>
      </c>
      <c r="AC41" t="s">
        <v>1040</v>
      </c>
      <c r="AD41" t="s">
        <v>1041</v>
      </c>
      <c r="AE41" t="s">
        <v>1042</v>
      </c>
      <c r="AF41" t="s">
        <v>74</v>
      </c>
      <c r="AG41">
        <v>51</v>
      </c>
      <c r="AH41">
        <v>26</v>
      </c>
      <c r="AI41">
        <v>27</v>
      </c>
      <c r="AJ41">
        <v>0</v>
      </c>
      <c r="AK41">
        <v>28</v>
      </c>
      <c r="AL41" t="s">
        <v>196</v>
      </c>
      <c r="AM41" t="s">
        <v>93</v>
      </c>
      <c r="AN41" t="s">
        <v>197</v>
      </c>
      <c r="AO41" t="s">
        <v>1020</v>
      </c>
      <c r="AP41" t="s">
        <v>1021</v>
      </c>
      <c r="AQ41" t="s">
        <v>74</v>
      </c>
      <c r="AR41" t="s">
        <v>1022</v>
      </c>
      <c r="AS41" t="s">
        <v>1023</v>
      </c>
      <c r="AT41" t="s">
        <v>99</v>
      </c>
      <c r="AU41">
        <v>2016</v>
      </c>
      <c r="AV41">
        <v>163</v>
      </c>
      <c r="AW41" t="s">
        <v>74</v>
      </c>
      <c r="AX41" t="s">
        <v>74</v>
      </c>
      <c r="AY41" t="s">
        <v>74</v>
      </c>
      <c r="AZ41" t="s">
        <v>74</v>
      </c>
      <c r="BA41" t="s">
        <v>74</v>
      </c>
      <c r="BB41">
        <v>95</v>
      </c>
      <c r="BC41">
        <v>101</v>
      </c>
      <c r="BD41" t="s">
        <v>74</v>
      </c>
      <c r="BE41" t="s">
        <v>1043</v>
      </c>
      <c r="BF41" t="str">
        <f>HYPERLINK("http://dx.doi.org/10.1016/j.jmarsys.2016.07.008","http://dx.doi.org/10.1016/j.jmarsys.2016.07.008")</f>
        <v>http://dx.doi.org/10.1016/j.jmarsys.2016.07.008</v>
      </c>
      <c r="BG41" t="s">
        <v>74</v>
      </c>
      <c r="BH41" t="s">
        <v>74</v>
      </c>
      <c r="BI41">
        <v>7</v>
      </c>
      <c r="BJ41" t="s">
        <v>1025</v>
      </c>
      <c r="BK41" t="s">
        <v>156</v>
      </c>
      <c r="BL41" t="s">
        <v>1026</v>
      </c>
      <c r="BM41" t="s">
        <v>1027</v>
      </c>
      <c r="BN41" t="s">
        <v>74</v>
      </c>
      <c r="BO41" t="s">
        <v>74</v>
      </c>
      <c r="BP41" t="s">
        <v>74</v>
      </c>
      <c r="BQ41" t="s">
        <v>74</v>
      </c>
      <c r="BR41" t="s">
        <v>105</v>
      </c>
      <c r="BS41" t="s">
        <v>1044</v>
      </c>
      <c r="BT41" t="str">
        <f>HYPERLINK("https%3A%2F%2Fwww.webofscience.com%2Fwos%2Fwoscc%2Ffull-record%2FWOS:000382408000008","View Full Record in Web of Science")</f>
        <v>View Full Record in Web of Science</v>
      </c>
    </row>
    <row r="42" spans="1:72" x14ac:dyDescent="0.15">
      <c r="A42" t="s">
        <v>72</v>
      </c>
      <c r="B42" t="s">
        <v>1045</v>
      </c>
      <c r="C42" t="s">
        <v>74</v>
      </c>
      <c r="D42" t="s">
        <v>74</v>
      </c>
      <c r="E42" t="s">
        <v>74</v>
      </c>
      <c r="F42" t="s">
        <v>1046</v>
      </c>
      <c r="G42" t="s">
        <v>74</v>
      </c>
      <c r="H42" t="s">
        <v>74</v>
      </c>
      <c r="I42" t="s">
        <v>1047</v>
      </c>
      <c r="J42" t="s">
        <v>1048</v>
      </c>
      <c r="K42" t="s">
        <v>74</v>
      </c>
      <c r="L42" t="s">
        <v>74</v>
      </c>
      <c r="M42" t="s">
        <v>78</v>
      </c>
      <c r="N42" t="s">
        <v>79</v>
      </c>
      <c r="O42" t="s">
        <v>74</v>
      </c>
      <c r="P42" t="s">
        <v>74</v>
      </c>
      <c r="Q42" t="s">
        <v>74</v>
      </c>
      <c r="R42" t="s">
        <v>74</v>
      </c>
      <c r="S42" t="s">
        <v>74</v>
      </c>
      <c r="T42" t="s">
        <v>1049</v>
      </c>
      <c r="U42" t="s">
        <v>1050</v>
      </c>
      <c r="V42" t="s">
        <v>1051</v>
      </c>
      <c r="W42" t="s">
        <v>1052</v>
      </c>
      <c r="X42" t="s">
        <v>1053</v>
      </c>
      <c r="Y42" t="s">
        <v>1054</v>
      </c>
      <c r="Z42" t="s">
        <v>1055</v>
      </c>
      <c r="AA42" t="s">
        <v>74</v>
      </c>
      <c r="AB42" t="s">
        <v>74</v>
      </c>
      <c r="AC42" t="s">
        <v>1056</v>
      </c>
      <c r="AD42" t="s">
        <v>1057</v>
      </c>
      <c r="AE42" t="s">
        <v>1058</v>
      </c>
      <c r="AF42" t="s">
        <v>74</v>
      </c>
      <c r="AG42">
        <v>92</v>
      </c>
      <c r="AH42">
        <v>2</v>
      </c>
      <c r="AI42">
        <v>2</v>
      </c>
      <c r="AJ42">
        <v>0</v>
      </c>
      <c r="AK42">
        <v>8</v>
      </c>
      <c r="AL42" t="s">
        <v>1059</v>
      </c>
      <c r="AM42" t="s">
        <v>1060</v>
      </c>
      <c r="AN42" t="s">
        <v>1061</v>
      </c>
      <c r="AO42" t="s">
        <v>1062</v>
      </c>
      <c r="AP42" t="s">
        <v>1063</v>
      </c>
      <c r="AQ42" t="s">
        <v>74</v>
      </c>
      <c r="AR42" t="s">
        <v>1064</v>
      </c>
      <c r="AS42" t="s">
        <v>1065</v>
      </c>
      <c r="AT42" t="s">
        <v>99</v>
      </c>
      <c r="AU42">
        <v>2016</v>
      </c>
      <c r="AV42">
        <v>58</v>
      </c>
      <c r="AW42">
        <v>15</v>
      </c>
      <c r="AX42" t="s">
        <v>74</v>
      </c>
      <c r="AY42" t="s">
        <v>74</v>
      </c>
      <c r="AZ42" t="s">
        <v>74</v>
      </c>
      <c r="BA42" t="s">
        <v>74</v>
      </c>
      <c r="BB42">
        <v>1884</v>
      </c>
      <c r="BC42">
        <v>1896</v>
      </c>
      <c r="BD42" t="s">
        <v>74</v>
      </c>
      <c r="BE42" t="s">
        <v>1066</v>
      </c>
      <c r="BF42" t="str">
        <f>HYPERLINK("http://dx.doi.org/10.1080/00206814.2016.1185651","http://dx.doi.org/10.1080/00206814.2016.1185651")</f>
        <v>http://dx.doi.org/10.1080/00206814.2016.1185651</v>
      </c>
      <c r="BG42" t="s">
        <v>74</v>
      </c>
      <c r="BH42" t="s">
        <v>74</v>
      </c>
      <c r="BI42">
        <v>13</v>
      </c>
      <c r="BJ42" t="s">
        <v>177</v>
      </c>
      <c r="BK42" t="s">
        <v>156</v>
      </c>
      <c r="BL42" t="s">
        <v>177</v>
      </c>
      <c r="BM42" t="s">
        <v>1067</v>
      </c>
      <c r="BN42" t="s">
        <v>74</v>
      </c>
      <c r="BO42" t="s">
        <v>74</v>
      </c>
      <c r="BP42" t="s">
        <v>74</v>
      </c>
      <c r="BQ42" t="s">
        <v>74</v>
      </c>
      <c r="BR42" t="s">
        <v>105</v>
      </c>
      <c r="BS42" t="s">
        <v>1068</v>
      </c>
      <c r="BT42" t="str">
        <f>HYPERLINK("https%3A%2F%2Fwww.webofscience.com%2Fwos%2Fwoscc%2Ffull-record%2FWOS:000381013500003","View Full Record in Web of Science")</f>
        <v>View Full Record in Web of Science</v>
      </c>
    </row>
    <row r="43" spans="1:72" x14ac:dyDescent="0.15">
      <c r="A43" t="s">
        <v>72</v>
      </c>
      <c r="B43" t="s">
        <v>1069</v>
      </c>
      <c r="C43" t="s">
        <v>74</v>
      </c>
      <c r="D43" t="s">
        <v>74</v>
      </c>
      <c r="E43" t="s">
        <v>74</v>
      </c>
      <c r="F43" t="s">
        <v>1070</v>
      </c>
      <c r="G43" t="s">
        <v>74</v>
      </c>
      <c r="H43" t="s">
        <v>74</v>
      </c>
      <c r="I43" t="s">
        <v>1071</v>
      </c>
      <c r="J43" t="s">
        <v>1072</v>
      </c>
      <c r="K43" t="s">
        <v>74</v>
      </c>
      <c r="L43" t="s">
        <v>74</v>
      </c>
      <c r="M43" t="s">
        <v>78</v>
      </c>
      <c r="N43" t="s">
        <v>1073</v>
      </c>
      <c r="O43" t="s">
        <v>74</v>
      </c>
      <c r="P43" t="s">
        <v>74</v>
      </c>
      <c r="Q43" t="s">
        <v>74</v>
      </c>
      <c r="R43" t="s">
        <v>74</v>
      </c>
      <c r="S43" t="s">
        <v>74</v>
      </c>
      <c r="T43" t="s">
        <v>74</v>
      </c>
      <c r="U43" t="s">
        <v>74</v>
      </c>
      <c r="V43" t="s">
        <v>74</v>
      </c>
      <c r="W43" t="s">
        <v>74</v>
      </c>
      <c r="X43" t="s">
        <v>74</v>
      </c>
      <c r="Y43" t="s">
        <v>74</v>
      </c>
      <c r="Z43" t="s">
        <v>74</v>
      </c>
      <c r="AA43" t="s">
        <v>74</v>
      </c>
      <c r="AB43" t="s">
        <v>74</v>
      </c>
      <c r="AC43" t="s">
        <v>74</v>
      </c>
      <c r="AD43" t="s">
        <v>74</v>
      </c>
      <c r="AE43" t="s">
        <v>74</v>
      </c>
      <c r="AF43" t="s">
        <v>74</v>
      </c>
      <c r="AG43">
        <v>1</v>
      </c>
      <c r="AH43">
        <v>0</v>
      </c>
      <c r="AI43">
        <v>0</v>
      </c>
      <c r="AJ43">
        <v>1</v>
      </c>
      <c r="AK43">
        <v>8</v>
      </c>
      <c r="AL43" t="s">
        <v>1074</v>
      </c>
      <c r="AM43" t="s">
        <v>1075</v>
      </c>
      <c r="AN43" t="s">
        <v>1076</v>
      </c>
      <c r="AO43" t="s">
        <v>1077</v>
      </c>
      <c r="AP43" t="s">
        <v>74</v>
      </c>
      <c r="AQ43" t="s">
        <v>74</v>
      </c>
      <c r="AR43" t="s">
        <v>1072</v>
      </c>
      <c r="AS43" t="s">
        <v>1078</v>
      </c>
      <c r="AT43" t="s">
        <v>1079</v>
      </c>
      <c r="AU43">
        <v>2016</v>
      </c>
      <c r="AV43">
        <v>11</v>
      </c>
      <c r="AW43">
        <v>10</v>
      </c>
      <c r="AX43" t="s">
        <v>74</v>
      </c>
      <c r="AY43" t="s">
        <v>74</v>
      </c>
      <c r="AZ43" t="s">
        <v>74</v>
      </c>
      <c r="BA43" t="s">
        <v>74</v>
      </c>
      <c r="BB43" t="s">
        <v>74</v>
      </c>
      <c r="BC43" t="s">
        <v>74</v>
      </c>
      <c r="BD43" t="s">
        <v>1080</v>
      </c>
      <c r="BE43" t="s">
        <v>1081</v>
      </c>
      <c r="BF43" t="str">
        <f>HYPERLINK("http://dx.doi.org/10.1371/journal.pone.0165989","http://dx.doi.org/10.1371/journal.pone.0165989")</f>
        <v>http://dx.doi.org/10.1371/journal.pone.0165989</v>
      </c>
      <c r="BG43" t="s">
        <v>74</v>
      </c>
      <c r="BH43" t="s">
        <v>74</v>
      </c>
      <c r="BI43">
        <v>1</v>
      </c>
      <c r="BJ43" t="s">
        <v>719</v>
      </c>
      <c r="BK43" t="s">
        <v>156</v>
      </c>
      <c r="BL43" t="s">
        <v>720</v>
      </c>
      <c r="BM43" t="s">
        <v>1082</v>
      </c>
      <c r="BN43" t="s">
        <v>74</v>
      </c>
      <c r="BO43" t="s">
        <v>1083</v>
      </c>
      <c r="BP43" t="s">
        <v>74</v>
      </c>
      <c r="BQ43" t="s">
        <v>74</v>
      </c>
      <c r="BR43" t="s">
        <v>105</v>
      </c>
      <c r="BS43" t="s">
        <v>1084</v>
      </c>
      <c r="BT43" t="str">
        <f>HYPERLINK("https%3A%2F%2Fwww.webofscience.com%2Fwos%2Fwoscc%2Ffull-record%2FWOS:000389537000052","View Full Record in Web of Science")</f>
        <v>View Full Record in Web of Science</v>
      </c>
    </row>
    <row r="44" spans="1:72" x14ac:dyDescent="0.15">
      <c r="A44" t="s">
        <v>72</v>
      </c>
      <c r="B44" t="s">
        <v>1085</v>
      </c>
      <c r="C44" t="s">
        <v>74</v>
      </c>
      <c r="D44" t="s">
        <v>74</v>
      </c>
      <c r="E44" t="s">
        <v>74</v>
      </c>
      <c r="F44" t="s">
        <v>1086</v>
      </c>
      <c r="G44" t="s">
        <v>74</v>
      </c>
      <c r="H44" t="s">
        <v>74</v>
      </c>
      <c r="I44" t="s">
        <v>1087</v>
      </c>
      <c r="J44" t="s">
        <v>1088</v>
      </c>
      <c r="K44" t="s">
        <v>74</v>
      </c>
      <c r="L44" t="s">
        <v>74</v>
      </c>
      <c r="M44" t="s">
        <v>78</v>
      </c>
      <c r="N44" t="s">
        <v>79</v>
      </c>
      <c r="O44" t="s">
        <v>74</v>
      </c>
      <c r="P44" t="s">
        <v>74</v>
      </c>
      <c r="Q44" t="s">
        <v>74</v>
      </c>
      <c r="R44" t="s">
        <v>74</v>
      </c>
      <c r="S44" t="s">
        <v>74</v>
      </c>
      <c r="T44" t="s">
        <v>1089</v>
      </c>
      <c r="U44" t="s">
        <v>1090</v>
      </c>
      <c r="V44" t="s">
        <v>1091</v>
      </c>
      <c r="W44" t="s">
        <v>1092</v>
      </c>
      <c r="X44" t="s">
        <v>1093</v>
      </c>
      <c r="Y44" t="s">
        <v>1094</v>
      </c>
      <c r="Z44" t="s">
        <v>218</v>
      </c>
      <c r="AA44" t="s">
        <v>1095</v>
      </c>
      <c r="AB44" t="s">
        <v>1096</v>
      </c>
      <c r="AC44" t="s">
        <v>1097</v>
      </c>
      <c r="AD44" t="s">
        <v>1098</v>
      </c>
      <c r="AE44" t="s">
        <v>1099</v>
      </c>
      <c r="AF44" t="s">
        <v>74</v>
      </c>
      <c r="AG44">
        <v>58</v>
      </c>
      <c r="AH44">
        <v>41</v>
      </c>
      <c r="AI44">
        <v>43</v>
      </c>
      <c r="AJ44">
        <v>0</v>
      </c>
      <c r="AK44">
        <v>23</v>
      </c>
      <c r="AL44" t="s">
        <v>149</v>
      </c>
      <c r="AM44" t="s">
        <v>123</v>
      </c>
      <c r="AN44" t="s">
        <v>150</v>
      </c>
      <c r="AO44" t="s">
        <v>1100</v>
      </c>
      <c r="AP44" t="s">
        <v>1101</v>
      </c>
      <c r="AQ44" t="s">
        <v>74</v>
      </c>
      <c r="AR44" t="s">
        <v>1102</v>
      </c>
      <c r="AS44" t="s">
        <v>1103</v>
      </c>
      <c r="AT44" t="s">
        <v>1079</v>
      </c>
      <c r="AU44">
        <v>2016</v>
      </c>
      <c r="AV44">
        <v>43</v>
      </c>
      <c r="AW44">
        <v>20</v>
      </c>
      <c r="AX44" t="s">
        <v>74</v>
      </c>
      <c r="AY44" t="s">
        <v>74</v>
      </c>
      <c r="AZ44" t="s">
        <v>74</v>
      </c>
      <c r="BA44" t="s">
        <v>74</v>
      </c>
      <c r="BB44">
        <v>10835</v>
      </c>
      <c r="BC44">
        <v>10845</v>
      </c>
      <c r="BD44" t="s">
        <v>74</v>
      </c>
      <c r="BE44" t="s">
        <v>1104</v>
      </c>
      <c r="BF44" t="str">
        <f>HYPERLINK("http://dx.doi.org/10.1002/2016GL070860","http://dx.doi.org/10.1002/2016GL070860")</f>
        <v>http://dx.doi.org/10.1002/2016GL070860</v>
      </c>
      <c r="BG44" t="s">
        <v>74</v>
      </c>
      <c r="BH44" t="s">
        <v>74</v>
      </c>
      <c r="BI44">
        <v>11</v>
      </c>
      <c r="BJ44" t="s">
        <v>352</v>
      </c>
      <c r="BK44" t="s">
        <v>156</v>
      </c>
      <c r="BL44" t="s">
        <v>177</v>
      </c>
      <c r="BM44" t="s">
        <v>1105</v>
      </c>
      <c r="BN44" t="s">
        <v>74</v>
      </c>
      <c r="BO44" t="s">
        <v>1106</v>
      </c>
      <c r="BP44" t="s">
        <v>74</v>
      </c>
      <c r="BQ44" t="s">
        <v>74</v>
      </c>
      <c r="BR44" t="s">
        <v>105</v>
      </c>
      <c r="BS44" t="s">
        <v>1107</v>
      </c>
      <c r="BT44" t="str">
        <f>HYPERLINK("https%3A%2F%2Fwww.webofscience.com%2Fwos%2Fwoscc%2Ffull-record%2FWOS:000388293800004","View Full Record in Web of Science")</f>
        <v>View Full Record in Web of Science</v>
      </c>
    </row>
    <row r="45" spans="1:72" x14ac:dyDescent="0.15">
      <c r="A45" t="s">
        <v>72</v>
      </c>
      <c r="B45" t="s">
        <v>1108</v>
      </c>
      <c r="C45" t="s">
        <v>74</v>
      </c>
      <c r="D45" t="s">
        <v>74</v>
      </c>
      <c r="E45" t="s">
        <v>74</v>
      </c>
      <c r="F45" t="s">
        <v>1109</v>
      </c>
      <c r="G45" t="s">
        <v>74</v>
      </c>
      <c r="H45" t="s">
        <v>74</v>
      </c>
      <c r="I45" t="s">
        <v>1110</v>
      </c>
      <c r="J45" t="s">
        <v>1088</v>
      </c>
      <c r="K45" t="s">
        <v>74</v>
      </c>
      <c r="L45" t="s">
        <v>74</v>
      </c>
      <c r="M45" t="s">
        <v>78</v>
      </c>
      <c r="N45" t="s">
        <v>79</v>
      </c>
      <c r="O45" t="s">
        <v>74</v>
      </c>
      <c r="P45" t="s">
        <v>74</v>
      </c>
      <c r="Q45" t="s">
        <v>74</v>
      </c>
      <c r="R45" t="s">
        <v>74</v>
      </c>
      <c r="S45" t="s">
        <v>74</v>
      </c>
      <c r="T45" t="s">
        <v>1111</v>
      </c>
      <c r="U45" t="s">
        <v>1112</v>
      </c>
      <c r="V45" t="s">
        <v>1113</v>
      </c>
      <c r="W45" t="s">
        <v>1114</v>
      </c>
      <c r="X45" t="s">
        <v>1115</v>
      </c>
      <c r="Y45" t="s">
        <v>1116</v>
      </c>
      <c r="Z45" t="s">
        <v>1117</v>
      </c>
      <c r="AA45" t="s">
        <v>1118</v>
      </c>
      <c r="AB45" t="s">
        <v>1119</v>
      </c>
      <c r="AC45" t="s">
        <v>1120</v>
      </c>
      <c r="AD45" t="s">
        <v>1121</v>
      </c>
      <c r="AE45" t="s">
        <v>1122</v>
      </c>
      <c r="AF45" t="s">
        <v>74</v>
      </c>
      <c r="AG45">
        <v>66</v>
      </c>
      <c r="AH45">
        <v>18</v>
      </c>
      <c r="AI45">
        <v>20</v>
      </c>
      <c r="AJ45">
        <v>2</v>
      </c>
      <c r="AK45">
        <v>22</v>
      </c>
      <c r="AL45" t="s">
        <v>149</v>
      </c>
      <c r="AM45" t="s">
        <v>123</v>
      </c>
      <c r="AN45" t="s">
        <v>150</v>
      </c>
      <c r="AO45" t="s">
        <v>1100</v>
      </c>
      <c r="AP45" t="s">
        <v>1101</v>
      </c>
      <c r="AQ45" t="s">
        <v>74</v>
      </c>
      <c r="AR45" t="s">
        <v>1102</v>
      </c>
      <c r="AS45" t="s">
        <v>1103</v>
      </c>
      <c r="AT45" t="s">
        <v>1079</v>
      </c>
      <c r="AU45">
        <v>2016</v>
      </c>
      <c r="AV45">
        <v>43</v>
      </c>
      <c r="AW45">
        <v>20</v>
      </c>
      <c r="AX45" t="s">
        <v>74</v>
      </c>
      <c r="AY45" t="s">
        <v>74</v>
      </c>
      <c r="AZ45" t="s">
        <v>74</v>
      </c>
      <c r="BA45" t="s">
        <v>74</v>
      </c>
      <c r="BB45">
        <v>10846</v>
      </c>
      <c r="BC45">
        <v>10855</v>
      </c>
      <c r="BD45" t="s">
        <v>74</v>
      </c>
      <c r="BE45" t="s">
        <v>1123</v>
      </c>
      <c r="BF45" t="str">
        <f>HYPERLINK("http://dx.doi.org/10.1002/2016GL070565","http://dx.doi.org/10.1002/2016GL070565")</f>
        <v>http://dx.doi.org/10.1002/2016GL070565</v>
      </c>
      <c r="BG45" t="s">
        <v>74</v>
      </c>
      <c r="BH45" t="s">
        <v>74</v>
      </c>
      <c r="BI45">
        <v>10</v>
      </c>
      <c r="BJ45" t="s">
        <v>352</v>
      </c>
      <c r="BK45" t="s">
        <v>156</v>
      </c>
      <c r="BL45" t="s">
        <v>177</v>
      </c>
      <c r="BM45" t="s">
        <v>1105</v>
      </c>
      <c r="BN45" t="s">
        <v>74</v>
      </c>
      <c r="BO45" t="s">
        <v>1124</v>
      </c>
      <c r="BP45" t="s">
        <v>74</v>
      </c>
      <c r="BQ45" t="s">
        <v>74</v>
      </c>
      <c r="BR45" t="s">
        <v>105</v>
      </c>
      <c r="BS45" t="s">
        <v>1125</v>
      </c>
      <c r="BT45" t="str">
        <f>HYPERLINK("https%3A%2F%2Fwww.webofscience.com%2Fwos%2Fwoscc%2Ffull-record%2FWOS:000388293800017","View Full Record in Web of Science")</f>
        <v>View Full Record in Web of Science</v>
      </c>
    </row>
    <row r="46" spans="1:72" x14ac:dyDescent="0.15">
      <c r="A46" t="s">
        <v>72</v>
      </c>
      <c r="B46" t="s">
        <v>1126</v>
      </c>
      <c r="C46" t="s">
        <v>74</v>
      </c>
      <c r="D46" t="s">
        <v>74</v>
      </c>
      <c r="E46" t="s">
        <v>74</v>
      </c>
      <c r="F46" t="s">
        <v>1127</v>
      </c>
      <c r="G46" t="s">
        <v>74</v>
      </c>
      <c r="H46" t="s">
        <v>74</v>
      </c>
      <c r="I46" t="s">
        <v>1128</v>
      </c>
      <c r="J46" t="s">
        <v>1088</v>
      </c>
      <c r="K46" t="s">
        <v>74</v>
      </c>
      <c r="L46" t="s">
        <v>74</v>
      </c>
      <c r="M46" t="s">
        <v>78</v>
      </c>
      <c r="N46" t="s">
        <v>79</v>
      </c>
      <c r="O46" t="s">
        <v>74</v>
      </c>
      <c r="P46" t="s">
        <v>74</v>
      </c>
      <c r="Q46" t="s">
        <v>74</v>
      </c>
      <c r="R46" t="s">
        <v>74</v>
      </c>
      <c r="S46" t="s">
        <v>74</v>
      </c>
      <c r="T46" t="s">
        <v>1129</v>
      </c>
      <c r="U46" t="s">
        <v>1130</v>
      </c>
      <c r="V46" t="s">
        <v>1131</v>
      </c>
      <c r="W46" t="s">
        <v>1132</v>
      </c>
      <c r="X46" t="s">
        <v>1133</v>
      </c>
      <c r="Y46" t="s">
        <v>1134</v>
      </c>
      <c r="Z46" t="s">
        <v>1135</v>
      </c>
      <c r="AA46" t="s">
        <v>1136</v>
      </c>
      <c r="AB46" t="s">
        <v>1137</v>
      </c>
      <c r="AC46" t="s">
        <v>1138</v>
      </c>
      <c r="AD46" t="s">
        <v>1139</v>
      </c>
      <c r="AE46" t="s">
        <v>1140</v>
      </c>
      <c r="AF46" t="s">
        <v>74</v>
      </c>
      <c r="AG46">
        <v>56</v>
      </c>
      <c r="AH46">
        <v>3</v>
      </c>
      <c r="AI46">
        <v>3</v>
      </c>
      <c r="AJ46">
        <v>0</v>
      </c>
      <c r="AK46">
        <v>19</v>
      </c>
      <c r="AL46" t="s">
        <v>149</v>
      </c>
      <c r="AM46" t="s">
        <v>123</v>
      </c>
      <c r="AN46" t="s">
        <v>150</v>
      </c>
      <c r="AO46" t="s">
        <v>1100</v>
      </c>
      <c r="AP46" t="s">
        <v>1101</v>
      </c>
      <c r="AQ46" t="s">
        <v>74</v>
      </c>
      <c r="AR46" t="s">
        <v>1102</v>
      </c>
      <c r="AS46" t="s">
        <v>1103</v>
      </c>
      <c r="AT46" t="s">
        <v>1079</v>
      </c>
      <c r="AU46">
        <v>2016</v>
      </c>
      <c r="AV46">
        <v>43</v>
      </c>
      <c r="AW46">
        <v>20</v>
      </c>
      <c r="AX46" t="s">
        <v>74</v>
      </c>
      <c r="AY46" t="s">
        <v>74</v>
      </c>
      <c r="AZ46" t="s">
        <v>74</v>
      </c>
      <c r="BA46" t="s">
        <v>74</v>
      </c>
      <c r="BB46">
        <v>10955</v>
      </c>
      <c r="BC46">
        <v>10964</v>
      </c>
      <c r="BD46" t="s">
        <v>74</v>
      </c>
      <c r="BE46" t="s">
        <v>1141</v>
      </c>
      <c r="BF46" t="str">
        <f>HYPERLINK("http://dx.doi.org/10.1002/2016GL071055","http://dx.doi.org/10.1002/2016GL071055")</f>
        <v>http://dx.doi.org/10.1002/2016GL071055</v>
      </c>
      <c r="BG46" t="s">
        <v>74</v>
      </c>
      <c r="BH46" t="s">
        <v>74</v>
      </c>
      <c r="BI46">
        <v>10</v>
      </c>
      <c r="BJ46" t="s">
        <v>352</v>
      </c>
      <c r="BK46" t="s">
        <v>156</v>
      </c>
      <c r="BL46" t="s">
        <v>177</v>
      </c>
      <c r="BM46" t="s">
        <v>1105</v>
      </c>
      <c r="BN46" t="s">
        <v>74</v>
      </c>
      <c r="BO46" t="s">
        <v>1142</v>
      </c>
      <c r="BP46" t="s">
        <v>74</v>
      </c>
      <c r="BQ46" t="s">
        <v>74</v>
      </c>
      <c r="BR46" t="s">
        <v>105</v>
      </c>
      <c r="BS46" t="s">
        <v>1143</v>
      </c>
      <c r="BT46" t="str">
        <f>HYPERLINK("https%3A%2F%2Fwww.webofscience.com%2Fwos%2Fwoscc%2Ffull-record%2FWOS:000388293800035","View Full Record in Web of Science")</f>
        <v>View Full Record in Web of Science</v>
      </c>
    </row>
    <row r="47" spans="1:72" x14ac:dyDescent="0.15">
      <c r="A47" t="s">
        <v>72</v>
      </c>
      <c r="B47" t="s">
        <v>1144</v>
      </c>
      <c r="C47" t="s">
        <v>74</v>
      </c>
      <c r="D47" t="s">
        <v>74</v>
      </c>
      <c r="E47" t="s">
        <v>74</v>
      </c>
      <c r="F47" t="s">
        <v>1145</v>
      </c>
      <c r="G47" t="s">
        <v>74</v>
      </c>
      <c r="H47" t="s">
        <v>74</v>
      </c>
      <c r="I47" t="s">
        <v>1146</v>
      </c>
      <c r="J47" t="s">
        <v>1147</v>
      </c>
      <c r="K47" t="s">
        <v>74</v>
      </c>
      <c r="L47" t="s">
        <v>74</v>
      </c>
      <c r="M47" t="s">
        <v>78</v>
      </c>
      <c r="N47" t="s">
        <v>79</v>
      </c>
      <c r="O47" t="s">
        <v>74</v>
      </c>
      <c r="P47" t="s">
        <v>74</v>
      </c>
      <c r="Q47" t="s">
        <v>74</v>
      </c>
      <c r="R47" t="s">
        <v>74</v>
      </c>
      <c r="S47" t="s">
        <v>74</v>
      </c>
      <c r="T47" t="s">
        <v>1148</v>
      </c>
      <c r="U47" t="s">
        <v>1149</v>
      </c>
      <c r="V47" t="s">
        <v>1150</v>
      </c>
      <c r="W47" t="s">
        <v>1151</v>
      </c>
      <c r="X47" t="s">
        <v>1152</v>
      </c>
      <c r="Y47" t="s">
        <v>1153</v>
      </c>
      <c r="Z47" t="s">
        <v>1154</v>
      </c>
      <c r="AA47" t="s">
        <v>74</v>
      </c>
      <c r="AB47" t="s">
        <v>1155</v>
      </c>
      <c r="AC47" t="s">
        <v>1156</v>
      </c>
      <c r="AD47" t="s">
        <v>1157</v>
      </c>
      <c r="AE47" t="s">
        <v>1158</v>
      </c>
      <c r="AF47" t="s">
        <v>74</v>
      </c>
      <c r="AG47">
        <v>74</v>
      </c>
      <c r="AH47">
        <v>14</v>
      </c>
      <c r="AI47">
        <v>18</v>
      </c>
      <c r="AJ47">
        <v>0</v>
      </c>
      <c r="AK47">
        <v>20</v>
      </c>
      <c r="AL47" t="s">
        <v>1159</v>
      </c>
      <c r="AM47" t="s">
        <v>250</v>
      </c>
      <c r="AN47" t="s">
        <v>1160</v>
      </c>
      <c r="AO47" t="s">
        <v>1161</v>
      </c>
      <c r="AP47" t="s">
        <v>74</v>
      </c>
      <c r="AQ47" t="s">
        <v>74</v>
      </c>
      <c r="AR47" t="s">
        <v>1162</v>
      </c>
      <c r="AS47" t="s">
        <v>1163</v>
      </c>
      <c r="AT47" t="s">
        <v>1079</v>
      </c>
      <c r="AU47">
        <v>2016</v>
      </c>
      <c r="AV47">
        <v>16</v>
      </c>
      <c r="AW47" t="s">
        <v>74</v>
      </c>
      <c r="AX47" t="s">
        <v>74</v>
      </c>
      <c r="AY47" t="s">
        <v>74</v>
      </c>
      <c r="AZ47" t="s">
        <v>74</v>
      </c>
      <c r="BA47" t="s">
        <v>74</v>
      </c>
      <c r="BB47" t="s">
        <v>74</v>
      </c>
      <c r="BC47" t="s">
        <v>74</v>
      </c>
      <c r="BD47">
        <v>235</v>
      </c>
      <c r="BE47" t="s">
        <v>1164</v>
      </c>
      <c r="BF47" t="str">
        <f>HYPERLINK("http://dx.doi.org/10.1186/s12862-016-0807-9","http://dx.doi.org/10.1186/s12862-016-0807-9")</f>
        <v>http://dx.doi.org/10.1186/s12862-016-0807-9</v>
      </c>
      <c r="BG47" t="s">
        <v>74</v>
      </c>
      <c r="BH47" t="s">
        <v>74</v>
      </c>
      <c r="BI47">
        <v>15</v>
      </c>
      <c r="BJ47" t="s">
        <v>379</v>
      </c>
      <c r="BK47" t="s">
        <v>156</v>
      </c>
      <c r="BL47" t="s">
        <v>379</v>
      </c>
      <c r="BM47" t="s">
        <v>1165</v>
      </c>
      <c r="BN47">
        <v>27793079</v>
      </c>
      <c r="BO47" t="s">
        <v>133</v>
      </c>
      <c r="BP47" t="s">
        <v>74</v>
      </c>
      <c r="BQ47" t="s">
        <v>74</v>
      </c>
      <c r="BR47" t="s">
        <v>105</v>
      </c>
      <c r="BS47" t="s">
        <v>1166</v>
      </c>
      <c r="BT47" t="str">
        <f>HYPERLINK("https%3A%2F%2Fwww.webofscience.com%2Fwos%2Fwoscc%2Ffull-record%2FWOS:000386313500003","View Full Record in Web of Science")</f>
        <v>View Full Record in Web of Science</v>
      </c>
    </row>
    <row r="48" spans="1:72" x14ac:dyDescent="0.15">
      <c r="A48" t="s">
        <v>72</v>
      </c>
      <c r="B48" t="s">
        <v>1167</v>
      </c>
      <c r="C48" t="s">
        <v>74</v>
      </c>
      <c r="D48" t="s">
        <v>74</v>
      </c>
      <c r="E48" t="s">
        <v>74</v>
      </c>
      <c r="F48" t="s">
        <v>1168</v>
      </c>
      <c r="G48" t="s">
        <v>74</v>
      </c>
      <c r="H48" t="s">
        <v>74</v>
      </c>
      <c r="I48" t="s">
        <v>1169</v>
      </c>
      <c r="J48" t="s">
        <v>1088</v>
      </c>
      <c r="K48" t="s">
        <v>74</v>
      </c>
      <c r="L48" t="s">
        <v>74</v>
      </c>
      <c r="M48" t="s">
        <v>78</v>
      </c>
      <c r="N48" t="s">
        <v>79</v>
      </c>
      <c r="O48" t="s">
        <v>74</v>
      </c>
      <c r="P48" t="s">
        <v>74</v>
      </c>
      <c r="Q48" t="s">
        <v>74</v>
      </c>
      <c r="R48" t="s">
        <v>74</v>
      </c>
      <c r="S48" t="s">
        <v>74</v>
      </c>
      <c r="T48" t="s">
        <v>1170</v>
      </c>
      <c r="U48" t="s">
        <v>1171</v>
      </c>
      <c r="V48" t="s">
        <v>1172</v>
      </c>
      <c r="W48" t="s">
        <v>1173</v>
      </c>
      <c r="X48" t="s">
        <v>1174</v>
      </c>
      <c r="Y48" t="s">
        <v>1175</v>
      </c>
      <c r="Z48" t="s">
        <v>1176</v>
      </c>
      <c r="AA48" t="s">
        <v>1177</v>
      </c>
      <c r="AB48" t="s">
        <v>1178</v>
      </c>
      <c r="AC48" t="s">
        <v>1179</v>
      </c>
      <c r="AD48" t="s">
        <v>1180</v>
      </c>
      <c r="AE48" t="s">
        <v>1181</v>
      </c>
      <c r="AF48" t="s">
        <v>74</v>
      </c>
      <c r="AG48">
        <v>36</v>
      </c>
      <c r="AH48">
        <v>13</v>
      </c>
      <c r="AI48">
        <v>13</v>
      </c>
      <c r="AJ48">
        <v>0</v>
      </c>
      <c r="AK48">
        <v>4</v>
      </c>
      <c r="AL48" t="s">
        <v>149</v>
      </c>
      <c r="AM48" t="s">
        <v>123</v>
      </c>
      <c r="AN48" t="s">
        <v>150</v>
      </c>
      <c r="AO48" t="s">
        <v>1100</v>
      </c>
      <c r="AP48" t="s">
        <v>1101</v>
      </c>
      <c r="AQ48" t="s">
        <v>74</v>
      </c>
      <c r="AR48" t="s">
        <v>1102</v>
      </c>
      <c r="AS48" t="s">
        <v>1103</v>
      </c>
      <c r="AT48" t="s">
        <v>1079</v>
      </c>
      <c r="AU48">
        <v>2016</v>
      </c>
      <c r="AV48">
        <v>43</v>
      </c>
      <c r="AW48">
        <v>20</v>
      </c>
      <c r="AX48" t="s">
        <v>74</v>
      </c>
      <c r="AY48" t="s">
        <v>74</v>
      </c>
      <c r="AZ48" t="s">
        <v>74</v>
      </c>
      <c r="BA48" t="s">
        <v>74</v>
      </c>
      <c r="BB48">
        <v>10646</v>
      </c>
      <c r="BC48">
        <v>10653</v>
      </c>
      <c r="BD48" t="s">
        <v>74</v>
      </c>
      <c r="BE48" t="s">
        <v>1182</v>
      </c>
      <c r="BF48" t="str">
        <f>HYPERLINK("http://dx.doi.org/10.1002/2016GL070874","http://dx.doi.org/10.1002/2016GL070874")</f>
        <v>http://dx.doi.org/10.1002/2016GL070874</v>
      </c>
      <c r="BG48" t="s">
        <v>74</v>
      </c>
      <c r="BH48" t="s">
        <v>74</v>
      </c>
      <c r="BI48">
        <v>8</v>
      </c>
      <c r="BJ48" t="s">
        <v>352</v>
      </c>
      <c r="BK48" t="s">
        <v>156</v>
      </c>
      <c r="BL48" t="s">
        <v>177</v>
      </c>
      <c r="BM48" t="s">
        <v>1105</v>
      </c>
      <c r="BN48" t="s">
        <v>74</v>
      </c>
      <c r="BO48" t="s">
        <v>206</v>
      </c>
      <c r="BP48" t="s">
        <v>74</v>
      </c>
      <c r="BQ48" t="s">
        <v>74</v>
      </c>
      <c r="BR48" t="s">
        <v>105</v>
      </c>
      <c r="BS48" t="s">
        <v>1183</v>
      </c>
      <c r="BT48" t="str">
        <f>HYPERLINK("https%3A%2F%2Fwww.webofscience.com%2Fwos%2Fwoscc%2Ffull-record%2FWOS:000388293800021","View Full Record in Web of Science")</f>
        <v>View Full Record in Web of Science</v>
      </c>
    </row>
    <row r="49" spans="1:72" x14ac:dyDescent="0.15">
      <c r="A49" t="s">
        <v>72</v>
      </c>
      <c r="B49" t="s">
        <v>1184</v>
      </c>
      <c r="C49" t="s">
        <v>74</v>
      </c>
      <c r="D49" t="s">
        <v>74</v>
      </c>
      <c r="E49" t="s">
        <v>74</v>
      </c>
      <c r="F49" t="s">
        <v>1185</v>
      </c>
      <c r="G49" t="s">
        <v>74</v>
      </c>
      <c r="H49" t="s">
        <v>74</v>
      </c>
      <c r="I49" t="s">
        <v>1186</v>
      </c>
      <c r="J49" t="s">
        <v>1088</v>
      </c>
      <c r="K49" t="s">
        <v>74</v>
      </c>
      <c r="L49" t="s">
        <v>74</v>
      </c>
      <c r="M49" t="s">
        <v>78</v>
      </c>
      <c r="N49" t="s">
        <v>79</v>
      </c>
      <c r="O49" t="s">
        <v>74</v>
      </c>
      <c r="P49" t="s">
        <v>74</v>
      </c>
      <c r="Q49" t="s">
        <v>74</v>
      </c>
      <c r="R49" t="s">
        <v>74</v>
      </c>
      <c r="S49" t="s">
        <v>74</v>
      </c>
      <c r="T49" t="s">
        <v>74</v>
      </c>
      <c r="U49" t="s">
        <v>1187</v>
      </c>
      <c r="V49" t="s">
        <v>1188</v>
      </c>
      <c r="W49" t="s">
        <v>1189</v>
      </c>
      <c r="X49" t="s">
        <v>1190</v>
      </c>
      <c r="Y49" t="s">
        <v>1191</v>
      </c>
      <c r="Z49" t="s">
        <v>1192</v>
      </c>
      <c r="AA49" t="s">
        <v>1193</v>
      </c>
      <c r="AB49" t="s">
        <v>1194</v>
      </c>
      <c r="AC49" t="s">
        <v>1195</v>
      </c>
      <c r="AD49" t="s">
        <v>1196</v>
      </c>
      <c r="AE49" t="s">
        <v>1197</v>
      </c>
      <c r="AF49" t="s">
        <v>74</v>
      </c>
      <c r="AG49">
        <v>60</v>
      </c>
      <c r="AH49">
        <v>25</v>
      </c>
      <c r="AI49">
        <v>25</v>
      </c>
      <c r="AJ49">
        <v>0</v>
      </c>
      <c r="AK49">
        <v>5</v>
      </c>
      <c r="AL49" t="s">
        <v>149</v>
      </c>
      <c r="AM49" t="s">
        <v>123</v>
      </c>
      <c r="AN49" t="s">
        <v>150</v>
      </c>
      <c r="AO49" t="s">
        <v>1100</v>
      </c>
      <c r="AP49" t="s">
        <v>1101</v>
      </c>
      <c r="AQ49" t="s">
        <v>74</v>
      </c>
      <c r="AR49" t="s">
        <v>1102</v>
      </c>
      <c r="AS49" t="s">
        <v>1103</v>
      </c>
      <c r="AT49" t="s">
        <v>1079</v>
      </c>
      <c r="AU49">
        <v>2016</v>
      </c>
      <c r="AV49">
        <v>43</v>
      </c>
      <c r="AW49">
        <v>20</v>
      </c>
      <c r="AX49" t="s">
        <v>74</v>
      </c>
      <c r="AY49" t="s">
        <v>74</v>
      </c>
      <c r="AZ49" t="s">
        <v>74</v>
      </c>
      <c r="BA49" t="s">
        <v>74</v>
      </c>
      <c r="BB49">
        <v>10728</v>
      </c>
      <c r="BC49">
        <v>10737</v>
      </c>
      <c r="BD49" t="s">
        <v>74</v>
      </c>
      <c r="BE49" t="s">
        <v>1198</v>
      </c>
      <c r="BF49" t="str">
        <f>HYPERLINK("http://dx.doi.org/10.1002/2016GL071063","http://dx.doi.org/10.1002/2016GL071063")</f>
        <v>http://dx.doi.org/10.1002/2016GL071063</v>
      </c>
      <c r="BG49" t="s">
        <v>74</v>
      </c>
      <c r="BH49" t="s">
        <v>74</v>
      </c>
      <c r="BI49">
        <v>10</v>
      </c>
      <c r="BJ49" t="s">
        <v>352</v>
      </c>
      <c r="BK49" t="s">
        <v>156</v>
      </c>
      <c r="BL49" t="s">
        <v>177</v>
      </c>
      <c r="BM49" t="s">
        <v>1105</v>
      </c>
      <c r="BN49" t="s">
        <v>74</v>
      </c>
      <c r="BO49" t="s">
        <v>1199</v>
      </c>
      <c r="BP49" t="s">
        <v>74</v>
      </c>
      <c r="BQ49" t="s">
        <v>74</v>
      </c>
      <c r="BR49" t="s">
        <v>105</v>
      </c>
      <c r="BS49" t="s">
        <v>1200</v>
      </c>
      <c r="BT49" t="str">
        <f>HYPERLINK("https%3A%2F%2Fwww.webofscience.com%2Fwos%2Fwoscc%2Ffull-record%2FWOS:000388293800046","View Full Record in Web of Science")</f>
        <v>View Full Record in Web of Science</v>
      </c>
    </row>
    <row r="50" spans="1:72" x14ac:dyDescent="0.15">
      <c r="A50" t="s">
        <v>72</v>
      </c>
      <c r="B50" t="s">
        <v>1201</v>
      </c>
      <c r="C50" t="s">
        <v>74</v>
      </c>
      <c r="D50" t="s">
        <v>74</v>
      </c>
      <c r="E50" t="s">
        <v>74</v>
      </c>
      <c r="F50" t="s">
        <v>1202</v>
      </c>
      <c r="G50" t="s">
        <v>74</v>
      </c>
      <c r="H50" t="s">
        <v>74</v>
      </c>
      <c r="I50" t="s">
        <v>1203</v>
      </c>
      <c r="J50" t="s">
        <v>1088</v>
      </c>
      <c r="K50" t="s">
        <v>74</v>
      </c>
      <c r="L50" t="s">
        <v>74</v>
      </c>
      <c r="M50" t="s">
        <v>78</v>
      </c>
      <c r="N50" t="s">
        <v>79</v>
      </c>
      <c r="O50" t="s">
        <v>74</v>
      </c>
      <c r="P50" t="s">
        <v>74</v>
      </c>
      <c r="Q50" t="s">
        <v>74</v>
      </c>
      <c r="R50" t="s">
        <v>74</v>
      </c>
      <c r="S50" t="s">
        <v>74</v>
      </c>
      <c r="T50" t="s">
        <v>74</v>
      </c>
      <c r="U50" t="s">
        <v>1204</v>
      </c>
      <c r="V50" t="s">
        <v>1205</v>
      </c>
      <c r="W50" t="s">
        <v>1206</v>
      </c>
      <c r="X50" t="s">
        <v>1207</v>
      </c>
      <c r="Y50" t="s">
        <v>340</v>
      </c>
      <c r="Z50" t="s">
        <v>341</v>
      </c>
      <c r="AA50" t="s">
        <v>1208</v>
      </c>
      <c r="AB50" t="s">
        <v>1209</v>
      </c>
      <c r="AC50" t="s">
        <v>1210</v>
      </c>
      <c r="AD50" t="s">
        <v>1211</v>
      </c>
      <c r="AE50" t="s">
        <v>1212</v>
      </c>
      <c r="AF50" t="s">
        <v>74</v>
      </c>
      <c r="AG50">
        <v>55</v>
      </c>
      <c r="AH50">
        <v>71</v>
      </c>
      <c r="AI50">
        <v>81</v>
      </c>
      <c r="AJ50">
        <v>0</v>
      </c>
      <c r="AK50">
        <v>35</v>
      </c>
      <c r="AL50" t="s">
        <v>149</v>
      </c>
      <c r="AM50" t="s">
        <v>123</v>
      </c>
      <c r="AN50" t="s">
        <v>150</v>
      </c>
      <c r="AO50" t="s">
        <v>1100</v>
      </c>
      <c r="AP50" t="s">
        <v>1101</v>
      </c>
      <c r="AQ50" t="s">
        <v>74</v>
      </c>
      <c r="AR50" t="s">
        <v>1102</v>
      </c>
      <c r="AS50" t="s">
        <v>1103</v>
      </c>
      <c r="AT50" t="s">
        <v>1079</v>
      </c>
      <c r="AU50">
        <v>2016</v>
      </c>
      <c r="AV50">
        <v>43</v>
      </c>
      <c r="AW50">
        <v>20</v>
      </c>
      <c r="AX50" t="s">
        <v>74</v>
      </c>
      <c r="AY50" t="s">
        <v>74</v>
      </c>
      <c r="AZ50" t="s">
        <v>74</v>
      </c>
      <c r="BA50" t="s">
        <v>74</v>
      </c>
      <c r="BB50">
        <v>10817</v>
      </c>
      <c r="BC50">
        <v>10825</v>
      </c>
      <c r="BD50" t="s">
        <v>74</v>
      </c>
      <c r="BE50" t="s">
        <v>1213</v>
      </c>
      <c r="BF50" t="str">
        <f>HYPERLINK("http://dx.doi.org/10.1002/2016GL070500","http://dx.doi.org/10.1002/2016GL070500")</f>
        <v>http://dx.doi.org/10.1002/2016GL070500</v>
      </c>
      <c r="BG50" t="s">
        <v>74</v>
      </c>
      <c r="BH50" t="s">
        <v>74</v>
      </c>
      <c r="BI50">
        <v>9</v>
      </c>
      <c r="BJ50" t="s">
        <v>352</v>
      </c>
      <c r="BK50" t="s">
        <v>156</v>
      </c>
      <c r="BL50" t="s">
        <v>177</v>
      </c>
      <c r="BM50" t="s">
        <v>1105</v>
      </c>
      <c r="BN50" t="s">
        <v>74</v>
      </c>
      <c r="BO50" t="s">
        <v>534</v>
      </c>
      <c r="BP50" t="s">
        <v>74</v>
      </c>
      <c r="BQ50" t="s">
        <v>74</v>
      </c>
      <c r="BR50" t="s">
        <v>105</v>
      </c>
      <c r="BS50" t="s">
        <v>1214</v>
      </c>
      <c r="BT50" t="str">
        <f>HYPERLINK("https%3A%2F%2Fwww.webofscience.com%2Fwos%2Fwoscc%2Ffull-record%2FWOS:000388293800045","View Full Record in Web of Science")</f>
        <v>View Full Record in Web of Science</v>
      </c>
    </row>
    <row r="51" spans="1:72" x14ac:dyDescent="0.15">
      <c r="A51" t="s">
        <v>72</v>
      </c>
      <c r="B51" t="s">
        <v>1215</v>
      </c>
      <c r="C51" t="s">
        <v>74</v>
      </c>
      <c r="D51" t="s">
        <v>74</v>
      </c>
      <c r="E51" t="s">
        <v>74</v>
      </c>
      <c r="F51" t="s">
        <v>1216</v>
      </c>
      <c r="G51" t="s">
        <v>74</v>
      </c>
      <c r="H51" t="s">
        <v>74</v>
      </c>
      <c r="I51" t="s">
        <v>1217</v>
      </c>
      <c r="J51" t="s">
        <v>1218</v>
      </c>
      <c r="K51" t="s">
        <v>74</v>
      </c>
      <c r="L51" t="s">
        <v>74</v>
      </c>
      <c r="M51" t="s">
        <v>78</v>
      </c>
      <c r="N51" t="s">
        <v>79</v>
      </c>
      <c r="O51" t="s">
        <v>74</v>
      </c>
      <c r="P51" t="s">
        <v>74</v>
      </c>
      <c r="Q51" t="s">
        <v>74</v>
      </c>
      <c r="R51" t="s">
        <v>74</v>
      </c>
      <c r="S51" t="s">
        <v>74</v>
      </c>
      <c r="T51" t="s">
        <v>74</v>
      </c>
      <c r="U51" t="s">
        <v>1219</v>
      </c>
      <c r="V51" t="s">
        <v>1220</v>
      </c>
      <c r="W51" t="s">
        <v>1221</v>
      </c>
      <c r="X51" t="s">
        <v>1222</v>
      </c>
      <c r="Y51" t="s">
        <v>1223</v>
      </c>
      <c r="Z51" t="s">
        <v>1224</v>
      </c>
      <c r="AA51" t="s">
        <v>1225</v>
      </c>
      <c r="AB51" t="s">
        <v>1226</v>
      </c>
      <c r="AC51" t="s">
        <v>1227</v>
      </c>
      <c r="AD51" t="s">
        <v>1228</v>
      </c>
      <c r="AE51" t="s">
        <v>1229</v>
      </c>
      <c r="AF51" t="s">
        <v>74</v>
      </c>
      <c r="AG51">
        <v>29</v>
      </c>
      <c r="AH51">
        <v>132</v>
      </c>
      <c r="AI51">
        <v>153</v>
      </c>
      <c r="AJ51">
        <v>18</v>
      </c>
      <c r="AK51">
        <v>194</v>
      </c>
      <c r="AL51" t="s">
        <v>1230</v>
      </c>
      <c r="AM51" t="s">
        <v>123</v>
      </c>
      <c r="AN51" t="s">
        <v>1231</v>
      </c>
      <c r="AO51" t="s">
        <v>1232</v>
      </c>
      <c r="AP51" t="s">
        <v>1233</v>
      </c>
      <c r="AQ51" t="s">
        <v>74</v>
      </c>
      <c r="AR51" t="s">
        <v>1218</v>
      </c>
      <c r="AS51" t="s">
        <v>1234</v>
      </c>
      <c r="AT51" t="s">
        <v>1079</v>
      </c>
      <c r="AU51">
        <v>2016</v>
      </c>
      <c r="AV51">
        <v>354</v>
      </c>
      <c r="AW51">
        <v>6311</v>
      </c>
      <c r="AX51" t="s">
        <v>74</v>
      </c>
      <c r="AY51" t="s">
        <v>74</v>
      </c>
      <c r="AZ51" t="s">
        <v>74</v>
      </c>
      <c r="BA51" t="s">
        <v>74</v>
      </c>
      <c r="BB51">
        <v>456</v>
      </c>
      <c r="BC51">
        <v>459</v>
      </c>
      <c r="BD51" t="s">
        <v>74</v>
      </c>
      <c r="BE51" t="s">
        <v>1235</v>
      </c>
      <c r="BF51" t="str">
        <f>HYPERLINK("http://dx.doi.org/10.1126/science.aaf7796","http://dx.doi.org/10.1126/science.aaf7796")</f>
        <v>http://dx.doi.org/10.1126/science.aaf7796</v>
      </c>
      <c r="BG51" t="s">
        <v>74</v>
      </c>
      <c r="BH51" t="s">
        <v>74</v>
      </c>
      <c r="BI51">
        <v>5</v>
      </c>
      <c r="BJ51" t="s">
        <v>719</v>
      </c>
      <c r="BK51" t="s">
        <v>156</v>
      </c>
      <c r="BL51" t="s">
        <v>720</v>
      </c>
      <c r="BM51" t="s">
        <v>1236</v>
      </c>
      <c r="BN51">
        <v>27789839</v>
      </c>
      <c r="BO51" t="s">
        <v>1002</v>
      </c>
      <c r="BP51" t="s">
        <v>74</v>
      </c>
      <c r="BQ51" t="s">
        <v>74</v>
      </c>
      <c r="BR51" t="s">
        <v>105</v>
      </c>
      <c r="BS51" t="s">
        <v>1237</v>
      </c>
      <c r="BT51" t="str">
        <f>HYPERLINK("https%3A%2F%2Fwww.webofscience.com%2Fwos%2Fwoscc%2Ffull-record%2FWOS:000387684400039","View Full Record in Web of Science")</f>
        <v>View Full Record in Web of Science</v>
      </c>
    </row>
    <row r="52" spans="1:72" x14ac:dyDescent="0.15">
      <c r="A52" t="s">
        <v>72</v>
      </c>
      <c r="B52" t="s">
        <v>1238</v>
      </c>
      <c r="C52" t="s">
        <v>74</v>
      </c>
      <c r="D52" t="s">
        <v>74</v>
      </c>
      <c r="E52" t="s">
        <v>74</v>
      </c>
      <c r="F52" t="s">
        <v>1239</v>
      </c>
      <c r="G52" t="s">
        <v>74</v>
      </c>
      <c r="H52" t="s">
        <v>1240</v>
      </c>
      <c r="I52" t="s">
        <v>1241</v>
      </c>
      <c r="J52" t="s">
        <v>1242</v>
      </c>
      <c r="K52" t="s">
        <v>74</v>
      </c>
      <c r="L52" t="s">
        <v>74</v>
      </c>
      <c r="M52" t="s">
        <v>78</v>
      </c>
      <c r="N52" t="s">
        <v>79</v>
      </c>
      <c r="O52" t="s">
        <v>74</v>
      </c>
      <c r="P52" t="s">
        <v>74</v>
      </c>
      <c r="Q52" t="s">
        <v>74</v>
      </c>
      <c r="R52" t="s">
        <v>74</v>
      </c>
      <c r="S52" t="s">
        <v>74</v>
      </c>
      <c r="T52" t="s">
        <v>1243</v>
      </c>
      <c r="U52" t="s">
        <v>1244</v>
      </c>
      <c r="V52" t="s">
        <v>1245</v>
      </c>
      <c r="W52" t="s">
        <v>1246</v>
      </c>
      <c r="X52" t="s">
        <v>1247</v>
      </c>
      <c r="Y52" t="s">
        <v>1248</v>
      </c>
      <c r="Z52" t="s">
        <v>1249</v>
      </c>
      <c r="AA52" t="s">
        <v>1250</v>
      </c>
      <c r="AB52" t="s">
        <v>1251</v>
      </c>
      <c r="AC52" t="s">
        <v>1252</v>
      </c>
      <c r="AD52" t="s">
        <v>1253</v>
      </c>
      <c r="AE52" t="s">
        <v>1254</v>
      </c>
      <c r="AF52" t="s">
        <v>74</v>
      </c>
      <c r="AG52">
        <v>111</v>
      </c>
      <c r="AH52">
        <v>30</v>
      </c>
      <c r="AI52">
        <v>36</v>
      </c>
      <c r="AJ52">
        <v>3</v>
      </c>
      <c r="AK52">
        <v>63</v>
      </c>
      <c r="AL52" t="s">
        <v>1255</v>
      </c>
      <c r="AM52" t="s">
        <v>1256</v>
      </c>
      <c r="AN52" t="s">
        <v>1257</v>
      </c>
      <c r="AO52" t="s">
        <v>1258</v>
      </c>
      <c r="AP52" t="s">
        <v>74</v>
      </c>
      <c r="AQ52" t="s">
        <v>74</v>
      </c>
      <c r="AR52" t="s">
        <v>1259</v>
      </c>
      <c r="AS52" t="s">
        <v>1260</v>
      </c>
      <c r="AT52" t="s">
        <v>1261</v>
      </c>
      <c r="AU52">
        <v>2016</v>
      </c>
      <c r="AV52">
        <v>7</v>
      </c>
      <c r="AW52" t="s">
        <v>74</v>
      </c>
      <c r="AX52" t="s">
        <v>74</v>
      </c>
      <c r="AY52" t="s">
        <v>74</v>
      </c>
      <c r="AZ52" t="s">
        <v>74</v>
      </c>
      <c r="BA52" t="s">
        <v>74</v>
      </c>
      <c r="BB52" t="s">
        <v>74</v>
      </c>
      <c r="BC52" t="s">
        <v>74</v>
      </c>
      <c r="BD52">
        <v>1705</v>
      </c>
      <c r="BE52" t="s">
        <v>1262</v>
      </c>
      <c r="BF52" t="str">
        <f>HYPERLINK("http://dx.doi.org/10.3389/fmicb.2016.01705","http://dx.doi.org/10.3389/fmicb.2016.01705")</f>
        <v>http://dx.doi.org/10.3389/fmicb.2016.01705</v>
      </c>
      <c r="BG52" t="s">
        <v>74</v>
      </c>
      <c r="BH52" t="s">
        <v>74</v>
      </c>
      <c r="BI52">
        <v>16</v>
      </c>
      <c r="BJ52" t="s">
        <v>130</v>
      </c>
      <c r="BK52" t="s">
        <v>156</v>
      </c>
      <c r="BL52" t="s">
        <v>130</v>
      </c>
      <c r="BM52" t="s">
        <v>1263</v>
      </c>
      <c r="BN52">
        <v>27833599</v>
      </c>
      <c r="BO52" t="s">
        <v>133</v>
      </c>
      <c r="BP52" t="s">
        <v>74</v>
      </c>
      <c r="BQ52" t="s">
        <v>74</v>
      </c>
      <c r="BR52" t="s">
        <v>105</v>
      </c>
      <c r="BS52" t="s">
        <v>1264</v>
      </c>
      <c r="BT52" t="str">
        <f>HYPERLINK("https%3A%2F%2Fwww.webofscience.com%2Fwos%2Fwoscc%2Ffull-record%2FWOS:000388640300001","View Full Record in Web of Science")</f>
        <v>View Full Record in Web of Science</v>
      </c>
    </row>
    <row r="53" spans="1:72" x14ac:dyDescent="0.15">
      <c r="A53" t="s">
        <v>72</v>
      </c>
      <c r="B53" t="s">
        <v>1265</v>
      </c>
      <c r="C53" t="s">
        <v>74</v>
      </c>
      <c r="D53" t="s">
        <v>74</v>
      </c>
      <c r="E53" t="s">
        <v>74</v>
      </c>
      <c r="F53" t="s">
        <v>1266</v>
      </c>
      <c r="G53" t="s">
        <v>74</v>
      </c>
      <c r="H53" t="s">
        <v>74</v>
      </c>
      <c r="I53" t="s">
        <v>1267</v>
      </c>
      <c r="J53" t="s">
        <v>1268</v>
      </c>
      <c r="K53" t="s">
        <v>74</v>
      </c>
      <c r="L53" t="s">
        <v>74</v>
      </c>
      <c r="M53" t="s">
        <v>78</v>
      </c>
      <c r="N53" t="s">
        <v>79</v>
      </c>
      <c r="O53" t="s">
        <v>74</v>
      </c>
      <c r="P53" t="s">
        <v>74</v>
      </c>
      <c r="Q53" t="s">
        <v>74</v>
      </c>
      <c r="R53" t="s">
        <v>74</v>
      </c>
      <c r="S53" t="s">
        <v>74</v>
      </c>
      <c r="T53" t="s">
        <v>74</v>
      </c>
      <c r="U53" t="s">
        <v>1269</v>
      </c>
      <c r="V53" t="s">
        <v>1270</v>
      </c>
      <c r="W53" t="s">
        <v>1271</v>
      </c>
      <c r="X53" t="s">
        <v>1272</v>
      </c>
      <c r="Y53" t="s">
        <v>1273</v>
      </c>
      <c r="Z53" t="s">
        <v>1274</v>
      </c>
      <c r="AA53" t="s">
        <v>1275</v>
      </c>
      <c r="AB53" t="s">
        <v>1276</v>
      </c>
      <c r="AC53" t="s">
        <v>1277</v>
      </c>
      <c r="AD53" t="s">
        <v>1278</v>
      </c>
      <c r="AE53" t="s">
        <v>74</v>
      </c>
      <c r="AF53" t="s">
        <v>74</v>
      </c>
      <c r="AG53">
        <v>139</v>
      </c>
      <c r="AH53">
        <v>76</v>
      </c>
      <c r="AI53">
        <v>82</v>
      </c>
      <c r="AJ53">
        <v>2</v>
      </c>
      <c r="AK53">
        <v>29</v>
      </c>
      <c r="AL53" t="s">
        <v>1279</v>
      </c>
      <c r="AM53" t="s">
        <v>1280</v>
      </c>
      <c r="AN53" t="s">
        <v>1281</v>
      </c>
      <c r="AO53" t="s">
        <v>1282</v>
      </c>
      <c r="AP53" t="s">
        <v>74</v>
      </c>
      <c r="AQ53" t="s">
        <v>74</v>
      </c>
      <c r="AR53" t="s">
        <v>1283</v>
      </c>
      <c r="AS53" t="s">
        <v>1284</v>
      </c>
      <c r="AT53" t="s">
        <v>1261</v>
      </c>
      <c r="AU53">
        <v>2016</v>
      </c>
      <c r="AV53">
        <v>4</v>
      </c>
      <c r="AW53" t="s">
        <v>74</v>
      </c>
      <c r="AX53" t="s">
        <v>74</v>
      </c>
      <c r="AY53" t="s">
        <v>74</v>
      </c>
      <c r="AZ53" t="s">
        <v>74</v>
      </c>
      <c r="BA53" t="s">
        <v>74</v>
      </c>
      <c r="BB53" t="s">
        <v>74</v>
      </c>
      <c r="BC53" t="s">
        <v>74</v>
      </c>
      <c r="BD53">
        <v>130</v>
      </c>
      <c r="BE53" t="s">
        <v>1285</v>
      </c>
      <c r="BF53" t="str">
        <f>HYPERLINK("http://dx.doi.org/10.12952/journal.elementa.000130","http://dx.doi.org/10.12952/journal.elementa.000130")</f>
        <v>http://dx.doi.org/10.12952/journal.elementa.000130</v>
      </c>
      <c r="BG53" t="s">
        <v>74</v>
      </c>
      <c r="BH53" t="s">
        <v>74</v>
      </c>
      <c r="BI53">
        <v>19</v>
      </c>
      <c r="BJ53" t="s">
        <v>1286</v>
      </c>
      <c r="BK53" t="s">
        <v>156</v>
      </c>
      <c r="BL53" t="s">
        <v>825</v>
      </c>
      <c r="BM53" t="s">
        <v>1287</v>
      </c>
      <c r="BN53" t="s">
        <v>74</v>
      </c>
      <c r="BO53" t="s">
        <v>1288</v>
      </c>
      <c r="BP53" t="s">
        <v>74</v>
      </c>
      <c r="BQ53" t="s">
        <v>74</v>
      </c>
      <c r="BR53" t="s">
        <v>105</v>
      </c>
      <c r="BS53" t="s">
        <v>1289</v>
      </c>
      <c r="BT53" t="str">
        <f>HYPERLINK("https%3A%2F%2Fwww.webofscience.com%2Fwos%2Fwoscc%2Ffull-record%2FWOS:000389922700001","View Full Record in Web of Science")</f>
        <v>View Full Record in Web of Science</v>
      </c>
    </row>
    <row r="54" spans="1:72" x14ac:dyDescent="0.15">
      <c r="A54" t="s">
        <v>72</v>
      </c>
      <c r="B54" t="s">
        <v>1290</v>
      </c>
      <c r="C54" t="s">
        <v>74</v>
      </c>
      <c r="D54" t="s">
        <v>74</v>
      </c>
      <c r="E54" t="s">
        <v>74</v>
      </c>
      <c r="F54" t="s">
        <v>1291</v>
      </c>
      <c r="G54" t="s">
        <v>74</v>
      </c>
      <c r="H54" t="s">
        <v>74</v>
      </c>
      <c r="I54" t="s">
        <v>1292</v>
      </c>
      <c r="J54" t="s">
        <v>1293</v>
      </c>
      <c r="K54" t="s">
        <v>74</v>
      </c>
      <c r="L54" t="s">
        <v>74</v>
      </c>
      <c r="M54" t="s">
        <v>78</v>
      </c>
      <c r="N54" t="s">
        <v>79</v>
      </c>
      <c r="O54" t="s">
        <v>74</v>
      </c>
      <c r="P54" t="s">
        <v>74</v>
      </c>
      <c r="Q54" t="s">
        <v>74</v>
      </c>
      <c r="R54" t="s">
        <v>74</v>
      </c>
      <c r="S54" t="s">
        <v>74</v>
      </c>
      <c r="T54" t="s">
        <v>74</v>
      </c>
      <c r="U54" t="s">
        <v>1294</v>
      </c>
      <c r="V54" t="s">
        <v>1295</v>
      </c>
      <c r="W54" t="s">
        <v>1296</v>
      </c>
      <c r="X54" t="s">
        <v>1297</v>
      </c>
      <c r="Y54" t="s">
        <v>1298</v>
      </c>
      <c r="Z54" t="s">
        <v>1299</v>
      </c>
      <c r="AA54" t="s">
        <v>1300</v>
      </c>
      <c r="AB54" t="s">
        <v>1301</v>
      </c>
      <c r="AC54" t="s">
        <v>1302</v>
      </c>
      <c r="AD54" t="s">
        <v>1303</v>
      </c>
      <c r="AE54" t="s">
        <v>1304</v>
      </c>
      <c r="AF54" t="s">
        <v>74</v>
      </c>
      <c r="AG54">
        <v>29</v>
      </c>
      <c r="AH54">
        <v>11</v>
      </c>
      <c r="AI54">
        <v>11</v>
      </c>
      <c r="AJ54">
        <v>0</v>
      </c>
      <c r="AK54">
        <v>12</v>
      </c>
      <c r="AL54" t="s">
        <v>1305</v>
      </c>
      <c r="AM54" t="s">
        <v>1306</v>
      </c>
      <c r="AN54" t="s">
        <v>1307</v>
      </c>
      <c r="AO54" t="s">
        <v>1308</v>
      </c>
      <c r="AP54" t="s">
        <v>1309</v>
      </c>
      <c r="AQ54" t="s">
        <v>74</v>
      </c>
      <c r="AR54" t="s">
        <v>1293</v>
      </c>
      <c r="AS54" t="s">
        <v>1310</v>
      </c>
      <c r="AT54" t="s">
        <v>1311</v>
      </c>
      <c r="AU54">
        <v>2016</v>
      </c>
      <c r="AV54">
        <v>10</v>
      </c>
      <c r="AW54">
        <v>5</v>
      </c>
      <c r="AX54" t="s">
        <v>74</v>
      </c>
      <c r="AY54" t="s">
        <v>74</v>
      </c>
      <c r="AZ54" t="s">
        <v>74</v>
      </c>
      <c r="BA54" t="s">
        <v>74</v>
      </c>
      <c r="BB54">
        <v>2533</v>
      </c>
      <c r="BC54">
        <v>2539</v>
      </c>
      <c r="BD54" t="s">
        <v>74</v>
      </c>
      <c r="BE54" t="s">
        <v>1312</v>
      </c>
      <c r="BF54" t="str">
        <f>HYPERLINK("http://dx.doi.org/10.5194/tc-10-2533-2016","http://dx.doi.org/10.5194/tc-10-2533-2016")</f>
        <v>http://dx.doi.org/10.5194/tc-10-2533-2016</v>
      </c>
      <c r="BG54" t="s">
        <v>74</v>
      </c>
      <c r="BH54" t="s">
        <v>74</v>
      </c>
      <c r="BI54">
        <v>7</v>
      </c>
      <c r="BJ54" t="s">
        <v>203</v>
      </c>
      <c r="BK54" t="s">
        <v>156</v>
      </c>
      <c r="BL54" t="s">
        <v>204</v>
      </c>
      <c r="BM54" t="s">
        <v>1313</v>
      </c>
      <c r="BN54" t="s">
        <v>74</v>
      </c>
      <c r="BO54" t="s">
        <v>1314</v>
      </c>
      <c r="BP54" t="s">
        <v>74</v>
      </c>
      <c r="BQ54" t="s">
        <v>74</v>
      </c>
      <c r="BR54" t="s">
        <v>105</v>
      </c>
      <c r="BS54" t="s">
        <v>1315</v>
      </c>
      <c r="BT54" t="str">
        <f>HYPERLINK("https%3A%2F%2Fwww.webofscience.com%2Fwos%2Fwoscc%2Ffull-record%2FWOS:000387127500001","View Full Record in Web of Science")</f>
        <v>View Full Record in Web of Science</v>
      </c>
    </row>
    <row r="55" spans="1:72" x14ac:dyDescent="0.15">
      <c r="A55" t="s">
        <v>72</v>
      </c>
      <c r="B55" t="s">
        <v>1316</v>
      </c>
      <c r="C55" t="s">
        <v>74</v>
      </c>
      <c r="D55" t="s">
        <v>74</v>
      </c>
      <c r="E55" t="s">
        <v>74</v>
      </c>
      <c r="F55" t="s">
        <v>1317</v>
      </c>
      <c r="G55" t="s">
        <v>74</v>
      </c>
      <c r="H55" t="s">
        <v>74</v>
      </c>
      <c r="I55" t="s">
        <v>1318</v>
      </c>
      <c r="J55" t="s">
        <v>1319</v>
      </c>
      <c r="K55" t="s">
        <v>74</v>
      </c>
      <c r="L55" t="s">
        <v>74</v>
      </c>
      <c r="M55" t="s">
        <v>78</v>
      </c>
      <c r="N55" t="s">
        <v>79</v>
      </c>
      <c r="O55" t="s">
        <v>74</v>
      </c>
      <c r="P55" t="s">
        <v>74</v>
      </c>
      <c r="Q55" t="s">
        <v>74</v>
      </c>
      <c r="R55" t="s">
        <v>74</v>
      </c>
      <c r="S55" t="s">
        <v>74</v>
      </c>
      <c r="T55" t="s">
        <v>74</v>
      </c>
      <c r="U55" t="s">
        <v>1320</v>
      </c>
      <c r="V55" t="s">
        <v>1321</v>
      </c>
      <c r="W55" t="s">
        <v>1322</v>
      </c>
      <c r="X55" t="s">
        <v>1323</v>
      </c>
      <c r="Y55" t="s">
        <v>1324</v>
      </c>
      <c r="Z55" t="s">
        <v>1325</v>
      </c>
      <c r="AA55" t="s">
        <v>1326</v>
      </c>
      <c r="AB55" t="s">
        <v>1327</v>
      </c>
      <c r="AC55" t="s">
        <v>1328</v>
      </c>
      <c r="AD55" t="s">
        <v>1329</v>
      </c>
      <c r="AE55" t="s">
        <v>1330</v>
      </c>
      <c r="AF55" t="s">
        <v>74</v>
      </c>
      <c r="AG55">
        <v>47</v>
      </c>
      <c r="AH55">
        <v>131</v>
      </c>
      <c r="AI55">
        <v>138</v>
      </c>
      <c r="AJ55">
        <v>3</v>
      </c>
      <c r="AK55">
        <v>44</v>
      </c>
      <c r="AL55" t="s">
        <v>1305</v>
      </c>
      <c r="AM55" t="s">
        <v>1306</v>
      </c>
      <c r="AN55" t="s">
        <v>1307</v>
      </c>
      <c r="AO55" t="s">
        <v>1331</v>
      </c>
      <c r="AP55" t="s">
        <v>1332</v>
      </c>
      <c r="AQ55" t="s">
        <v>74</v>
      </c>
      <c r="AR55" t="s">
        <v>1333</v>
      </c>
      <c r="AS55" t="s">
        <v>1334</v>
      </c>
      <c r="AT55" t="s">
        <v>1311</v>
      </c>
      <c r="AU55">
        <v>2016</v>
      </c>
      <c r="AV55">
        <v>8</v>
      </c>
      <c r="AW55">
        <v>2</v>
      </c>
      <c r="AX55" t="s">
        <v>74</v>
      </c>
      <c r="AY55" t="s">
        <v>74</v>
      </c>
      <c r="AZ55" t="s">
        <v>74</v>
      </c>
      <c r="BA55" t="s">
        <v>74</v>
      </c>
      <c r="BB55">
        <v>543</v>
      </c>
      <c r="BC55">
        <v>557</v>
      </c>
      <c r="BD55" t="s">
        <v>74</v>
      </c>
      <c r="BE55" t="s">
        <v>1335</v>
      </c>
      <c r="BF55" t="str">
        <f>HYPERLINK("http://dx.doi.org/10.5194/essd-8-543-2016","http://dx.doi.org/10.5194/essd-8-543-2016")</f>
        <v>http://dx.doi.org/10.5194/essd-8-543-2016</v>
      </c>
      <c r="BG55" t="s">
        <v>74</v>
      </c>
      <c r="BH55" t="s">
        <v>74</v>
      </c>
      <c r="BI55">
        <v>15</v>
      </c>
      <c r="BJ55" t="s">
        <v>1336</v>
      </c>
      <c r="BK55" t="s">
        <v>156</v>
      </c>
      <c r="BL55" t="s">
        <v>1337</v>
      </c>
      <c r="BM55" t="s">
        <v>1338</v>
      </c>
      <c r="BN55" t="s">
        <v>74</v>
      </c>
      <c r="BO55" t="s">
        <v>1339</v>
      </c>
      <c r="BP55" t="s">
        <v>74</v>
      </c>
      <c r="BQ55" t="s">
        <v>74</v>
      </c>
      <c r="BR55" t="s">
        <v>105</v>
      </c>
      <c r="BS55" t="s">
        <v>1340</v>
      </c>
      <c r="BT55" t="str">
        <f>HYPERLINK("https%3A%2F%2Fwww.webofscience.com%2Fwos%2Fwoscc%2Ffull-record%2FWOS:000387120100001","View Full Record in Web of Science")</f>
        <v>View Full Record in Web of Science</v>
      </c>
    </row>
    <row r="56" spans="1:72" x14ac:dyDescent="0.15">
      <c r="A56" t="s">
        <v>72</v>
      </c>
      <c r="B56" t="s">
        <v>1341</v>
      </c>
      <c r="C56" t="s">
        <v>74</v>
      </c>
      <c r="D56" t="s">
        <v>74</v>
      </c>
      <c r="E56" t="s">
        <v>74</v>
      </c>
      <c r="F56" t="s">
        <v>1342</v>
      </c>
      <c r="G56" t="s">
        <v>74</v>
      </c>
      <c r="H56" t="s">
        <v>74</v>
      </c>
      <c r="I56" t="s">
        <v>1343</v>
      </c>
      <c r="J56" t="s">
        <v>1072</v>
      </c>
      <c r="K56" t="s">
        <v>74</v>
      </c>
      <c r="L56" t="s">
        <v>74</v>
      </c>
      <c r="M56" t="s">
        <v>78</v>
      </c>
      <c r="N56" t="s">
        <v>79</v>
      </c>
      <c r="O56" t="s">
        <v>74</v>
      </c>
      <c r="P56" t="s">
        <v>74</v>
      </c>
      <c r="Q56" t="s">
        <v>74</v>
      </c>
      <c r="R56" t="s">
        <v>74</v>
      </c>
      <c r="S56" t="s">
        <v>74</v>
      </c>
      <c r="T56" t="s">
        <v>74</v>
      </c>
      <c r="U56" t="s">
        <v>1344</v>
      </c>
      <c r="V56" t="s">
        <v>1345</v>
      </c>
      <c r="W56" t="s">
        <v>1346</v>
      </c>
      <c r="X56" t="s">
        <v>1347</v>
      </c>
      <c r="Y56" t="s">
        <v>1348</v>
      </c>
      <c r="Z56" t="s">
        <v>1349</v>
      </c>
      <c r="AA56" t="s">
        <v>1350</v>
      </c>
      <c r="AB56" t="s">
        <v>1351</v>
      </c>
      <c r="AC56" t="s">
        <v>1352</v>
      </c>
      <c r="AD56" t="s">
        <v>1353</v>
      </c>
      <c r="AE56" t="s">
        <v>1354</v>
      </c>
      <c r="AF56" t="s">
        <v>74</v>
      </c>
      <c r="AG56">
        <v>51</v>
      </c>
      <c r="AH56">
        <v>39</v>
      </c>
      <c r="AI56">
        <v>40</v>
      </c>
      <c r="AJ56">
        <v>4</v>
      </c>
      <c r="AK56">
        <v>35</v>
      </c>
      <c r="AL56" t="s">
        <v>1074</v>
      </c>
      <c r="AM56" t="s">
        <v>1075</v>
      </c>
      <c r="AN56" t="s">
        <v>1076</v>
      </c>
      <c r="AO56" t="s">
        <v>1077</v>
      </c>
      <c r="AP56" t="s">
        <v>74</v>
      </c>
      <c r="AQ56" t="s">
        <v>74</v>
      </c>
      <c r="AR56" t="s">
        <v>1072</v>
      </c>
      <c r="AS56" t="s">
        <v>1078</v>
      </c>
      <c r="AT56" t="s">
        <v>1311</v>
      </c>
      <c r="AU56">
        <v>2016</v>
      </c>
      <c r="AV56">
        <v>11</v>
      </c>
      <c r="AW56">
        <v>10</v>
      </c>
      <c r="AX56" t="s">
        <v>74</v>
      </c>
      <c r="AY56" t="s">
        <v>74</v>
      </c>
      <c r="AZ56" t="s">
        <v>74</v>
      </c>
      <c r="BA56" t="s">
        <v>74</v>
      </c>
      <c r="BB56" t="s">
        <v>74</v>
      </c>
      <c r="BC56" t="s">
        <v>74</v>
      </c>
      <c r="BD56" t="s">
        <v>1355</v>
      </c>
      <c r="BE56" t="s">
        <v>1356</v>
      </c>
      <c r="BF56" t="str">
        <f>HYPERLINK("http://dx.doi.org/10.1371/journal.pone.0164025","http://dx.doi.org/10.1371/journal.pone.0164025")</f>
        <v>http://dx.doi.org/10.1371/journal.pone.0164025</v>
      </c>
      <c r="BG56" t="s">
        <v>74</v>
      </c>
      <c r="BH56" t="s">
        <v>74</v>
      </c>
      <c r="BI56">
        <v>15</v>
      </c>
      <c r="BJ56" t="s">
        <v>719</v>
      </c>
      <c r="BK56" t="s">
        <v>156</v>
      </c>
      <c r="BL56" t="s">
        <v>720</v>
      </c>
      <c r="BM56" t="s">
        <v>1357</v>
      </c>
      <c r="BN56">
        <v>27783668</v>
      </c>
      <c r="BO56" t="s">
        <v>1358</v>
      </c>
      <c r="BP56" t="s">
        <v>74</v>
      </c>
      <c r="BQ56" t="s">
        <v>74</v>
      </c>
      <c r="BR56" t="s">
        <v>105</v>
      </c>
      <c r="BS56" t="s">
        <v>1359</v>
      </c>
      <c r="BT56" t="str">
        <f>HYPERLINK("https%3A%2F%2Fwww.webofscience.com%2Fwos%2Fwoscc%2Ffull-record%2FWOS:000389602800024","View Full Record in Web of Science")</f>
        <v>View Full Record in Web of Science</v>
      </c>
    </row>
    <row r="57" spans="1:72" x14ac:dyDescent="0.15">
      <c r="A57" t="s">
        <v>72</v>
      </c>
      <c r="B57" t="s">
        <v>1360</v>
      </c>
      <c r="C57" t="s">
        <v>74</v>
      </c>
      <c r="D57" t="s">
        <v>74</v>
      </c>
      <c r="E57" t="s">
        <v>74</v>
      </c>
      <c r="F57" t="s">
        <v>1361</v>
      </c>
      <c r="G57" t="s">
        <v>74</v>
      </c>
      <c r="H57" t="s">
        <v>74</v>
      </c>
      <c r="I57" t="s">
        <v>1362</v>
      </c>
      <c r="J57" t="s">
        <v>1293</v>
      </c>
      <c r="K57" t="s">
        <v>74</v>
      </c>
      <c r="L57" t="s">
        <v>74</v>
      </c>
      <c r="M57" t="s">
        <v>78</v>
      </c>
      <c r="N57" t="s">
        <v>79</v>
      </c>
      <c r="O57" t="s">
        <v>74</v>
      </c>
      <c r="P57" t="s">
        <v>74</v>
      </c>
      <c r="Q57" t="s">
        <v>74</v>
      </c>
      <c r="R57" t="s">
        <v>74</v>
      </c>
      <c r="S57" t="s">
        <v>74</v>
      </c>
      <c r="T57" t="s">
        <v>74</v>
      </c>
      <c r="U57" t="s">
        <v>1363</v>
      </c>
      <c r="V57" t="s">
        <v>1364</v>
      </c>
      <c r="W57" t="s">
        <v>1365</v>
      </c>
      <c r="X57" t="s">
        <v>1366</v>
      </c>
      <c r="Y57" t="s">
        <v>1367</v>
      </c>
      <c r="Z57" t="s">
        <v>1368</v>
      </c>
      <c r="AA57" t="s">
        <v>1369</v>
      </c>
      <c r="AB57" t="s">
        <v>1370</v>
      </c>
      <c r="AC57" t="s">
        <v>1371</v>
      </c>
      <c r="AD57" t="s">
        <v>1372</v>
      </c>
      <c r="AE57" t="s">
        <v>1373</v>
      </c>
      <c r="AF57" t="s">
        <v>74</v>
      </c>
      <c r="AG57">
        <v>82</v>
      </c>
      <c r="AH57">
        <v>35</v>
      </c>
      <c r="AI57">
        <v>35</v>
      </c>
      <c r="AJ57">
        <v>0</v>
      </c>
      <c r="AK57">
        <v>13</v>
      </c>
      <c r="AL57" t="s">
        <v>1305</v>
      </c>
      <c r="AM57" t="s">
        <v>1306</v>
      </c>
      <c r="AN57" t="s">
        <v>1307</v>
      </c>
      <c r="AO57" t="s">
        <v>1308</v>
      </c>
      <c r="AP57" t="s">
        <v>1309</v>
      </c>
      <c r="AQ57" t="s">
        <v>74</v>
      </c>
      <c r="AR57" t="s">
        <v>1293</v>
      </c>
      <c r="AS57" t="s">
        <v>1310</v>
      </c>
      <c r="AT57" t="s">
        <v>1374</v>
      </c>
      <c r="AU57">
        <v>2016</v>
      </c>
      <c r="AV57">
        <v>10</v>
      </c>
      <c r="AW57">
        <v>5</v>
      </c>
      <c r="AX57" t="s">
        <v>74</v>
      </c>
      <c r="AY57" t="s">
        <v>74</v>
      </c>
      <c r="AZ57" t="s">
        <v>74</v>
      </c>
      <c r="BA57" t="s">
        <v>74</v>
      </c>
      <c r="BB57">
        <v>2501</v>
      </c>
      <c r="BC57">
        <v>2516</v>
      </c>
      <c r="BD57" t="s">
        <v>74</v>
      </c>
      <c r="BE57" t="s">
        <v>1375</v>
      </c>
      <c r="BF57" t="str">
        <f>HYPERLINK("http://dx.doi.org/10.5194/tc-10-2501-2016","http://dx.doi.org/10.5194/tc-10-2501-2016")</f>
        <v>http://dx.doi.org/10.5194/tc-10-2501-2016</v>
      </c>
      <c r="BG57" t="s">
        <v>74</v>
      </c>
      <c r="BH57" t="s">
        <v>74</v>
      </c>
      <c r="BI57">
        <v>16</v>
      </c>
      <c r="BJ57" t="s">
        <v>203</v>
      </c>
      <c r="BK57" t="s">
        <v>156</v>
      </c>
      <c r="BL57" t="s">
        <v>204</v>
      </c>
      <c r="BM57" t="s">
        <v>1376</v>
      </c>
      <c r="BN57" t="s">
        <v>74</v>
      </c>
      <c r="BO57" t="s">
        <v>1377</v>
      </c>
      <c r="BP57" t="s">
        <v>74</v>
      </c>
      <c r="BQ57" t="s">
        <v>74</v>
      </c>
      <c r="BR57" t="s">
        <v>105</v>
      </c>
      <c r="BS57" t="s">
        <v>1378</v>
      </c>
      <c r="BT57" t="str">
        <f>HYPERLINK("https%3A%2F%2Fwww.webofscience.com%2Fwos%2Fwoscc%2Ffull-record%2FWOS:000387065300001","View Full Record in Web of Science")</f>
        <v>View Full Record in Web of Science</v>
      </c>
    </row>
    <row r="58" spans="1:72" x14ac:dyDescent="0.15">
      <c r="A58" t="s">
        <v>72</v>
      </c>
      <c r="B58" t="s">
        <v>1379</v>
      </c>
      <c r="C58" t="s">
        <v>74</v>
      </c>
      <c r="D58" t="s">
        <v>74</v>
      </c>
      <c r="E58" t="s">
        <v>74</v>
      </c>
      <c r="F58" t="s">
        <v>1380</v>
      </c>
      <c r="G58" t="s">
        <v>74</v>
      </c>
      <c r="H58" t="s">
        <v>74</v>
      </c>
      <c r="I58" t="s">
        <v>1381</v>
      </c>
      <c r="J58" t="s">
        <v>1382</v>
      </c>
      <c r="K58" t="s">
        <v>74</v>
      </c>
      <c r="L58" t="s">
        <v>74</v>
      </c>
      <c r="M58" t="s">
        <v>78</v>
      </c>
      <c r="N58" t="s">
        <v>79</v>
      </c>
      <c r="O58" t="s">
        <v>74</v>
      </c>
      <c r="P58" t="s">
        <v>74</v>
      </c>
      <c r="Q58" t="s">
        <v>74</v>
      </c>
      <c r="R58" t="s">
        <v>74</v>
      </c>
      <c r="S58" t="s">
        <v>74</v>
      </c>
      <c r="T58" t="s">
        <v>1383</v>
      </c>
      <c r="U58" t="s">
        <v>1384</v>
      </c>
      <c r="V58" t="s">
        <v>1385</v>
      </c>
      <c r="W58" t="s">
        <v>1386</v>
      </c>
      <c r="X58" t="s">
        <v>1387</v>
      </c>
      <c r="Y58" t="s">
        <v>1388</v>
      </c>
      <c r="Z58" t="s">
        <v>1389</v>
      </c>
      <c r="AA58" t="s">
        <v>1390</v>
      </c>
      <c r="AB58" t="s">
        <v>1391</v>
      </c>
      <c r="AC58" t="s">
        <v>1392</v>
      </c>
      <c r="AD58" t="s">
        <v>1393</v>
      </c>
      <c r="AE58" t="s">
        <v>1394</v>
      </c>
      <c r="AF58" t="s">
        <v>74</v>
      </c>
      <c r="AG58">
        <v>46</v>
      </c>
      <c r="AH58">
        <v>4</v>
      </c>
      <c r="AI58">
        <v>4</v>
      </c>
      <c r="AJ58">
        <v>4</v>
      </c>
      <c r="AK58">
        <v>62</v>
      </c>
      <c r="AL58" t="s">
        <v>92</v>
      </c>
      <c r="AM58" t="s">
        <v>93</v>
      </c>
      <c r="AN58" t="s">
        <v>94</v>
      </c>
      <c r="AO58" t="s">
        <v>1395</v>
      </c>
      <c r="AP58" t="s">
        <v>1396</v>
      </c>
      <c r="AQ58" t="s">
        <v>74</v>
      </c>
      <c r="AR58" t="s">
        <v>1397</v>
      </c>
      <c r="AS58" t="s">
        <v>1398</v>
      </c>
      <c r="AT58" t="s">
        <v>1374</v>
      </c>
      <c r="AU58">
        <v>2016</v>
      </c>
      <c r="AV58">
        <v>437</v>
      </c>
      <c r="AW58" t="s">
        <v>74</v>
      </c>
      <c r="AX58" t="s">
        <v>74</v>
      </c>
      <c r="AY58" t="s">
        <v>74</v>
      </c>
      <c r="AZ58" t="s">
        <v>74</v>
      </c>
      <c r="BA58" t="s">
        <v>74</v>
      </c>
      <c r="BB58">
        <v>1</v>
      </c>
      <c r="BC58">
        <v>6</v>
      </c>
      <c r="BD58" t="s">
        <v>74</v>
      </c>
      <c r="BE58" t="s">
        <v>1399</v>
      </c>
      <c r="BF58" t="str">
        <f>HYPERLINK("http://dx.doi.org/10.1016/j.chemgeo.2016.05.010","http://dx.doi.org/10.1016/j.chemgeo.2016.05.010")</f>
        <v>http://dx.doi.org/10.1016/j.chemgeo.2016.05.010</v>
      </c>
      <c r="BG58" t="s">
        <v>74</v>
      </c>
      <c r="BH58" t="s">
        <v>74</v>
      </c>
      <c r="BI58">
        <v>6</v>
      </c>
      <c r="BJ58" t="s">
        <v>155</v>
      </c>
      <c r="BK58" t="s">
        <v>156</v>
      </c>
      <c r="BL58" t="s">
        <v>155</v>
      </c>
      <c r="BM58" t="s">
        <v>1400</v>
      </c>
      <c r="BN58" t="s">
        <v>74</v>
      </c>
      <c r="BO58" t="s">
        <v>74</v>
      </c>
      <c r="BP58" t="s">
        <v>74</v>
      </c>
      <c r="BQ58" t="s">
        <v>74</v>
      </c>
      <c r="BR58" t="s">
        <v>105</v>
      </c>
      <c r="BS58" t="s">
        <v>1401</v>
      </c>
      <c r="BT58" t="str">
        <f>HYPERLINK("https%3A%2F%2Fwww.webofscience.com%2Fwos%2Fwoscc%2Ffull-record%2FWOS:000378936800001","View Full Record in Web of Science")</f>
        <v>View Full Record in Web of Science</v>
      </c>
    </row>
    <row r="59" spans="1:72" x14ac:dyDescent="0.15">
      <c r="A59" t="s">
        <v>72</v>
      </c>
      <c r="B59" t="s">
        <v>1402</v>
      </c>
      <c r="C59" t="s">
        <v>74</v>
      </c>
      <c r="D59" t="s">
        <v>74</v>
      </c>
      <c r="E59" t="s">
        <v>74</v>
      </c>
      <c r="F59" t="s">
        <v>1403</v>
      </c>
      <c r="G59" t="s">
        <v>74</v>
      </c>
      <c r="H59" t="s">
        <v>74</v>
      </c>
      <c r="I59" t="s">
        <v>1404</v>
      </c>
      <c r="J59" t="s">
        <v>1072</v>
      </c>
      <c r="K59" t="s">
        <v>74</v>
      </c>
      <c r="L59" t="s">
        <v>74</v>
      </c>
      <c r="M59" t="s">
        <v>78</v>
      </c>
      <c r="N59" t="s">
        <v>79</v>
      </c>
      <c r="O59" t="s">
        <v>74</v>
      </c>
      <c r="P59" t="s">
        <v>74</v>
      </c>
      <c r="Q59" t="s">
        <v>74</v>
      </c>
      <c r="R59" t="s">
        <v>74</v>
      </c>
      <c r="S59" t="s">
        <v>74</v>
      </c>
      <c r="T59" t="s">
        <v>74</v>
      </c>
      <c r="U59" t="s">
        <v>1405</v>
      </c>
      <c r="V59" t="s">
        <v>1406</v>
      </c>
      <c r="W59" t="s">
        <v>1407</v>
      </c>
      <c r="X59" t="s">
        <v>1408</v>
      </c>
      <c r="Y59" t="s">
        <v>1409</v>
      </c>
      <c r="Z59" t="s">
        <v>1410</v>
      </c>
      <c r="AA59" t="s">
        <v>1411</v>
      </c>
      <c r="AB59" t="s">
        <v>1412</v>
      </c>
      <c r="AC59" t="s">
        <v>1413</v>
      </c>
      <c r="AD59" t="s">
        <v>1414</v>
      </c>
      <c r="AE59" t="s">
        <v>1415</v>
      </c>
      <c r="AF59" t="s">
        <v>74</v>
      </c>
      <c r="AG59">
        <v>71</v>
      </c>
      <c r="AH59">
        <v>28</v>
      </c>
      <c r="AI59">
        <v>29</v>
      </c>
      <c r="AJ59">
        <v>0</v>
      </c>
      <c r="AK59">
        <v>37</v>
      </c>
      <c r="AL59" t="s">
        <v>1074</v>
      </c>
      <c r="AM59" t="s">
        <v>1075</v>
      </c>
      <c r="AN59" t="s">
        <v>1076</v>
      </c>
      <c r="AO59" t="s">
        <v>1077</v>
      </c>
      <c r="AP59" t="s">
        <v>74</v>
      </c>
      <c r="AQ59" t="s">
        <v>74</v>
      </c>
      <c r="AR59" t="s">
        <v>1072</v>
      </c>
      <c r="AS59" t="s">
        <v>1078</v>
      </c>
      <c r="AT59" t="s">
        <v>1416</v>
      </c>
      <c r="AU59">
        <v>2016</v>
      </c>
      <c r="AV59">
        <v>11</v>
      </c>
      <c r="AW59">
        <v>10</v>
      </c>
      <c r="AX59" t="s">
        <v>74</v>
      </c>
      <c r="AY59" t="s">
        <v>74</v>
      </c>
      <c r="AZ59" t="s">
        <v>74</v>
      </c>
      <c r="BA59" t="s">
        <v>74</v>
      </c>
      <c r="BB59" t="s">
        <v>74</v>
      </c>
      <c r="BC59" t="s">
        <v>74</v>
      </c>
      <c r="BD59" t="s">
        <v>1417</v>
      </c>
      <c r="BE59" t="s">
        <v>1418</v>
      </c>
      <c r="BF59" t="str">
        <f>HYPERLINK("http://dx.doi.org/10.1371/journal.pone.0164844","http://dx.doi.org/10.1371/journal.pone.0164844")</f>
        <v>http://dx.doi.org/10.1371/journal.pone.0164844</v>
      </c>
      <c r="BG59" t="s">
        <v>74</v>
      </c>
      <c r="BH59" t="s">
        <v>74</v>
      </c>
      <c r="BI59">
        <v>14</v>
      </c>
      <c r="BJ59" t="s">
        <v>719</v>
      </c>
      <c r="BK59" t="s">
        <v>156</v>
      </c>
      <c r="BL59" t="s">
        <v>720</v>
      </c>
      <c r="BM59" t="s">
        <v>1419</v>
      </c>
      <c r="BN59">
        <v>27776181</v>
      </c>
      <c r="BO59" t="s">
        <v>722</v>
      </c>
      <c r="BP59" t="s">
        <v>74</v>
      </c>
      <c r="BQ59" t="s">
        <v>74</v>
      </c>
      <c r="BR59" t="s">
        <v>105</v>
      </c>
      <c r="BS59" t="s">
        <v>1420</v>
      </c>
      <c r="BT59" t="str">
        <f>HYPERLINK("https%3A%2F%2Fwww.webofscience.com%2Fwos%2Fwoscc%2Ffull-record%2FWOS:000389009200023","View Full Record in Web of Science")</f>
        <v>View Full Record in Web of Science</v>
      </c>
    </row>
    <row r="60" spans="1:72" x14ac:dyDescent="0.15">
      <c r="A60" t="s">
        <v>72</v>
      </c>
      <c r="B60" t="s">
        <v>1421</v>
      </c>
      <c r="C60" t="s">
        <v>74</v>
      </c>
      <c r="D60" t="s">
        <v>74</v>
      </c>
      <c r="E60" t="s">
        <v>74</v>
      </c>
      <c r="F60" t="s">
        <v>1422</v>
      </c>
      <c r="G60" t="s">
        <v>74</v>
      </c>
      <c r="H60" t="s">
        <v>1423</v>
      </c>
      <c r="I60" t="s">
        <v>1424</v>
      </c>
      <c r="J60" t="s">
        <v>1425</v>
      </c>
      <c r="K60" t="s">
        <v>74</v>
      </c>
      <c r="L60" t="s">
        <v>74</v>
      </c>
      <c r="M60" t="s">
        <v>78</v>
      </c>
      <c r="N60" t="s">
        <v>79</v>
      </c>
      <c r="O60" t="s">
        <v>74</v>
      </c>
      <c r="P60" t="s">
        <v>74</v>
      </c>
      <c r="Q60" t="s">
        <v>74</v>
      </c>
      <c r="R60" t="s">
        <v>74</v>
      </c>
      <c r="S60" t="s">
        <v>74</v>
      </c>
      <c r="T60" t="s">
        <v>74</v>
      </c>
      <c r="U60" t="s">
        <v>1426</v>
      </c>
      <c r="V60" t="s">
        <v>1427</v>
      </c>
      <c r="W60" t="s">
        <v>1428</v>
      </c>
      <c r="X60" t="s">
        <v>1429</v>
      </c>
      <c r="Y60" t="s">
        <v>1430</v>
      </c>
      <c r="Z60" t="s">
        <v>1431</v>
      </c>
      <c r="AA60" t="s">
        <v>1432</v>
      </c>
      <c r="AB60" t="s">
        <v>1433</v>
      </c>
      <c r="AC60" t="s">
        <v>1434</v>
      </c>
      <c r="AD60" t="s">
        <v>1435</v>
      </c>
      <c r="AE60" t="s">
        <v>1436</v>
      </c>
      <c r="AF60" t="s">
        <v>74</v>
      </c>
      <c r="AG60">
        <v>36</v>
      </c>
      <c r="AH60">
        <v>281</v>
      </c>
      <c r="AI60">
        <v>297</v>
      </c>
      <c r="AJ60">
        <v>0</v>
      </c>
      <c r="AK60">
        <v>20</v>
      </c>
      <c r="AL60" t="s">
        <v>1437</v>
      </c>
      <c r="AM60" t="s">
        <v>594</v>
      </c>
      <c r="AN60" t="s">
        <v>1438</v>
      </c>
      <c r="AO60" t="s">
        <v>1439</v>
      </c>
      <c r="AP60" t="s">
        <v>1440</v>
      </c>
      <c r="AQ60" t="s">
        <v>74</v>
      </c>
      <c r="AR60" t="s">
        <v>1425</v>
      </c>
      <c r="AS60" t="s">
        <v>1441</v>
      </c>
      <c r="AT60" t="s">
        <v>1442</v>
      </c>
      <c r="AU60">
        <v>2016</v>
      </c>
      <c r="AV60">
        <v>388</v>
      </c>
      <c r="AW60">
        <v>10055</v>
      </c>
      <c r="AX60" t="s">
        <v>74</v>
      </c>
      <c r="AY60" t="s">
        <v>74</v>
      </c>
      <c r="AZ60" t="s">
        <v>74</v>
      </c>
      <c r="BA60" t="s">
        <v>74</v>
      </c>
      <c r="BB60">
        <v>2015</v>
      </c>
      <c r="BC60">
        <v>2022</v>
      </c>
      <c r="BD60" t="s">
        <v>74</v>
      </c>
      <c r="BE60" t="s">
        <v>1443</v>
      </c>
      <c r="BF60" t="str">
        <f>HYPERLINK("http://dx.doi.org/10.1016/S0140-6736(16)31323-X","http://dx.doi.org/10.1016/S0140-6736(16)31323-X")</f>
        <v>http://dx.doi.org/10.1016/S0140-6736(16)31323-X</v>
      </c>
      <c r="BG60" t="s">
        <v>74</v>
      </c>
      <c r="BH60" t="s">
        <v>74</v>
      </c>
      <c r="BI60">
        <v>8</v>
      </c>
      <c r="BJ60" t="s">
        <v>1444</v>
      </c>
      <c r="BK60" t="s">
        <v>156</v>
      </c>
      <c r="BL60" t="s">
        <v>1445</v>
      </c>
      <c r="BM60" t="s">
        <v>1446</v>
      </c>
      <c r="BN60">
        <v>27581531</v>
      </c>
      <c r="BO60" t="s">
        <v>74</v>
      </c>
      <c r="BP60" t="s">
        <v>1447</v>
      </c>
      <c r="BQ60" t="s">
        <v>1448</v>
      </c>
      <c r="BR60" t="s">
        <v>105</v>
      </c>
      <c r="BS60" t="s">
        <v>1449</v>
      </c>
      <c r="BT60" t="str">
        <f>HYPERLINK("https%3A%2F%2Fwww.webofscience.com%2Fwos%2Fwoscc%2Ffull-record%2FWOS:000385954800031","View Full Record in Web of Science")</f>
        <v>View Full Record in Web of Science</v>
      </c>
    </row>
    <row r="61" spans="1:72" x14ac:dyDescent="0.15">
      <c r="A61" t="s">
        <v>72</v>
      </c>
      <c r="B61" t="s">
        <v>1450</v>
      </c>
      <c r="C61" t="s">
        <v>74</v>
      </c>
      <c r="D61" t="s">
        <v>74</v>
      </c>
      <c r="E61" t="s">
        <v>74</v>
      </c>
      <c r="F61" t="s">
        <v>1451</v>
      </c>
      <c r="G61" t="s">
        <v>74</v>
      </c>
      <c r="H61" t="s">
        <v>74</v>
      </c>
      <c r="I61" t="s">
        <v>1452</v>
      </c>
      <c r="J61" t="s">
        <v>1293</v>
      </c>
      <c r="K61" t="s">
        <v>74</v>
      </c>
      <c r="L61" t="s">
        <v>74</v>
      </c>
      <c r="M61" t="s">
        <v>78</v>
      </c>
      <c r="N61" t="s">
        <v>79</v>
      </c>
      <c r="O61" t="s">
        <v>74</v>
      </c>
      <c r="P61" t="s">
        <v>74</v>
      </c>
      <c r="Q61" t="s">
        <v>74</v>
      </c>
      <c r="R61" t="s">
        <v>74</v>
      </c>
      <c r="S61" t="s">
        <v>74</v>
      </c>
      <c r="T61" t="s">
        <v>74</v>
      </c>
      <c r="U61" t="s">
        <v>1453</v>
      </c>
      <c r="V61" t="s">
        <v>1454</v>
      </c>
      <c r="W61" t="s">
        <v>1455</v>
      </c>
      <c r="X61" t="s">
        <v>1456</v>
      </c>
      <c r="Y61" t="s">
        <v>1457</v>
      </c>
      <c r="Z61" t="s">
        <v>1458</v>
      </c>
      <c r="AA61" t="s">
        <v>1459</v>
      </c>
      <c r="AB61" t="s">
        <v>1460</v>
      </c>
      <c r="AC61" t="s">
        <v>1461</v>
      </c>
      <c r="AD61" t="s">
        <v>1462</v>
      </c>
      <c r="AE61" t="s">
        <v>1463</v>
      </c>
      <c r="AF61" t="s">
        <v>74</v>
      </c>
      <c r="AG61">
        <v>95</v>
      </c>
      <c r="AH61">
        <v>17</v>
      </c>
      <c r="AI61">
        <v>18</v>
      </c>
      <c r="AJ61">
        <v>1</v>
      </c>
      <c r="AK61">
        <v>33</v>
      </c>
      <c r="AL61" t="s">
        <v>1305</v>
      </c>
      <c r="AM61" t="s">
        <v>1306</v>
      </c>
      <c r="AN61" t="s">
        <v>1307</v>
      </c>
      <c r="AO61" t="s">
        <v>1308</v>
      </c>
      <c r="AP61" t="s">
        <v>1309</v>
      </c>
      <c r="AQ61" t="s">
        <v>74</v>
      </c>
      <c r="AR61" t="s">
        <v>1293</v>
      </c>
      <c r="AS61" t="s">
        <v>1310</v>
      </c>
      <c r="AT61" t="s">
        <v>1464</v>
      </c>
      <c r="AU61">
        <v>2016</v>
      </c>
      <c r="AV61">
        <v>10</v>
      </c>
      <c r="AW61">
        <v>5</v>
      </c>
      <c r="AX61" t="s">
        <v>74</v>
      </c>
      <c r="AY61" t="s">
        <v>74</v>
      </c>
      <c r="AZ61" t="s">
        <v>74</v>
      </c>
      <c r="BA61" t="s">
        <v>74</v>
      </c>
      <c r="BB61">
        <v>2429</v>
      </c>
      <c r="BC61">
        <v>2452</v>
      </c>
      <c r="BD61" t="s">
        <v>74</v>
      </c>
      <c r="BE61" t="s">
        <v>1465</v>
      </c>
      <c r="BF61" t="str">
        <f>HYPERLINK("http://dx.doi.org/10.5194/tc-10-2429-2016","http://dx.doi.org/10.5194/tc-10-2429-2016")</f>
        <v>http://dx.doi.org/10.5194/tc-10-2429-2016</v>
      </c>
      <c r="BG61" t="s">
        <v>74</v>
      </c>
      <c r="BH61" t="s">
        <v>74</v>
      </c>
      <c r="BI61">
        <v>24</v>
      </c>
      <c r="BJ61" t="s">
        <v>203</v>
      </c>
      <c r="BK61" t="s">
        <v>156</v>
      </c>
      <c r="BL61" t="s">
        <v>204</v>
      </c>
      <c r="BM61" t="s">
        <v>1466</v>
      </c>
      <c r="BN61" t="s">
        <v>74</v>
      </c>
      <c r="BO61" t="s">
        <v>1467</v>
      </c>
      <c r="BP61" t="s">
        <v>74</v>
      </c>
      <c r="BQ61" t="s">
        <v>74</v>
      </c>
      <c r="BR61" t="s">
        <v>105</v>
      </c>
      <c r="BS61" t="s">
        <v>1468</v>
      </c>
      <c r="BT61" t="str">
        <f>HYPERLINK("https%3A%2F%2Fwww.webofscience.com%2Fwos%2Fwoscc%2Ffull-record%2FWOS:000386774700001","View Full Record in Web of Science")</f>
        <v>View Full Record in Web of Science</v>
      </c>
    </row>
    <row r="62" spans="1:72" x14ac:dyDescent="0.15">
      <c r="A62" t="s">
        <v>72</v>
      </c>
      <c r="B62" t="s">
        <v>1469</v>
      </c>
      <c r="C62" t="s">
        <v>74</v>
      </c>
      <c r="D62" t="s">
        <v>74</v>
      </c>
      <c r="E62" t="s">
        <v>74</v>
      </c>
      <c r="F62" t="s">
        <v>1470</v>
      </c>
      <c r="G62" t="s">
        <v>74</v>
      </c>
      <c r="H62" t="s">
        <v>74</v>
      </c>
      <c r="I62" t="s">
        <v>1471</v>
      </c>
      <c r="J62" t="s">
        <v>1472</v>
      </c>
      <c r="K62" t="s">
        <v>74</v>
      </c>
      <c r="L62" t="s">
        <v>74</v>
      </c>
      <c r="M62" t="s">
        <v>78</v>
      </c>
      <c r="N62" t="s">
        <v>79</v>
      </c>
      <c r="O62" t="s">
        <v>74</v>
      </c>
      <c r="P62" t="s">
        <v>74</v>
      </c>
      <c r="Q62" t="s">
        <v>74</v>
      </c>
      <c r="R62" t="s">
        <v>74</v>
      </c>
      <c r="S62" t="s">
        <v>74</v>
      </c>
      <c r="T62" t="s">
        <v>1473</v>
      </c>
      <c r="U62" t="s">
        <v>1474</v>
      </c>
      <c r="V62" t="s">
        <v>1475</v>
      </c>
      <c r="W62" t="s">
        <v>1476</v>
      </c>
      <c r="X62" t="s">
        <v>1477</v>
      </c>
      <c r="Y62" t="s">
        <v>1478</v>
      </c>
      <c r="Z62" t="s">
        <v>1479</v>
      </c>
      <c r="AA62" t="s">
        <v>1480</v>
      </c>
      <c r="AB62" t="s">
        <v>1481</v>
      </c>
      <c r="AC62" t="s">
        <v>1482</v>
      </c>
      <c r="AD62" t="s">
        <v>1482</v>
      </c>
      <c r="AE62" t="s">
        <v>1483</v>
      </c>
      <c r="AF62" t="s">
        <v>74</v>
      </c>
      <c r="AG62">
        <v>54</v>
      </c>
      <c r="AH62">
        <v>9</v>
      </c>
      <c r="AI62">
        <v>9</v>
      </c>
      <c r="AJ62">
        <v>0</v>
      </c>
      <c r="AK62">
        <v>2</v>
      </c>
      <c r="AL62" t="s">
        <v>1484</v>
      </c>
      <c r="AM62" t="s">
        <v>1485</v>
      </c>
      <c r="AN62" t="s">
        <v>1486</v>
      </c>
      <c r="AO62" t="s">
        <v>1487</v>
      </c>
      <c r="AP62" t="s">
        <v>1488</v>
      </c>
      <c r="AQ62" t="s">
        <v>74</v>
      </c>
      <c r="AR62" t="s">
        <v>1489</v>
      </c>
      <c r="AS62" t="s">
        <v>1490</v>
      </c>
      <c r="AT62" t="s">
        <v>1491</v>
      </c>
      <c r="AU62">
        <v>2016</v>
      </c>
      <c r="AV62">
        <v>830</v>
      </c>
      <c r="AW62">
        <v>2</v>
      </c>
      <c r="AX62" t="s">
        <v>74</v>
      </c>
      <c r="AY62" t="s">
        <v>74</v>
      </c>
      <c r="AZ62" t="s">
        <v>74</v>
      </c>
      <c r="BA62" t="s">
        <v>74</v>
      </c>
      <c r="BB62" t="s">
        <v>74</v>
      </c>
      <c r="BC62" t="s">
        <v>74</v>
      </c>
      <c r="BD62">
        <v>104</v>
      </c>
      <c r="BE62" t="s">
        <v>1492</v>
      </c>
      <c r="BF62" t="str">
        <f>HYPERLINK("http://dx.doi.org/10.3847/0004-637X/830/2/104","http://dx.doi.org/10.3847/0004-637X/830/2/104")</f>
        <v>http://dx.doi.org/10.3847/0004-637X/830/2/104</v>
      </c>
      <c r="BG62" t="s">
        <v>74</v>
      </c>
      <c r="BH62" t="s">
        <v>74</v>
      </c>
      <c r="BI62">
        <v>19</v>
      </c>
      <c r="BJ62" t="s">
        <v>748</v>
      </c>
      <c r="BK62" t="s">
        <v>156</v>
      </c>
      <c r="BL62" t="s">
        <v>748</v>
      </c>
      <c r="BM62" t="s">
        <v>1493</v>
      </c>
      <c r="BN62" t="s">
        <v>74</v>
      </c>
      <c r="BO62" t="s">
        <v>1494</v>
      </c>
      <c r="BP62" t="s">
        <v>74</v>
      </c>
      <c r="BQ62" t="s">
        <v>74</v>
      </c>
      <c r="BR62" t="s">
        <v>105</v>
      </c>
      <c r="BS62" t="s">
        <v>1495</v>
      </c>
      <c r="BT62" t="str">
        <f>HYPERLINK("https%3A%2F%2Fwww.webofscience.com%2Fwos%2Fwoscc%2Ffull-record%2FWOS:000386488200007","View Full Record in Web of Science")</f>
        <v>View Full Record in Web of Science</v>
      </c>
    </row>
    <row r="63" spans="1:72" x14ac:dyDescent="0.15">
      <c r="A63" t="s">
        <v>72</v>
      </c>
      <c r="B63" t="s">
        <v>1496</v>
      </c>
      <c r="C63" t="s">
        <v>74</v>
      </c>
      <c r="D63" t="s">
        <v>74</v>
      </c>
      <c r="E63" t="s">
        <v>74</v>
      </c>
      <c r="F63" t="s">
        <v>1497</v>
      </c>
      <c r="G63" t="s">
        <v>74</v>
      </c>
      <c r="H63" t="s">
        <v>74</v>
      </c>
      <c r="I63" t="s">
        <v>1498</v>
      </c>
      <c r="J63" t="s">
        <v>1499</v>
      </c>
      <c r="K63" t="s">
        <v>74</v>
      </c>
      <c r="L63" t="s">
        <v>74</v>
      </c>
      <c r="M63" t="s">
        <v>78</v>
      </c>
      <c r="N63" t="s">
        <v>79</v>
      </c>
      <c r="O63" t="s">
        <v>74</v>
      </c>
      <c r="P63" t="s">
        <v>74</v>
      </c>
      <c r="Q63" t="s">
        <v>74</v>
      </c>
      <c r="R63" t="s">
        <v>74</v>
      </c>
      <c r="S63" t="s">
        <v>74</v>
      </c>
      <c r="T63" t="s">
        <v>1500</v>
      </c>
      <c r="U63" t="s">
        <v>1501</v>
      </c>
      <c r="V63" t="s">
        <v>1502</v>
      </c>
      <c r="W63" t="s">
        <v>1503</v>
      </c>
      <c r="X63" t="s">
        <v>1504</v>
      </c>
      <c r="Y63" t="s">
        <v>1505</v>
      </c>
      <c r="Z63" t="s">
        <v>1506</v>
      </c>
      <c r="AA63" t="s">
        <v>1507</v>
      </c>
      <c r="AB63" t="s">
        <v>1508</v>
      </c>
      <c r="AC63" t="s">
        <v>1509</v>
      </c>
      <c r="AD63" t="s">
        <v>1510</v>
      </c>
      <c r="AE63" t="s">
        <v>1511</v>
      </c>
      <c r="AF63" t="s">
        <v>74</v>
      </c>
      <c r="AG63">
        <v>38</v>
      </c>
      <c r="AH63">
        <v>14</v>
      </c>
      <c r="AI63">
        <v>15</v>
      </c>
      <c r="AJ63">
        <v>1</v>
      </c>
      <c r="AK63">
        <v>15</v>
      </c>
      <c r="AL63" t="s">
        <v>1512</v>
      </c>
      <c r="AM63" t="s">
        <v>250</v>
      </c>
      <c r="AN63" t="s">
        <v>1513</v>
      </c>
      <c r="AO63" t="s">
        <v>1514</v>
      </c>
      <c r="AP63" t="s">
        <v>74</v>
      </c>
      <c r="AQ63" t="s">
        <v>74</v>
      </c>
      <c r="AR63" t="s">
        <v>1499</v>
      </c>
      <c r="AS63" t="s">
        <v>1515</v>
      </c>
      <c r="AT63" t="s">
        <v>1491</v>
      </c>
      <c r="AU63">
        <v>2016</v>
      </c>
      <c r="AV63">
        <v>4</v>
      </c>
      <c r="AW63" t="s">
        <v>74</v>
      </c>
      <c r="AX63" t="s">
        <v>74</v>
      </c>
      <c r="AY63" t="s">
        <v>74</v>
      </c>
      <c r="AZ63" t="s">
        <v>74</v>
      </c>
      <c r="BA63" t="s">
        <v>74</v>
      </c>
      <c r="BB63" t="s">
        <v>74</v>
      </c>
      <c r="BC63" t="s">
        <v>74</v>
      </c>
      <c r="BD63" t="s">
        <v>1516</v>
      </c>
      <c r="BE63" t="s">
        <v>1517</v>
      </c>
      <c r="BF63" t="str">
        <f>HYPERLINK("http://dx.doi.org/10.7717/peerj.2420","http://dx.doi.org/10.7717/peerj.2420")</f>
        <v>http://dx.doi.org/10.7717/peerj.2420</v>
      </c>
      <c r="BG63" t="s">
        <v>74</v>
      </c>
      <c r="BH63" t="s">
        <v>74</v>
      </c>
      <c r="BI63">
        <v>20</v>
      </c>
      <c r="BJ63" t="s">
        <v>719</v>
      </c>
      <c r="BK63" t="s">
        <v>156</v>
      </c>
      <c r="BL63" t="s">
        <v>720</v>
      </c>
      <c r="BM63" t="s">
        <v>1518</v>
      </c>
      <c r="BN63">
        <v>27781152</v>
      </c>
      <c r="BO63" t="s">
        <v>1519</v>
      </c>
      <c r="BP63" t="s">
        <v>74</v>
      </c>
      <c r="BQ63" t="s">
        <v>74</v>
      </c>
      <c r="BR63" t="s">
        <v>105</v>
      </c>
      <c r="BS63" t="s">
        <v>1520</v>
      </c>
      <c r="BT63" t="str">
        <f>HYPERLINK("https%3A%2F%2Fwww.webofscience.com%2Fwos%2Fwoscc%2Ffull-record%2FWOS:000385821100001","View Full Record in Web of Science")</f>
        <v>View Full Record in Web of Science</v>
      </c>
    </row>
    <row r="64" spans="1:72" x14ac:dyDescent="0.15">
      <c r="A64" t="s">
        <v>72</v>
      </c>
      <c r="B64" t="s">
        <v>1521</v>
      </c>
      <c r="C64" t="s">
        <v>74</v>
      </c>
      <c r="D64" t="s">
        <v>74</v>
      </c>
      <c r="E64" t="s">
        <v>74</v>
      </c>
      <c r="F64" t="s">
        <v>1522</v>
      </c>
      <c r="G64" t="s">
        <v>74</v>
      </c>
      <c r="H64" t="s">
        <v>1523</v>
      </c>
      <c r="I64" t="s">
        <v>1524</v>
      </c>
      <c r="J64" t="s">
        <v>1472</v>
      </c>
      <c r="K64" t="s">
        <v>74</v>
      </c>
      <c r="L64" t="s">
        <v>74</v>
      </c>
      <c r="M64" t="s">
        <v>78</v>
      </c>
      <c r="N64" t="s">
        <v>79</v>
      </c>
      <c r="O64" t="s">
        <v>74</v>
      </c>
      <c r="P64" t="s">
        <v>74</v>
      </c>
      <c r="Q64" t="s">
        <v>74</v>
      </c>
      <c r="R64" t="s">
        <v>74</v>
      </c>
      <c r="S64" t="s">
        <v>74</v>
      </c>
      <c r="T64" t="s">
        <v>1525</v>
      </c>
      <c r="U64" t="s">
        <v>1526</v>
      </c>
      <c r="V64" t="s">
        <v>1527</v>
      </c>
      <c r="W64" t="s">
        <v>1528</v>
      </c>
      <c r="X64" t="s">
        <v>1529</v>
      </c>
      <c r="Y64" t="s">
        <v>1530</v>
      </c>
      <c r="Z64" t="s">
        <v>74</v>
      </c>
      <c r="AA64" t="s">
        <v>1531</v>
      </c>
      <c r="AB64" t="s">
        <v>1532</v>
      </c>
      <c r="AC64" t="s">
        <v>1533</v>
      </c>
      <c r="AD64" t="s">
        <v>1534</v>
      </c>
      <c r="AE64" t="s">
        <v>1535</v>
      </c>
      <c r="AF64" t="s">
        <v>74</v>
      </c>
      <c r="AG64">
        <v>41</v>
      </c>
      <c r="AH64">
        <v>779</v>
      </c>
      <c r="AI64">
        <v>791</v>
      </c>
      <c r="AJ64">
        <v>2</v>
      </c>
      <c r="AK64">
        <v>13</v>
      </c>
      <c r="AL64" t="s">
        <v>1484</v>
      </c>
      <c r="AM64" t="s">
        <v>1485</v>
      </c>
      <c r="AN64" t="s">
        <v>1486</v>
      </c>
      <c r="AO64" t="s">
        <v>1487</v>
      </c>
      <c r="AP64" t="s">
        <v>1488</v>
      </c>
      <c r="AQ64" t="s">
        <v>74</v>
      </c>
      <c r="AR64" t="s">
        <v>1489</v>
      </c>
      <c r="AS64" t="s">
        <v>1490</v>
      </c>
      <c r="AT64" t="s">
        <v>1491</v>
      </c>
      <c r="AU64">
        <v>2016</v>
      </c>
      <c r="AV64">
        <v>830</v>
      </c>
      <c r="AW64">
        <v>2</v>
      </c>
      <c r="AX64" t="s">
        <v>74</v>
      </c>
      <c r="AY64" t="s">
        <v>74</v>
      </c>
      <c r="AZ64" t="s">
        <v>74</v>
      </c>
      <c r="BA64" t="s">
        <v>74</v>
      </c>
      <c r="BB64" t="s">
        <v>74</v>
      </c>
      <c r="BC64" t="s">
        <v>74</v>
      </c>
      <c r="BD64">
        <v>129</v>
      </c>
      <c r="BE64" t="s">
        <v>1536</v>
      </c>
      <c r="BF64" t="str">
        <f>HYPERLINK("http://dx.doi.org/10.3847/0004-637X/830/2/129","http://dx.doi.org/10.3847/0004-637X/830/2/129")</f>
        <v>http://dx.doi.org/10.3847/0004-637X/830/2/129</v>
      </c>
      <c r="BG64" t="s">
        <v>74</v>
      </c>
      <c r="BH64" t="s">
        <v>74</v>
      </c>
      <c r="BI64">
        <v>12</v>
      </c>
      <c r="BJ64" t="s">
        <v>748</v>
      </c>
      <c r="BK64" t="s">
        <v>156</v>
      </c>
      <c r="BL64" t="s">
        <v>748</v>
      </c>
      <c r="BM64" t="s">
        <v>1537</v>
      </c>
      <c r="BN64" t="s">
        <v>74</v>
      </c>
      <c r="BO64" t="s">
        <v>1538</v>
      </c>
      <c r="BP64" t="s">
        <v>1447</v>
      </c>
      <c r="BQ64" t="s">
        <v>1448</v>
      </c>
      <c r="BR64" t="s">
        <v>105</v>
      </c>
      <c r="BS64" t="s">
        <v>1539</v>
      </c>
      <c r="BT64" t="str">
        <f>HYPERLINK("https%3A%2F%2Fwww.webofscience.com%2Fwos%2Fwoscc%2Ffull-record%2FWOS:000400471300001","View Full Record in Web of Science")</f>
        <v>View Full Record in Web of Science</v>
      </c>
    </row>
    <row r="65" spans="1:72" x14ac:dyDescent="0.15">
      <c r="A65" t="s">
        <v>72</v>
      </c>
      <c r="B65" t="s">
        <v>1540</v>
      </c>
      <c r="C65" t="s">
        <v>74</v>
      </c>
      <c r="D65" t="s">
        <v>74</v>
      </c>
      <c r="E65" t="s">
        <v>74</v>
      </c>
      <c r="F65" t="s">
        <v>1541</v>
      </c>
      <c r="G65" t="s">
        <v>74</v>
      </c>
      <c r="H65" t="s">
        <v>74</v>
      </c>
      <c r="I65" t="s">
        <v>1542</v>
      </c>
      <c r="J65" t="s">
        <v>1472</v>
      </c>
      <c r="K65" t="s">
        <v>74</v>
      </c>
      <c r="L65" t="s">
        <v>74</v>
      </c>
      <c r="M65" t="s">
        <v>78</v>
      </c>
      <c r="N65" t="s">
        <v>79</v>
      </c>
      <c r="O65" t="s">
        <v>74</v>
      </c>
      <c r="P65" t="s">
        <v>74</v>
      </c>
      <c r="Q65" t="s">
        <v>74</v>
      </c>
      <c r="R65" t="s">
        <v>74</v>
      </c>
      <c r="S65" t="s">
        <v>74</v>
      </c>
      <c r="T65" t="s">
        <v>1543</v>
      </c>
      <c r="U65" t="s">
        <v>1544</v>
      </c>
      <c r="V65" t="s">
        <v>1545</v>
      </c>
      <c r="W65" t="s">
        <v>1546</v>
      </c>
      <c r="X65" t="s">
        <v>1547</v>
      </c>
      <c r="Y65" t="s">
        <v>1548</v>
      </c>
      <c r="Z65" t="s">
        <v>74</v>
      </c>
      <c r="AA65" t="s">
        <v>1549</v>
      </c>
      <c r="AB65" t="s">
        <v>1550</v>
      </c>
      <c r="AC65" t="s">
        <v>1551</v>
      </c>
      <c r="AD65" t="s">
        <v>1552</v>
      </c>
      <c r="AE65" t="s">
        <v>1553</v>
      </c>
      <c r="AF65" t="s">
        <v>74</v>
      </c>
      <c r="AG65">
        <v>40</v>
      </c>
      <c r="AH65">
        <v>26</v>
      </c>
      <c r="AI65">
        <v>28</v>
      </c>
      <c r="AJ65">
        <v>0</v>
      </c>
      <c r="AK65">
        <v>8</v>
      </c>
      <c r="AL65" t="s">
        <v>1484</v>
      </c>
      <c r="AM65" t="s">
        <v>1485</v>
      </c>
      <c r="AN65" t="s">
        <v>1486</v>
      </c>
      <c r="AO65" t="s">
        <v>1487</v>
      </c>
      <c r="AP65" t="s">
        <v>1488</v>
      </c>
      <c r="AQ65" t="s">
        <v>74</v>
      </c>
      <c r="AR65" t="s">
        <v>1489</v>
      </c>
      <c r="AS65" t="s">
        <v>1490</v>
      </c>
      <c r="AT65" t="s">
        <v>1491</v>
      </c>
      <c r="AU65">
        <v>2016</v>
      </c>
      <c r="AV65">
        <v>830</v>
      </c>
      <c r="AW65">
        <v>2</v>
      </c>
      <c r="AX65" t="s">
        <v>74</v>
      </c>
      <c r="AY65" t="s">
        <v>74</v>
      </c>
      <c r="AZ65" t="s">
        <v>74</v>
      </c>
      <c r="BA65" t="s">
        <v>74</v>
      </c>
      <c r="BB65" t="s">
        <v>74</v>
      </c>
      <c r="BC65" t="s">
        <v>74</v>
      </c>
      <c r="BD65">
        <v>88</v>
      </c>
      <c r="BE65" t="s">
        <v>1554</v>
      </c>
      <c r="BF65" t="str">
        <f>HYPERLINK("http://dx.doi.org/10.3847/0004-637X/830/2/88","http://dx.doi.org/10.3847/0004-637X/830/2/88")</f>
        <v>http://dx.doi.org/10.3847/0004-637X/830/2/88</v>
      </c>
      <c r="BG65" t="s">
        <v>74</v>
      </c>
      <c r="BH65" t="s">
        <v>74</v>
      </c>
      <c r="BI65">
        <v>25</v>
      </c>
      <c r="BJ65" t="s">
        <v>748</v>
      </c>
      <c r="BK65" t="s">
        <v>156</v>
      </c>
      <c r="BL65" t="s">
        <v>748</v>
      </c>
      <c r="BM65" t="s">
        <v>1555</v>
      </c>
      <c r="BN65" t="s">
        <v>74</v>
      </c>
      <c r="BO65" t="s">
        <v>1106</v>
      </c>
      <c r="BP65" t="s">
        <v>74</v>
      </c>
      <c r="BQ65" t="s">
        <v>74</v>
      </c>
      <c r="BR65" t="s">
        <v>105</v>
      </c>
      <c r="BS65" t="s">
        <v>1556</v>
      </c>
      <c r="BT65" t="str">
        <f>HYPERLINK("https%3A%2F%2Fwww.webofscience.com%2Fwos%2Fwoscc%2Ffull-record%2FWOS:000386337700005","View Full Record in Web of Science")</f>
        <v>View Full Record in Web of Science</v>
      </c>
    </row>
    <row r="66" spans="1:72" x14ac:dyDescent="0.15">
      <c r="A66" t="s">
        <v>72</v>
      </c>
      <c r="B66" t="s">
        <v>1557</v>
      </c>
      <c r="C66" t="s">
        <v>74</v>
      </c>
      <c r="D66" t="s">
        <v>74</v>
      </c>
      <c r="E66" t="s">
        <v>74</v>
      </c>
      <c r="F66" t="s">
        <v>1558</v>
      </c>
      <c r="G66" t="s">
        <v>74</v>
      </c>
      <c r="H66" t="s">
        <v>74</v>
      </c>
      <c r="I66" t="s">
        <v>1559</v>
      </c>
      <c r="J66" t="s">
        <v>1560</v>
      </c>
      <c r="K66" t="s">
        <v>74</v>
      </c>
      <c r="L66" t="s">
        <v>74</v>
      </c>
      <c r="M66" t="s">
        <v>78</v>
      </c>
      <c r="N66" t="s">
        <v>79</v>
      </c>
      <c r="O66" t="s">
        <v>74</v>
      </c>
      <c r="P66" t="s">
        <v>74</v>
      </c>
      <c r="Q66" t="s">
        <v>74</v>
      </c>
      <c r="R66" t="s">
        <v>74</v>
      </c>
      <c r="S66" t="s">
        <v>74</v>
      </c>
      <c r="T66" t="s">
        <v>1561</v>
      </c>
      <c r="U66" t="s">
        <v>1562</v>
      </c>
      <c r="V66" t="s">
        <v>1563</v>
      </c>
      <c r="W66" t="s">
        <v>1564</v>
      </c>
      <c r="X66" t="s">
        <v>1565</v>
      </c>
      <c r="Y66" t="s">
        <v>1566</v>
      </c>
      <c r="Z66" t="s">
        <v>1567</v>
      </c>
      <c r="AA66" t="s">
        <v>1568</v>
      </c>
      <c r="AB66" t="s">
        <v>1569</v>
      </c>
      <c r="AC66" t="s">
        <v>1570</v>
      </c>
      <c r="AD66" t="s">
        <v>1570</v>
      </c>
      <c r="AE66" t="s">
        <v>1571</v>
      </c>
      <c r="AF66" t="s">
        <v>74</v>
      </c>
      <c r="AG66">
        <v>41</v>
      </c>
      <c r="AH66">
        <v>11</v>
      </c>
      <c r="AI66">
        <v>12</v>
      </c>
      <c r="AJ66">
        <v>0</v>
      </c>
      <c r="AK66">
        <v>7</v>
      </c>
      <c r="AL66" t="s">
        <v>1572</v>
      </c>
      <c r="AM66" t="s">
        <v>1573</v>
      </c>
      <c r="AN66" t="s">
        <v>1574</v>
      </c>
      <c r="AO66" t="s">
        <v>1575</v>
      </c>
      <c r="AP66" t="s">
        <v>1576</v>
      </c>
      <c r="AQ66" t="s">
        <v>74</v>
      </c>
      <c r="AR66" t="s">
        <v>1560</v>
      </c>
      <c r="AS66" t="s">
        <v>1577</v>
      </c>
      <c r="AT66" t="s">
        <v>1578</v>
      </c>
      <c r="AU66">
        <v>2016</v>
      </c>
      <c r="AV66">
        <v>280</v>
      </c>
      <c r="AW66">
        <v>2</v>
      </c>
      <c r="AX66" t="s">
        <v>74</v>
      </c>
      <c r="AY66" t="s">
        <v>74</v>
      </c>
      <c r="AZ66" t="s">
        <v>74</v>
      </c>
      <c r="BA66" t="s">
        <v>74</v>
      </c>
      <c r="BB66">
        <v>163</v>
      </c>
      <c r="BC66">
        <v>172</v>
      </c>
      <c r="BD66" t="s">
        <v>74</v>
      </c>
      <c r="BE66" t="s">
        <v>1579</v>
      </c>
      <c r="BF66" t="str">
        <f>HYPERLINK("http://dx.doi.org/10.11646/phytotaxa.280.2.6","http://dx.doi.org/10.11646/phytotaxa.280.2.6")</f>
        <v>http://dx.doi.org/10.11646/phytotaxa.280.2.6</v>
      </c>
      <c r="BG66" t="s">
        <v>74</v>
      </c>
      <c r="BH66" t="s">
        <v>74</v>
      </c>
      <c r="BI66">
        <v>10</v>
      </c>
      <c r="BJ66" t="s">
        <v>1580</v>
      </c>
      <c r="BK66" t="s">
        <v>156</v>
      </c>
      <c r="BL66" t="s">
        <v>1580</v>
      </c>
      <c r="BM66" t="s">
        <v>1581</v>
      </c>
      <c r="BN66" t="s">
        <v>74</v>
      </c>
      <c r="BO66" t="s">
        <v>74</v>
      </c>
      <c r="BP66" t="s">
        <v>74</v>
      </c>
      <c r="BQ66" t="s">
        <v>74</v>
      </c>
      <c r="BR66" t="s">
        <v>105</v>
      </c>
      <c r="BS66" t="s">
        <v>1582</v>
      </c>
      <c r="BT66" t="str">
        <f>HYPERLINK("https%3A%2F%2Fwww.webofscience.com%2Fwos%2Fwoscc%2Ffull-record%2FWOS:000388998600006","View Full Record in Web of Science")</f>
        <v>View Full Record in Web of Science</v>
      </c>
    </row>
    <row r="67" spans="1:72" x14ac:dyDescent="0.15">
      <c r="A67" t="s">
        <v>72</v>
      </c>
      <c r="B67" t="s">
        <v>1583</v>
      </c>
      <c r="C67" t="s">
        <v>74</v>
      </c>
      <c r="D67" t="s">
        <v>74</v>
      </c>
      <c r="E67" t="s">
        <v>74</v>
      </c>
      <c r="F67" t="s">
        <v>1584</v>
      </c>
      <c r="G67" t="s">
        <v>74</v>
      </c>
      <c r="H67" t="s">
        <v>74</v>
      </c>
      <c r="I67" t="s">
        <v>1585</v>
      </c>
      <c r="J67" t="s">
        <v>1586</v>
      </c>
      <c r="K67" t="s">
        <v>74</v>
      </c>
      <c r="L67" t="s">
        <v>74</v>
      </c>
      <c r="M67" t="s">
        <v>78</v>
      </c>
      <c r="N67" t="s">
        <v>79</v>
      </c>
      <c r="O67" t="s">
        <v>74</v>
      </c>
      <c r="P67" t="s">
        <v>74</v>
      </c>
      <c r="Q67" t="s">
        <v>74</v>
      </c>
      <c r="R67" t="s">
        <v>74</v>
      </c>
      <c r="S67" t="s">
        <v>74</v>
      </c>
      <c r="T67" t="s">
        <v>1587</v>
      </c>
      <c r="U67" t="s">
        <v>1588</v>
      </c>
      <c r="V67" t="s">
        <v>1589</v>
      </c>
      <c r="W67" t="s">
        <v>1590</v>
      </c>
      <c r="X67" t="s">
        <v>1591</v>
      </c>
      <c r="Y67" t="s">
        <v>1592</v>
      </c>
      <c r="Z67" t="s">
        <v>1593</v>
      </c>
      <c r="AA67" t="s">
        <v>1594</v>
      </c>
      <c r="AB67" t="s">
        <v>1595</v>
      </c>
      <c r="AC67" t="s">
        <v>1596</v>
      </c>
      <c r="AD67" t="s">
        <v>1597</v>
      </c>
      <c r="AE67" t="s">
        <v>1598</v>
      </c>
      <c r="AF67" t="s">
        <v>74</v>
      </c>
      <c r="AG67">
        <v>78</v>
      </c>
      <c r="AH67">
        <v>26</v>
      </c>
      <c r="AI67">
        <v>28</v>
      </c>
      <c r="AJ67">
        <v>0</v>
      </c>
      <c r="AK67">
        <v>29</v>
      </c>
      <c r="AL67" t="s">
        <v>1599</v>
      </c>
      <c r="AM67" t="s">
        <v>123</v>
      </c>
      <c r="AN67" t="s">
        <v>1600</v>
      </c>
      <c r="AO67" t="s">
        <v>1601</v>
      </c>
      <c r="AP67" t="s">
        <v>74</v>
      </c>
      <c r="AQ67" t="s">
        <v>74</v>
      </c>
      <c r="AR67" t="s">
        <v>1602</v>
      </c>
      <c r="AS67" t="s">
        <v>1603</v>
      </c>
      <c r="AT67" t="s">
        <v>1604</v>
      </c>
      <c r="AU67">
        <v>2016</v>
      </c>
      <c r="AV67">
        <v>113</v>
      </c>
      <c r="AW67">
        <v>42</v>
      </c>
      <c r="AX67" t="s">
        <v>74</v>
      </c>
      <c r="AY67" t="s">
        <v>74</v>
      </c>
      <c r="AZ67" t="s">
        <v>74</v>
      </c>
      <c r="BA67" t="s">
        <v>74</v>
      </c>
      <c r="BB67">
        <v>11782</v>
      </c>
      <c r="BC67">
        <v>11787</v>
      </c>
      <c r="BD67" t="s">
        <v>74</v>
      </c>
      <c r="BE67" t="s">
        <v>1605</v>
      </c>
      <c r="BF67" t="str">
        <f>HYPERLINK("http://dx.doi.org/10.1073/pnas.1608100113","http://dx.doi.org/10.1073/pnas.1608100113")</f>
        <v>http://dx.doi.org/10.1073/pnas.1608100113</v>
      </c>
      <c r="BG67" t="s">
        <v>74</v>
      </c>
      <c r="BH67" t="s">
        <v>74</v>
      </c>
      <c r="BI67">
        <v>6</v>
      </c>
      <c r="BJ67" t="s">
        <v>719</v>
      </c>
      <c r="BK67" t="s">
        <v>156</v>
      </c>
      <c r="BL67" t="s">
        <v>720</v>
      </c>
      <c r="BM67" t="s">
        <v>1606</v>
      </c>
      <c r="BN67">
        <v>27698116</v>
      </c>
      <c r="BO67" t="s">
        <v>1607</v>
      </c>
      <c r="BP67" t="s">
        <v>74</v>
      </c>
      <c r="BQ67" t="s">
        <v>74</v>
      </c>
      <c r="BR67" t="s">
        <v>105</v>
      </c>
      <c r="BS67" t="s">
        <v>1608</v>
      </c>
      <c r="BT67" t="str">
        <f>HYPERLINK("https%3A%2F%2Fwww.webofscience.com%2Fwos%2Fwoscc%2Ffull-record%2FWOS:000385610400057","View Full Record in Web of Science")</f>
        <v>View Full Record in Web of Science</v>
      </c>
    </row>
    <row r="68" spans="1:72" x14ac:dyDescent="0.15">
      <c r="A68" t="s">
        <v>72</v>
      </c>
      <c r="B68" t="s">
        <v>1609</v>
      </c>
      <c r="C68" t="s">
        <v>74</v>
      </c>
      <c r="D68" t="s">
        <v>74</v>
      </c>
      <c r="E68" t="s">
        <v>74</v>
      </c>
      <c r="F68" t="s">
        <v>1610</v>
      </c>
      <c r="G68" t="s">
        <v>74</v>
      </c>
      <c r="H68" t="s">
        <v>74</v>
      </c>
      <c r="I68" t="s">
        <v>1611</v>
      </c>
      <c r="J68" t="s">
        <v>1293</v>
      </c>
      <c r="K68" t="s">
        <v>74</v>
      </c>
      <c r="L68" t="s">
        <v>74</v>
      </c>
      <c r="M68" t="s">
        <v>78</v>
      </c>
      <c r="N68" t="s">
        <v>79</v>
      </c>
      <c r="O68" t="s">
        <v>74</v>
      </c>
      <c r="P68" t="s">
        <v>74</v>
      </c>
      <c r="Q68" t="s">
        <v>74</v>
      </c>
      <c r="R68" t="s">
        <v>74</v>
      </c>
      <c r="S68" t="s">
        <v>74</v>
      </c>
      <c r="T68" t="s">
        <v>74</v>
      </c>
      <c r="U68" t="s">
        <v>1612</v>
      </c>
      <c r="V68" t="s">
        <v>1613</v>
      </c>
      <c r="W68" t="s">
        <v>1614</v>
      </c>
      <c r="X68" t="s">
        <v>1615</v>
      </c>
      <c r="Y68" t="s">
        <v>1616</v>
      </c>
      <c r="Z68" t="s">
        <v>1617</v>
      </c>
      <c r="AA68" t="s">
        <v>1618</v>
      </c>
      <c r="AB68" t="s">
        <v>1619</v>
      </c>
      <c r="AC68" t="s">
        <v>1620</v>
      </c>
      <c r="AD68" t="s">
        <v>1621</v>
      </c>
      <c r="AE68" t="s">
        <v>1622</v>
      </c>
      <c r="AF68" t="s">
        <v>74</v>
      </c>
      <c r="AG68">
        <v>51</v>
      </c>
      <c r="AH68">
        <v>57</v>
      </c>
      <c r="AI68">
        <v>63</v>
      </c>
      <c r="AJ68">
        <v>2</v>
      </c>
      <c r="AK68">
        <v>28</v>
      </c>
      <c r="AL68" t="s">
        <v>1305</v>
      </c>
      <c r="AM68" t="s">
        <v>1306</v>
      </c>
      <c r="AN68" t="s">
        <v>1307</v>
      </c>
      <c r="AO68" t="s">
        <v>1308</v>
      </c>
      <c r="AP68" t="s">
        <v>1309</v>
      </c>
      <c r="AQ68" t="s">
        <v>74</v>
      </c>
      <c r="AR68" t="s">
        <v>1293</v>
      </c>
      <c r="AS68" t="s">
        <v>1310</v>
      </c>
      <c r="AT68" t="s">
        <v>1623</v>
      </c>
      <c r="AU68">
        <v>2016</v>
      </c>
      <c r="AV68">
        <v>10</v>
      </c>
      <c r="AW68">
        <v>5</v>
      </c>
      <c r="AX68" t="s">
        <v>74</v>
      </c>
      <c r="AY68" t="s">
        <v>74</v>
      </c>
      <c r="AZ68" t="s">
        <v>74</v>
      </c>
      <c r="BA68" t="s">
        <v>74</v>
      </c>
      <c r="BB68">
        <v>2415</v>
      </c>
      <c r="BC68">
        <v>2428</v>
      </c>
      <c r="BD68" t="s">
        <v>74</v>
      </c>
      <c r="BE68" t="s">
        <v>1624</v>
      </c>
      <c r="BF68" t="str">
        <f>HYPERLINK("http://dx.doi.org/10.5194/tc-10-2415-2016","http://dx.doi.org/10.5194/tc-10-2415-2016")</f>
        <v>http://dx.doi.org/10.5194/tc-10-2415-2016</v>
      </c>
      <c r="BG68" t="s">
        <v>74</v>
      </c>
      <c r="BH68" t="s">
        <v>74</v>
      </c>
      <c r="BI68">
        <v>14</v>
      </c>
      <c r="BJ68" t="s">
        <v>203</v>
      </c>
      <c r="BK68" t="s">
        <v>156</v>
      </c>
      <c r="BL68" t="s">
        <v>204</v>
      </c>
      <c r="BM68" t="s">
        <v>1625</v>
      </c>
      <c r="BN68" t="s">
        <v>74</v>
      </c>
      <c r="BO68" t="s">
        <v>1467</v>
      </c>
      <c r="BP68" t="s">
        <v>74</v>
      </c>
      <c r="BQ68" t="s">
        <v>74</v>
      </c>
      <c r="BR68" t="s">
        <v>105</v>
      </c>
      <c r="BS68" t="s">
        <v>1626</v>
      </c>
      <c r="BT68" t="str">
        <f>HYPERLINK("https%3A%2F%2Fwww.webofscience.com%2Fwos%2Fwoscc%2Ffull-record%2FWOS:000385415400001","View Full Record in Web of Science")</f>
        <v>View Full Record in Web of Science</v>
      </c>
    </row>
    <row r="69" spans="1:72" x14ac:dyDescent="0.15">
      <c r="A69" t="s">
        <v>72</v>
      </c>
      <c r="B69" t="s">
        <v>1627</v>
      </c>
      <c r="C69" t="s">
        <v>74</v>
      </c>
      <c r="D69" t="s">
        <v>74</v>
      </c>
      <c r="E69" t="s">
        <v>74</v>
      </c>
      <c r="F69" t="s">
        <v>1628</v>
      </c>
      <c r="G69" t="s">
        <v>74</v>
      </c>
      <c r="H69" t="s">
        <v>74</v>
      </c>
      <c r="I69" t="s">
        <v>1629</v>
      </c>
      <c r="J69" t="s">
        <v>1630</v>
      </c>
      <c r="K69" t="s">
        <v>74</v>
      </c>
      <c r="L69" t="s">
        <v>74</v>
      </c>
      <c r="M69" t="s">
        <v>78</v>
      </c>
      <c r="N69" t="s">
        <v>79</v>
      </c>
      <c r="O69" t="s">
        <v>74</v>
      </c>
      <c r="P69" t="s">
        <v>74</v>
      </c>
      <c r="Q69" t="s">
        <v>74</v>
      </c>
      <c r="R69" t="s">
        <v>74</v>
      </c>
      <c r="S69" t="s">
        <v>74</v>
      </c>
      <c r="T69" t="s">
        <v>1631</v>
      </c>
      <c r="U69" t="s">
        <v>1632</v>
      </c>
      <c r="V69" t="s">
        <v>1633</v>
      </c>
      <c r="W69" t="s">
        <v>1634</v>
      </c>
      <c r="X69" t="s">
        <v>1635</v>
      </c>
      <c r="Y69" t="s">
        <v>1636</v>
      </c>
      <c r="Z69" t="s">
        <v>1637</v>
      </c>
      <c r="AA69" t="s">
        <v>1638</v>
      </c>
      <c r="AB69" t="s">
        <v>1639</v>
      </c>
      <c r="AC69" t="s">
        <v>1640</v>
      </c>
      <c r="AD69" t="s">
        <v>1641</v>
      </c>
      <c r="AE69" t="s">
        <v>1642</v>
      </c>
      <c r="AF69" t="s">
        <v>74</v>
      </c>
      <c r="AG69">
        <v>44</v>
      </c>
      <c r="AH69">
        <v>33</v>
      </c>
      <c r="AI69">
        <v>34</v>
      </c>
      <c r="AJ69">
        <v>1</v>
      </c>
      <c r="AK69">
        <v>40</v>
      </c>
      <c r="AL69" t="s">
        <v>196</v>
      </c>
      <c r="AM69" t="s">
        <v>93</v>
      </c>
      <c r="AN69" t="s">
        <v>197</v>
      </c>
      <c r="AO69" t="s">
        <v>1643</v>
      </c>
      <c r="AP69" t="s">
        <v>1644</v>
      </c>
      <c r="AQ69" t="s">
        <v>74</v>
      </c>
      <c r="AR69" t="s">
        <v>1645</v>
      </c>
      <c r="AS69" t="s">
        <v>1646</v>
      </c>
      <c r="AT69" t="s">
        <v>1623</v>
      </c>
      <c r="AU69">
        <v>2016</v>
      </c>
      <c r="AV69">
        <v>171</v>
      </c>
      <c r="AW69" t="s">
        <v>74</v>
      </c>
      <c r="AX69" t="s">
        <v>74</v>
      </c>
      <c r="AY69" t="s">
        <v>74</v>
      </c>
      <c r="AZ69" t="s">
        <v>74</v>
      </c>
      <c r="BA69" t="s">
        <v>74</v>
      </c>
      <c r="BB69">
        <v>206</v>
      </c>
      <c r="BC69">
        <v>213</v>
      </c>
      <c r="BD69" t="s">
        <v>74</v>
      </c>
      <c r="BE69" t="s">
        <v>1647</v>
      </c>
      <c r="BF69" t="str">
        <f>HYPERLINK("http://dx.doi.org/10.1016/j.seppur.2016.07.017","http://dx.doi.org/10.1016/j.seppur.2016.07.017")</f>
        <v>http://dx.doi.org/10.1016/j.seppur.2016.07.017</v>
      </c>
      <c r="BG69" t="s">
        <v>74</v>
      </c>
      <c r="BH69" t="s">
        <v>74</v>
      </c>
      <c r="BI69">
        <v>8</v>
      </c>
      <c r="BJ69" t="s">
        <v>1648</v>
      </c>
      <c r="BK69" t="s">
        <v>156</v>
      </c>
      <c r="BL69" t="s">
        <v>803</v>
      </c>
      <c r="BM69" t="s">
        <v>1649</v>
      </c>
      <c r="BN69" t="s">
        <v>74</v>
      </c>
      <c r="BO69" t="s">
        <v>74</v>
      </c>
      <c r="BP69" t="s">
        <v>74</v>
      </c>
      <c r="BQ69" t="s">
        <v>74</v>
      </c>
      <c r="BR69" t="s">
        <v>105</v>
      </c>
      <c r="BS69" t="s">
        <v>1650</v>
      </c>
      <c r="BT69" t="str">
        <f>HYPERLINK("https%3A%2F%2Fwww.webofscience.com%2Fwos%2Fwoscc%2Ffull-record%2FWOS:000383313300026","View Full Record in Web of Science")</f>
        <v>View Full Record in Web of Science</v>
      </c>
    </row>
    <row r="70" spans="1:72" x14ac:dyDescent="0.15">
      <c r="A70" t="s">
        <v>72</v>
      </c>
      <c r="B70" t="s">
        <v>1651</v>
      </c>
      <c r="C70" t="s">
        <v>74</v>
      </c>
      <c r="D70" t="s">
        <v>74</v>
      </c>
      <c r="E70" t="s">
        <v>74</v>
      </c>
      <c r="F70" t="s">
        <v>1652</v>
      </c>
      <c r="G70" t="s">
        <v>74</v>
      </c>
      <c r="H70" t="s">
        <v>74</v>
      </c>
      <c r="I70" t="s">
        <v>1653</v>
      </c>
      <c r="J70" t="s">
        <v>1654</v>
      </c>
      <c r="K70" t="s">
        <v>74</v>
      </c>
      <c r="L70" t="s">
        <v>74</v>
      </c>
      <c r="M70" t="s">
        <v>78</v>
      </c>
      <c r="N70" t="s">
        <v>79</v>
      </c>
      <c r="O70" t="s">
        <v>74</v>
      </c>
      <c r="P70" t="s">
        <v>74</v>
      </c>
      <c r="Q70" t="s">
        <v>74</v>
      </c>
      <c r="R70" t="s">
        <v>74</v>
      </c>
      <c r="S70" t="s">
        <v>74</v>
      </c>
      <c r="T70" t="s">
        <v>1655</v>
      </c>
      <c r="U70" t="s">
        <v>1656</v>
      </c>
      <c r="V70" t="s">
        <v>1657</v>
      </c>
      <c r="W70" t="s">
        <v>1658</v>
      </c>
      <c r="X70" t="s">
        <v>1659</v>
      </c>
      <c r="Y70" t="s">
        <v>1660</v>
      </c>
      <c r="Z70" t="s">
        <v>1661</v>
      </c>
      <c r="AA70" t="s">
        <v>74</v>
      </c>
      <c r="AB70" t="s">
        <v>1662</v>
      </c>
      <c r="AC70" t="s">
        <v>1663</v>
      </c>
      <c r="AD70" t="s">
        <v>1664</v>
      </c>
      <c r="AE70" t="s">
        <v>1665</v>
      </c>
      <c r="AF70" t="s">
        <v>74</v>
      </c>
      <c r="AG70">
        <v>52</v>
      </c>
      <c r="AH70">
        <v>14</v>
      </c>
      <c r="AI70">
        <v>15</v>
      </c>
      <c r="AJ70">
        <v>1</v>
      </c>
      <c r="AK70">
        <v>16</v>
      </c>
      <c r="AL70" t="s">
        <v>303</v>
      </c>
      <c r="AM70" t="s">
        <v>304</v>
      </c>
      <c r="AN70" t="s">
        <v>305</v>
      </c>
      <c r="AO70" t="s">
        <v>1666</v>
      </c>
      <c r="AP70" t="s">
        <v>1667</v>
      </c>
      <c r="AQ70" t="s">
        <v>74</v>
      </c>
      <c r="AR70" t="s">
        <v>1668</v>
      </c>
      <c r="AS70" t="s">
        <v>1669</v>
      </c>
      <c r="AT70" t="s">
        <v>1670</v>
      </c>
      <c r="AU70">
        <v>2016</v>
      </c>
      <c r="AV70">
        <v>150</v>
      </c>
      <c r="AW70" t="s">
        <v>74</v>
      </c>
      <c r="AX70" t="s">
        <v>74</v>
      </c>
      <c r="AY70" t="s">
        <v>74</v>
      </c>
      <c r="AZ70" t="s">
        <v>74</v>
      </c>
      <c r="BA70" t="s">
        <v>74</v>
      </c>
      <c r="BB70">
        <v>98</v>
      </c>
      <c r="BC70">
        <v>109</v>
      </c>
      <c r="BD70" t="s">
        <v>74</v>
      </c>
      <c r="BE70" t="s">
        <v>1671</v>
      </c>
      <c r="BF70" t="str">
        <f>HYPERLINK("http://dx.doi.org/10.1016/j.quascirev.2016.08.002","http://dx.doi.org/10.1016/j.quascirev.2016.08.002")</f>
        <v>http://dx.doi.org/10.1016/j.quascirev.2016.08.002</v>
      </c>
      <c r="BG70" t="s">
        <v>74</v>
      </c>
      <c r="BH70" t="s">
        <v>74</v>
      </c>
      <c r="BI70">
        <v>12</v>
      </c>
      <c r="BJ70" t="s">
        <v>203</v>
      </c>
      <c r="BK70" t="s">
        <v>156</v>
      </c>
      <c r="BL70" t="s">
        <v>204</v>
      </c>
      <c r="BM70" t="s">
        <v>1672</v>
      </c>
      <c r="BN70" t="s">
        <v>74</v>
      </c>
      <c r="BO70" t="s">
        <v>104</v>
      </c>
      <c r="BP70" t="s">
        <v>74</v>
      </c>
      <c r="BQ70" t="s">
        <v>74</v>
      </c>
      <c r="BR70" t="s">
        <v>105</v>
      </c>
      <c r="BS70" t="s">
        <v>1673</v>
      </c>
      <c r="BT70" t="str">
        <f>HYPERLINK("https%3A%2F%2Fwww.webofscience.com%2Fwos%2Fwoscc%2Ffull-record%2FWOS:000393845900007","View Full Record in Web of Science")</f>
        <v>View Full Record in Web of Science</v>
      </c>
    </row>
    <row r="71" spans="1:72" x14ac:dyDescent="0.15">
      <c r="A71" t="s">
        <v>72</v>
      </c>
      <c r="B71" t="s">
        <v>1674</v>
      </c>
      <c r="C71" t="s">
        <v>74</v>
      </c>
      <c r="D71" t="s">
        <v>74</v>
      </c>
      <c r="E71" t="s">
        <v>74</v>
      </c>
      <c r="F71" t="s">
        <v>1675</v>
      </c>
      <c r="G71" t="s">
        <v>74</v>
      </c>
      <c r="H71" t="s">
        <v>74</v>
      </c>
      <c r="I71" t="s">
        <v>1676</v>
      </c>
      <c r="J71" t="s">
        <v>1677</v>
      </c>
      <c r="K71" t="s">
        <v>74</v>
      </c>
      <c r="L71" t="s">
        <v>74</v>
      </c>
      <c r="M71" t="s">
        <v>78</v>
      </c>
      <c r="N71" t="s">
        <v>79</v>
      </c>
      <c r="O71" t="s">
        <v>74</v>
      </c>
      <c r="P71" t="s">
        <v>74</v>
      </c>
      <c r="Q71" t="s">
        <v>74</v>
      </c>
      <c r="R71" t="s">
        <v>74</v>
      </c>
      <c r="S71" t="s">
        <v>74</v>
      </c>
      <c r="T71" t="s">
        <v>1678</v>
      </c>
      <c r="U71" t="s">
        <v>1679</v>
      </c>
      <c r="V71" t="s">
        <v>1680</v>
      </c>
      <c r="W71" t="s">
        <v>1681</v>
      </c>
      <c r="X71" t="s">
        <v>1682</v>
      </c>
      <c r="Y71" t="s">
        <v>1683</v>
      </c>
      <c r="Z71" t="s">
        <v>1684</v>
      </c>
      <c r="AA71" t="s">
        <v>74</v>
      </c>
      <c r="AB71" t="s">
        <v>74</v>
      </c>
      <c r="AC71" t="s">
        <v>1685</v>
      </c>
      <c r="AD71" t="s">
        <v>1686</v>
      </c>
      <c r="AE71" t="s">
        <v>1687</v>
      </c>
      <c r="AF71" t="s">
        <v>74</v>
      </c>
      <c r="AG71">
        <v>55</v>
      </c>
      <c r="AH71">
        <v>30</v>
      </c>
      <c r="AI71">
        <v>38</v>
      </c>
      <c r="AJ71">
        <v>0</v>
      </c>
      <c r="AK71">
        <v>38</v>
      </c>
      <c r="AL71" t="s">
        <v>303</v>
      </c>
      <c r="AM71" t="s">
        <v>304</v>
      </c>
      <c r="AN71" t="s">
        <v>305</v>
      </c>
      <c r="AO71" t="s">
        <v>1688</v>
      </c>
      <c r="AP71" t="s">
        <v>1689</v>
      </c>
      <c r="AQ71" t="s">
        <v>74</v>
      </c>
      <c r="AR71" t="s">
        <v>1690</v>
      </c>
      <c r="AS71" t="s">
        <v>1691</v>
      </c>
      <c r="AT71" t="s">
        <v>1670</v>
      </c>
      <c r="AU71">
        <v>2016</v>
      </c>
      <c r="AV71">
        <v>129</v>
      </c>
      <c r="AW71" t="s">
        <v>74</v>
      </c>
      <c r="AX71" t="s">
        <v>74</v>
      </c>
      <c r="AY71" t="s">
        <v>74</v>
      </c>
      <c r="AZ71" t="s">
        <v>74</v>
      </c>
      <c r="BA71" t="s">
        <v>74</v>
      </c>
      <c r="BB71">
        <v>23</v>
      </c>
      <c r="BC71">
        <v>32</v>
      </c>
      <c r="BD71" t="s">
        <v>74</v>
      </c>
      <c r="BE71" t="s">
        <v>1692</v>
      </c>
      <c r="BF71" t="str">
        <f>HYPERLINK("http://dx.doi.org/10.1016/j.csr.2016.09.010","http://dx.doi.org/10.1016/j.csr.2016.09.010")</f>
        <v>http://dx.doi.org/10.1016/j.csr.2016.09.010</v>
      </c>
      <c r="BG71" t="s">
        <v>74</v>
      </c>
      <c r="BH71" t="s">
        <v>74</v>
      </c>
      <c r="BI71">
        <v>10</v>
      </c>
      <c r="BJ71" t="s">
        <v>405</v>
      </c>
      <c r="BK71" t="s">
        <v>156</v>
      </c>
      <c r="BL71" t="s">
        <v>405</v>
      </c>
      <c r="BM71" t="s">
        <v>1693</v>
      </c>
      <c r="BN71" t="s">
        <v>74</v>
      </c>
      <c r="BO71" t="s">
        <v>74</v>
      </c>
      <c r="BP71" t="s">
        <v>74</v>
      </c>
      <c r="BQ71" t="s">
        <v>74</v>
      </c>
      <c r="BR71" t="s">
        <v>105</v>
      </c>
      <c r="BS71" t="s">
        <v>1694</v>
      </c>
      <c r="BT71" t="str">
        <f>HYPERLINK("https%3A%2F%2Fwww.webofscience.com%2Fwos%2Fwoscc%2Ffull-record%2FWOS:000388781300003","View Full Record in Web of Science")</f>
        <v>View Full Record in Web of Science</v>
      </c>
    </row>
    <row r="72" spans="1:72" x14ac:dyDescent="0.15">
      <c r="A72" t="s">
        <v>72</v>
      </c>
      <c r="B72" t="s">
        <v>1695</v>
      </c>
      <c r="C72" t="s">
        <v>74</v>
      </c>
      <c r="D72" t="s">
        <v>74</v>
      </c>
      <c r="E72" t="s">
        <v>74</v>
      </c>
      <c r="F72" t="s">
        <v>1696</v>
      </c>
      <c r="G72" t="s">
        <v>74</v>
      </c>
      <c r="H72" t="s">
        <v>74</v>
      </c>
      <c r="I72" t="s">
        <v>1697</v>
      </c>
      <c r="J72" t="s">
        <v>412</v>
      </c>
      <c r="K72" t="s">
        <v>74</v>
      </c>
      <c r="L72" t="s">
        <v>74</v>
      </c>
      <c r="M72" t="s">
        <v>78</v>
      </c>
      <c r="N72" t="s">
        <v>79</v>
      </c>
      <c r="O72" t="s">
        <v>74</v>
      </c>
      <c r="P72" t="s">
        <v>74</v>
      </c>
      <c r="Q72" t="s">
        <v>74</v>
      </c>
      <c r="R72" t="s">
        <v>74</v>
      </c>
      <c r="S72" t="s">
        <v>74</v>
      </c>
      <c r="T72" t="s">
        <v>1698</v>
      </c>
      <c r="U72" t="s">
        <v>1699</v>
      </c>
      <c r="V72" t="s">
        <v>1700</v>
      </c>
      <c r="W72" t="s">
        <v>1701</v>
      </c>
      <c r="X72" t="s">
        <v>1702</v>
      </c>
      <c r="Y72" t="s">
        <v>1703</v>
      </c>
      <c r="Z72" t="s">
        <v>1704</v>
      </c>
      <c r="AA72" t="s">
        <v>1705</v>
      </c>
      <c r="AB72" t="s">
        <v>1706</v>
      </c>
      <c r="AC72" t="s">
        <v>1707</v>
      </c>
      <c r="AD72" t="s">
        <v>1707</v>
      </c>
      <c r="AE72" t="s">
        <v>1708</v>
      </c>
      <c r="AF72" t="s">
        <v>74</v>
      </c>
      <c r="AG72">
        <v>162</v>
      </c>
      <c r="AH72">
        <v>34</v>
      </c>
      <c r="AI72">
        <v>34</v>
      </c>
      <c r="AJ72">
        <v>0</v>
      </c>
      <c r="AK72">
        <v>14</v>
      </c>
      <c r="AL72" t="s">
        <v>196</v>
      </c>
      <c r="AM72" t="s">
        <v>93</v>
      </c>
      <c r="AN72" t="s">
        <v>197</v>
      </c>
      <c r="AO72" t="s">
        <v>425</v>
      </c>
      <c r="AP72" t="s">
        <v>426</v>
      </c>
      <c r="AQ72" t="s">
        <v>74</v>
      </c>
      <c r="AR72" t="s">
        <v>412</v>
      </c>
      <c r="AS72" t="s">
        <v>427</v>
      </c>
      <c r="AT72" t="s">
        <v>1670</v>
      </c>
      <c r="AU72">
        <v>2016</v>
      </c>
      <c r="AV72">
        <v>263</v>
      </c>
      <c r="AW72" t="s">
        <v>74</v>
      </c>
      <c r="AX72" t="s">
        <v>74</v>
      </c>
      <c r="AY72" t="s">
        <v>74</v>
      </c>
      <c r="AZ72" t="s">
        <v>74</v>
      </c>
      <c r="BA72" t="s">
        <v>74</v>
      </c>
      <c r="BB72">
        <v>190</v>
      </c>
      <c r="BC72">
        <v>212</v>
      </c>
      <c r="BD72" t="s">
        <v>74</v>
      </c>
      <c r="BE72" t="s">
        <v>1709</v>
      </c>
      <c r="BF72" t="str">
        <f>HYPERLINK("http://dx.doi.org/10.1016/j.lithos.2016.06.006","http://dx.doi.org/10.1016/j.lithos.2016.06.006")</f>
        <v>http://dx.doi.org/10.1016/j.lithos.2016.06.006</v>
      </c>
      <c r="BG72" t="s">
        <v>74</v>
      </c>
      <c r="BH72" t="s">
        <v>74</v>
      </c>
      <c r="BI72">
        <v>23</v>
      </c>
      <c r="BJ72" t="s">
        <v>430</v>
      </c>
      <c r="BK72" t="s">
        <v>156</v>
      </c>
      <c r="BL72" t="s">
        <v>430</v>
      </c>
      <c r="BM72" t="s">
        <v>1710</v>
      </c>
      <c r="BN72" t="s">
        <v>74</v>
      </c>
      <c r="BO72" t="s">
        <v>74</v>
      </c>
      <c r="BP72" t="s">
        <v>74</v>
      </c>
      <c r="BQ72" t="s">
        <v>74</v>
      </c>
      <c r="BR72" t="s">
        <v>105</v>
      </c>
      <c r="BS72" t="s">
        <v>1711</v>
      </c>
      <c r="BT72" t="str">
        <f>HYPERLINK("https%3A%2F%2Fwww.webofscience.com%2Fwos%2Fwoscc%2Ffull-record%2FWOS:000385325200012","View Full Record in Web of Science")</f>
        <v>View Full Record in Web of Science</v>
      </c>
    </row>
    <row r="73" spans="1:72" x14ac:dyDescent="0.15">
      <c r="A73" t="s">
        <v>72</v>
      </c>
      <c r="B73" t="s">
        <v>1712</v>
      </c>
      <c r="C73" t="s">
        <v>74</v>
      </c>
      <c r="D73" t="s">
        <v>74</v>
      </c>
      <c r="E73" t="s">
        <v>74</v>
      </c>
      <c r="F73" t="s">
        <v>1712</v>
      </c>
      <c r="G73" t="s">
        <v>74</v>
      </c>
      <c r="H73" t="s">
        <v>74</v>
      </c>
      <c r="I73" t="s">
        <v>1713</v>
      </c>
      <c r="J73" t="s">
        <v>1714</v>
      </c>
      <c r="K73" t="s">
        <v>74</v>
      </c>
      <c r="L73" t="s">
        <v>74</v>
      </c>
      <c r="M73" t="s">
        <v>78</v>
      </c>
      <c r="N73" t="s">
        <v>1715</v>
      </c>
      <c r="O73" t="s">
        <v>74</v>
      </c>
      <c r="P73" t="s">
        <v>74</v>
      </c>
      <c r="Q73" t="s">
        <v>74</v>
      </c>
      <c r="R73" t="s">
        <v>74</v>
      </c>
      <c r="S73" t="s">
        <v>74</v>
      </c>
      <c r="T73" t="s">
        <v>74</v>
      </c>
      <c r="U73" t="s">
        <v>74</v>
      </c>
      <c r="V73" t="s">
        <v>74</v>
      </c>
      <c r="W73" t="s">
        <v>74</v>
      </c>
      <c r="X73" t="s">
        <v>74</v>
      </c>
      <c r="Y73" t="s">
        <v>74</v>
      </c>
      <c r="Z73" t="s">
        <v>74</v>
      </c>
      <c r="AA73" t="s">
        <v>74</v>
      </c>
      <c r="AB73" t="s">
        <v>74</v>
      </c>
      <c r="AC73" t="s">
        <v>74</v>
      </c>
      <c r="AD73" t="s">
        <v>74</v>
      </c>
      <c r="AE73" t="s">
        <v>74</v>
      </c>
      <c r="AF73" t="s">
        <v>74</v>
      </c>
      <c r="AG73">
        <v>0</v>
      </c>
      <c r="AH73">
        <v>0</v>
      </c>
      <c r="AI73">
        <v>0</v>
      </c>
      <c r="AJ73">
        <v>0</v>
      </c>
      <c r="AK73">
        <v>4</v>
      </c>
      <c r="AL73" t="s">
        <v>303</v>
      </c>
      <c r="AM73" t="s">
        <v>304</v>
      </c>
      <c r="AN73" t="s">
        <v>305</v>
      </c>
      <c r="AO73" t="s">
        <v>1716</v>
      </c>
      <c r="AP73" t="s">
        <v>1717</v>
      </c>
      <c r="AQ73" t="s">
        <v>74</v>
      </c>
      <c r="AR73" t="s">
        <v>1718</v>
      </c>
      <c r="AS73" t="s">
        <v>1719</v>
      </c>
      <c r="AT73" t="s">
        <v>1670</v>
      </c>
      <c r="AU73">
        <v>2016</v>
      </c>
      <c r="AV73">
        <v>111</v>
      </c>
      <c r="AW73" t="s">
        <v>1720</v>
      </c>
      <c r="AX73" t="s">
        <v>74</v>
      </c>
      <c r="AY73" t="s">
        <v>74</v>
      </c>
      <c r="AZ73" t="s">
        <v>74</v>
      </c>
      <c r="BA73" t="s">
        <v>74</v>
      </c>
      <c r="BB73">
        <v>2</v>
      </c>
      <c r="BC73">
        <v>3</v>
      </c>
      <c r="BD73" t="s">
        <v>74</v>
      </c>
      <c r="BE73" t="s">
        <v>74</v>
      </c>
      <c r="BF73" t="s">
        <v>74</v>
      </c>
      <c r="BG73" t="s">
        <v>74</v>
      </c>
      <c r="BH73" t="s">
        <v>74</v>
      </c>
      <c r="BI73">
        <v>2</v>
      </c>
      <c r="BJ73" t="s">
        <v>1721</v>
      </c>
      <c r="BK73" t="s">
        <v>156</v>
      </c>
      <c r="BL73" t="s">
        <v>694</v>
      </c>
      <c r="BM73" t="s">
        <v>1722</v>
      </c>
      <c r="BN73" t="s">
        <v>74</v>
      </c>
      <c r="BO73" t="s">
        <v>74</v>
      </c>
      <c r="BP73" t="s">
        <v>74</v>
      </c>
      <c r="BQ73" t="s">
        <v>74</v>
      </c>
      <c r="BR73" t="s">
        <v>105</v>
      </c>
      <c r="BS73" t="s">
        <v>1723</v>
      </c>
      <c r="BT73" t="str">
        <f>HYPERLINK("https%3A%2F%2Fwww.webofscience.com%2Fwos%2Fwoscc%2Ffull-record%2FWOS:000384854100006","View Full Record in Web of Science")</f>
        <v>View Full Record in Web of Science</v>
      </c>
    </row>
    <row r="74" spans="1:72" x14ac:dyDescent="0.15">
      <c r="A74" t="s">
        <v>72</v>
      </c>
      <c r="B74" t="s">
        <v>1724</v>
      </c>
      <c r="C74" t="s">
        <v>74</v>
      </c>
      <c r="D74" t="s">
        <v>74</v>
      </c>
      <c r="E74" t="s">
        <v>74</v>
      </c>
      <c r="F74" t="s">
        <v>1725</v>
      </c>
      <c r="G74" t="s">
        <v>74</v>
      </c>
      <c r="H74" t="s">
        <v>74</v>
      </c>
      <c r="I74" t="s">
        <v>1726</v>
      </c>
      <c r="J74" t="s">
        <v>1714</v>
      </c>
      <c r="K74" t="s">
        <v>74</v>
      </c>
      <c r="L74" t="s">
        <v>74</v>
      </c>
      <c r="M74" t="s">
        <v>78</v>
      </c>
      <c r="N74" t="s">
        <v>79</v>
      </c>
      <c r="O74" t="s">
        <v>74</v>
      </c>
      <c r="P74" t="s">
        <v>74</v>
      </c>
      <c r="Q74" t="s">
        <v>74</v>
      </c>
      <c r="R74" t="s">
        <v>74</v>
      </c>
      <c r="S74" t="s">
        <v>74</v>
      </c>
      <c r="T74" t="s">
        <v>1727</v>
      </c>
      <c r="U74" t="s">
        <v>1728</v>
      </c>
      <c r="V74" t="s">
        <v>1729</v>
      </c>
      <c r="W74" t="s">
        <v>1730</v>
      </c>
      <c r="X74" t="s">
        <v>1731</v>
      </c>
      <c r="Y74" t="s">
        <v>1732</v>
      </c>
      <c r="Z74" t="s">
        <v>1733</v>
      </c>
      <c r="AA74" t="s">
        <v>1734</v>
      </c>
      <c r="AB74" t="s">
        <v>1735</v>
      </c>
      <c r="AC74" t="s">
        <v>1736</v>
      </c>
      <c r="AD74" t="s">
        <v>1736</v>
      </c>
      <c r="AE74" t="s">
        <v>1737</v>
      </c>
      <c r="AF74" t="s">
        <v>74</v>
      </c>
      <c r="AG74">
        <v>58</v>
      </c>
      <c r="AH74">
        <v>31</v>
      </c>
      <c r="AI74">
        <v>32</v>
      </c>
      <c r="AJ74">
        <v>1</v>
      </c>
      <c r="AK74">
        <v>36</v>
      </c>
      <c r="AL74" t="s">
        <v>303</v>
      </c>
      <c r="AM74" t="s">
        <v>304</v>
      </c>
      <c r="AN74" t="s">
        <v>305</v>
      </c>
      <c r="AO74" t="s">
        <v>1716</v>
      </c>
      <c r="AP74" t="s">
        <v>1717</v>
      </c>
      <c r="AQ74" t="s">
        <v>74</v>
      </c>
      <c r="AR74" t="s">
        <v>1718</v>
      </c>
      <c r="AS74" t="s">
        <v>1719</v>
      </c>
      <c r="AT74" t="s">
        <v>1670</v>
      </c>
      <c r="AU74">
        <v>2016</v>
      </c>
      <c r="AV74">
        <v>111</v>
      </c>
      <c r="AW74" t="s">
        <v>1720</v>
      </c>
      <c r="AX74" t="s">
        <v>74</v>
      </c>
      <c r="AY74" t="s">
        <v>74</v>
      </c>
      <c r="AZ74" t="s">
        <v>74</v>
      </c>
      <c r="BA74" t="s">
        <v>74</v>
      </c>
      <c r="BB74">
        <v>476</v>
      </c>
      <c r="BC74">
        <v>482</v>
      </c>
      <c r="BD74" t="s">
        <v>74</v>
      </c>
      <c r="BE74" t="s">
        <v>1738</v>
      </c>
      <c r="BF74" t="str">
        <f>HYPERLINK("http://dx.doi.org/10.1016/j.marpolbul.2016.06.098","http://dx.doi.org/10.1016/j.marpolbul.2016.06.098")</f>
        <v>http://dx.doi.org/10.1016/j.marpolbul.2016.06.098</v>
      </c>
      <c r="BG74" t="s">
        <v>74</v>
      </c>
      <c r="BH74" t="s">
        <v>74</v>
      </c>
      <c r="BI74">
        <v>7</v>
      </c>
      <c r="BJ74" t="s">
        <v>1721</v>
      </c>
      <c r="BK74" t="s">
        <v>156</v>
      </c>
      <c r="BL74" t="s">
        <v>694</v>
      </c>
      <c r="BM74" t="s">
        <v>1722</v>
      </c>
      <c r="BN74">
        <v>27389453</v>
      </c>
      <c r="BO74" t="s">
        <v>805</v>
      </c>
      <c r="BP74" t="s">
        <v>74</v>
      </c>
      <c r="BQ74" t="s">
        <v>74</v>
      </c>
      <c r="BR74" t="s">
        <v>105</v>
      </c>
      <c r="BS74" t="s">
        <v>1739</v>
      </c>
      <c r="BT74" t="str">
        <f>HYPERLINK("https%3A%2F%2Fwww.webofscience.com%2Fwos%2Fwoscc%2Ffull-record%2FWOS:000384854100064","View Full Record in Web of Science")</f>
        <v>View Full Record in Web of Science</v>
      </c>
    </row>
    <row r="75" spans="1:72" x14ac:dyDescent="0.15">
      <c r="A75" t="s">
        <v>72</v>
      </c>
      <c r="B75" t="s">
        <v>1740</v>
      </c>
      <c r="C75" t="s">
        <v>74</v>
      </c>
      <c r="D75" t="s">
        <v>74</v>
      </c>
      <c r="E75" t="s">
        <v>74</v>
      </c>
      <c r="F75" t="s">
        <v>1741</v>
      </c>
      <c r="G75" t="s">
        <v>74</v>
      </c>
      <c r="H75" t="s">
        <v>74</v>
      </c>
      <c r="I75" t="s">
        <v>1742</v>
      </c>
      <c r="J75" t="s">
        <v>1743</v>
      </c>
      <c r="K75" t="s">
        <v>74</v>
      </c>
      <c r="L75" t="s">
        <v>74</v>
      </c>
      <c r="M75" t="s">
        <v>78</v>
      </c>
      <c r="N75" t="s">
        <v>79</v>
      </c>
      <c r="O75" t="s">
        <v>74</v>
      </c>
      <c r="P75" t="s">
        <v>74</v>
      </c>
      <c r="Q75" t="s">
        <v>74</v>
      </c>
      <c r="R75" t="s">
        <v>74</v>
      </c>
      <c r="S75" t="s">
        <v>74</v>
      </c>
      <c r="T75" t="s">
        <v>1744</v>
      </c>
      <c r="U75" t="s">
        <v>1745</v>
      </c>
      <c r="V75" t="s">
        <v>1746</v>
      </c>
      <c r="W75" t="s">
        <v>1747</v>
      </c>
      <c r="X75" t="s">
        <v>1748</v>
      </c>
      <c r="Y75" t="s">
        <v>1749</v>
      </c>
      <c r="Z75" t="s">
        <v>1750</v>
      </c>
      <c r="AA75" t="s">
        <v>74</v>
      </c>
      <c r="AB75" t="s">
        <v>1751</v>
      </c>
      <c r="AC75" t="s">
        <v>1752</v>
      </c>
      <c r="AD75" t="s">
        <v>1753</v>
      </c>
      <c r="AE75" t="s">
        <v>1754</v>
      </c>
      <c r="AF75" t="s">
        <v>74</v>
      </c>
      <c r="AG75">
        <v>26</v>
      </c>
      <c r="AH75">
        <v>3</v>
      </c>
      <c r="AI75">
        <v>4</v>
      </c>
      <c r="AJ75">
        <v>0</v>
      </c>
      <c r="AK75">
        <v>10</v>
      </c>
      <c r="AL75" t="s">
        <v>1437</v>
      </c>
      <c r="AM75" t="s">
        <v>594</v>
      </c>
      <c r="AN75" t="s">
        <v>1438</v>
      </c>
      <c r="AO75" t="s">
        <v>1755</v>
      </c>
      <c r="AP75" t="s">
        <v>1756</v>
      </c>
      <c r="AQ75" t="s">
        <v>74</v>
      </c>
      <c r="AR75" t="s">
        <v>1757</v>
      </c>
      <c r="AS75" t="s">
        <v>1758</v>
      </c>
      <c r="AT75" t="s">
        <v>1670</v>
      </c>
      <c r="AU75">
        <v>2016</v>
      </c>
      <c r="AV75">
        <v>608</v>
      </c>
      <c r="AW75" t="s">
        <v>74</v>
      </c>
      <c r="AX75" t="s">
        <v>74</v>
      </c>
      <c r="AY75" t="s">
        <v>74</v>
      </c>
      <c r="AZ75" t="s">
        <v>74</v>
      </c>
      <c r="BA75" t="s">
        <v>74</v>
      </c>
      <c r="BB75">
        <v>20</v>
      </c>
      <c r="BC75">
        <v>26</v>
      </c>
      <c r="BD75" t="s">
        <v>74</v>
      </c>
      <c r="BE75" t="s">
        <v>1759</v>
      </c>
      <c r="BF75" t="str">
        <f>HYPERLINK("http://dx.doi.org/10.1016/j.abb.2016.08.022","http://dx.doi.org/10.1016/j.abb.2016.08.022")</f>
        <v>http://dx.doi.org/10.1016/j.abb.2016.08.022</v>
      </c>
      <c r="BG75" t="s">
        <v>74</v>
      </c>
      <c r="BH75" t="s">
        <v>74</v>
      </c>
      <c r="BI75">
        <v>7</v>
      </c>
      <c r="BJ75" t="s">
        <v>1760</v>
      </c>
      <c r="BK75" t="s">
        <v>156</v>
      </c>
      <c r="BL75" t="s">
        <v>1760</v>
      </c>
      <c r="BM75" t="s">
        <v>1761</v>
      </c>
      <c r="BN75">
        <v>27592307</v>
      </c>
      <c r="BO75" t="s">
        <v>74</v>
      </c>
      <c r="BP75" t="s">
        <v>74</v>
      </c>
      <c r="BQ75" t="s">
        <v>74</v>
      </c>
      <c r="BR75" t="s">
        <v>105</v>
      </c>
      <c r="BS75" t="s">
        <v>1762</v>
      </c>
      <c r="BT75" t="str">
        <f>HYPERLINK("https%3A%2F%2Fwww.webofscience.com%2Fwos%2Fwoscc%2Ffull-record%2FWOS:000384783700003","View Full Record in Web of Science")</f>
        <v>View Full Record in Web of Science</v>
      </c>
    </row>
    <row r="76" spans="1:72" x14ac:dyDescent="0.15">
      <c r="A76" t="s">
        <v>72</v>
      </c>
      <c r="B76" t="s">
        <v>1763</v>
      </c>
      <c r="C76" t="s">
        <v>74</v>
      </c>
      <c r="D76" t="s">
        <v>74</v>
      </c>
      <c r="E76" t="s">
        <v>74</v>
      </c>
      <c r="F76" t="s">
        <v>1764</v>
      </c>
      <c r="G76" t="s">
        <v>74</v>
      </c>
      <c r="H76" t="s">
        <v>74</v>
      </c>
      <c r="I76" t="s">
        <v>1765</v>
      </c>
      <c r="J76" t="s">
        <v>900</v>
      </c>
      <c r="K76" t="s">
        <v>74</v>
      </c>
      <c r="L76" t="s">
        <v>74</v>
      </c>
      <c r="M76" t="s">
        <v>78</v>
      </c>
      <c r="N76" t="s">
        <v>79</v>
      </c>
      <c r="O76" t="s">
        <v>74</v>
      </c>
      <c r="P76" t="s">
        <v>74</v>
      </c>
      <c r="Q76" t="s">
        <v>74</v>
      </c>
      <c r="R76" t="s">
        <v>74</v>
      </c>
      <c r="S76" t="s">
        <v>74</v>
      </c>
      <c r="T76" t="s">
        <v>1766</v>
      </c>
      <c r="U76" t="s">
        <v>1767</v>
      </c>
      <c r="V76" t="s">
        <v>1768</v>
      </c>
      <c r="W76" t="s">
        <v>1769</v>
      </c>
      <c r="X76" t="s">
        <v>1770</v>
      </c>
      <c r="Y76" t="s">
        <v>1771</v>
      </c>
      <c r="Z76" t="s">
        <v>1772</v>
      </c>
      <c r="AA76" t="s">
        <v>1773</v>
      </c>
      <c r="AB76" t="s">
        <v>1774</v>
      </c>
      <c r="AC76" t="s">
        <v>1775</v>
      </c>
      <c r="AD76" t="s">
        <v>1776</v>
      </c>
      <c r="AE76" t="s">
        <v>1777</v>
      </c>
      <c r="AF76" t="s">
        <v>74</v>
      </c>
      <c r="AG76">
        <v>50</v>
      </c>
      <c r="AH76">
        <v>26</v>
      </c>
      <c r="AI76">
        <v>27</v>
      </c>
      <c r="AJ76">
        <v>1</v>
      </c>
      <c r="AK76">
        <v>42</v>
      </c>
      <c r="AL76" t="s">
        <v>92</v>
      </c>
      <c r="AM76" t="s">
        <v>93</v>
      </c>
      <c r="AN76" t="s">
        <v>94</v>
      </c>
      <c r="AO76" t="s">
        <v>913</v>
      </c>
      <c r="AP76" t="s">
        <v>914</v>
      </c>
      <c r="AQ76" t="s">
        <v>74</v>
      </c>
      <c r="AR76" t="s">
        <v>915</v>
      </c>
      <c r="AS76" t="s">
        <v>916</v>
      </c>
      <c r="AT76" t="s">
        <v>1670</v>
      </c>
      <c r="AU76">
        <v>2016</v>
      </c>
      <c r="AV76">
        <v>452</v>
      </c>
      <c r="AW76" t="s">
        <v>74</v>
      </c>
      <c r="AX76" t="s">
        <v>74</v>
      </c>
      <c r="AY76" t="s">
        <v>74</v>
      </c>
      <c r="AZ76" t="s">
        <v>74</v>
      </c>
      <c r="BA76" t="s">
        <v>74</v>
      </c>
      <c r="BB76">
        <v>1</v>
      </c>
      <c r="BC76">
        <v>14</v>
      </c>
      <c r="BD76" t="s">
        <v>74</v>
      </c>
      <c r="BE76" t="s">
        <v>1778</v>
      </c>
      <c r="BF76" t="str">
        <f>HYPERLINK("http://dx.doi.org/10.1016/j.epsl.2016.07.040","http://dx.doi.org/10.1016/j.epsl.2016.07.040")</f>
        <v>http://dx.doi.org/10.1016/j.epsl.2016.07.040</v>
      </c>
      <c r="BG76" t="s">
        <v>74</v>
      </c>
      <c r="BH76" t="s">
        <v>74</v>
      </c>
      <c r="BI76">
        <v>14</v>
      </c>
      <c r="BJ76" t="s">
        <v>155</v>
      </c>
      <c r="BK76" t="s">
        <v>156</v>
      </c>
      <c r="BL76" t="s">
        <v>155</v>
      </c>
      <c r="BM76" t="s">
        <v>1779</v>
      </c>
      <c r="BN76" t="s">
        <v>74</v>
      </c>
      <c r="BO76" t="s">
        <v>459</v>
      </c>
      <c r="BP76" t="s">
        <v>74</v>
      </c>
      <c r="BQ76" t="s">
        <v>74</v>
      </c>
      <c r="BR76" t="s">
        <v>105</v>
      </c>
      <c r="BS76" t="s">
        <v>1780</v>
      </c>
      <c r="BT76" t="str">
        <f>HYPERLINK("https%3A%2F%2Fwww.webofscience.com%2Fwos%2Fwoscc%2Ffull-record%2FWOS:000383005800001","View Full Record in Web of Science")</f>
        <v>View Full Record in Web of Science</v>
      </c>
    </row>
    <row r="77" spans="1:72" x14ac:dyDescent="0.15">
      <c r="A77" t="s">
        <v>72</v>
      </c>
      <c r="B77" t="s">
        <v>1781</v>
      </c>
      <c r="C77" t="s">
        <v>74</v>
      </c>
      <c r="D77" t="s">
        <v>74</v>
      </c>
      <c r="E77" t="s">
        <v>74</v>
      </c>
      <c r="F77" t="s">
        <v>1782</v>
      </c>
      <c r="G77" t="s">
        <v>74</v>
      </c>
      <c r="H77" t="s">
        <v>74</v>
      </c>
      <c r="I77" t="s">
        <v>1783</v>
      </c>
      <c r="J77" t="s">
        <v>900</v>
      </c>
      <c r="K77" t="s">
        <v>74</v>
      </c>
      <c r="L77" t="s">
        <v>74</v>
      </c>
      <c r="M77" t="s">
        <v>78</v>
      </c>
      <c r="N77" t="s">
        <v>79</v>
      </c>
      <c r="O77" t="s">
        <v>74</v>
      </c>
      <c r="P77" t="s">
        <v>74</v>
      </c>
      <c r="Q77" t="s">
        <v>74</v>
      </c>
      <c r="R77" t="s">
        <v>74</v>
      </c>
      <c r="S77" t="s">
        <v>74</v>
      </c>
      <c r="T77" t="s">
        <v>1784</v>
      </c>
      <c r="U77" t="s">
        <v>1785</v>
      </c>
      <c r="V77" t="s">
        <v>1786</v>
      </c>
      <c r="W77" t="s">
        <v>1787</v>
      </c>
      <c r="X77" t="s">
        <v>1788</v>
      </c>
      <c r="Y77" t="s">
        <v>1789</v>
      </c>
      <c r="Z77" t="s">
        <v>1790</v>
      </c>
      <c r="AA77" t="s">
        <v>1791</v>
      </c>
      <c r="AB77" t="s">
        <v>1792</v>
      </c>
      <c r="AC77" t="s">
        <v>1793</v>
      </c>
      <c r="AD77" t="s">
        <v>1794</v>
      </c>
      <c r="AE77" t="s">
        <v>1795</v>
      </c>
      <c r="AF77" t="s">
        <v>74</v>
      </c>
      <c r="AG77">
        <v>54</v>
      </c>
      <c r="AH77">
        <v>42</v>
      </c>
      <c r="AI77">
        <v>46</v>
      </c>
      <c r="AJ77">
        <v>0</v>
      </c>
      <c r="AK77">
        <v>28</v>
      </c>
      <c r="AL77" t="s">
        <v>92</v>
      </c>
      <c r="AM77" t="s">
        <v>93</v>
      </c>
      <c r="AN77" t="s">
        <v>94</v>
      </c>
      <c r="AO77" t="s">
        <v>913</v>
      </c>
      <c r="AP77" t="s">
        <v>914</v>
      </c>
      <c r="AQ77" t="s">
        <v>74</v>
      </c>
      <c r="AR77" t="s">
        <v>915</v>
      </c>
      <c r="AS77" t="s">
        <v>916</v>
      </c>
      <c r="AT77" t="s">
        <v>1670</v>
      </c>
      <c r="AU77">
        <v>2016</v>
      </c>
      <c r="AV77">
        <v>452</v>
      </c>
      <c r="AW77" t="s">
        <v>74</v>
      </c>
      <c r="AX77" t="s">
        <v>74</v>
      </c>
      <c r="AY77" t="s">
        <v>74</v>
      </c>
      <c r="AZ77" t="s">
        <v>74</v>
      </c>
      <c r="BA77" t="s">
        <v>74</v>
      </c>
      <c r="BB77">
        <v>206</v>
      </c>
      <c r="BC77">
        <v>215</v>
      </c>
      <c r="BD77" t="s">
        <v>74</v>
      </c>
      <c r="BE77" t="s">
        <v>1796</v>
      </c>
      <c r="BF77" t="str">
        <f>HYPERLINK("http://dx.doi.org/10.1016/j.epsl.2016.07.042","http://dx.doi.org/10.1016/j.epsl.2016.07.042")</f>
        <v>http://dx.doi.org/10.1016/j.epsl.2016.07.042</v>
      </c>
      <c r="BG77" t="s">
        <v>74</v>
      </c>
      <c r="BH77" t="s">
        <v>74</v>
      </c>
      <c r="BI77">
        <v>10</v>
      </c>
      <c r="BJ77" t="s">
        <v>155</v>
      </c>
      <c r="BK77" t="s">
        <v>156</v>
      </c>
      <c r="BL77" t="s">
        <v>155</v>
      </c>
      <c r="BM77" t="s">
        <v>1779</v>
      </c>
      <c r="BN77" t="s">
        <v>74</v>
      </c>
      <c r="BO77" t="s">
        <v>1002</v>
      </c>
      <c r="BP77" t="s">
        <v>74</v>
      </c>
      <c r="BQ77" t="s">
        <v>74</v>
      </c>
      <c r="BR77" t="s">
        <v>105</v>
      </c>
      <c r="BS77" t="s">
        <v>1797</v>
      </c>
      <c r="BT77" t="str">
        <f>HYPERLINK("https%3A%2F%2Fwww.webofscience.com%2Fwos%2Fwoscc%2Ffull-record%2FWOS:000383005800020","View Full Record in Web of Science")</f>
        <v>View Full Record in Web of Science</v>
      </c>
    </row>
    <row r="78" spans="1:72" x14ac:dyDescent="0.15">
      <c r="A78" t="s">
        <v>72</v>
      </c>
      <c r="B78" t="s">
        <v>1798</v>
      </c>
      <c r="C78" t="s">
        <v>74</v>
      </c>
      <c r="D78" t="s">
        <v>74</v>
      </c>
      <c r="E78" t="s">
        <v>74</v>
      </c>
      <c r="F78" t="s">
        <v>1799</v>
      </c>
      <c r="G78" t="s">
        <v>74</v>
      </c>
      <c r="H78" t="s">
        <v>74</v>
      </c>
      <c r="I78" t="s">
        <v>1800</v>
      </c>
      <c r="J78" t="s">
        <v>412</v>
      </c>
      <c r="K78" t="s">
        <v>74</v>
      </c>
      <c r="L78" t="s">
        <v>74</v>
      </c>
      <c r="M78" t="s">
        <v>78</v>
      </c>
      <c r="N78" t="s">
        <v>79</v>
      </c>
      <c r="O78" t="s">
        <v>74</v>
      </c>
      <c r="P78" t="s">
        <v>74</v>
      </c>
      <c r="Q78" t="s">
        <v>74</v>
      </c>
      <c r="R78" t="s">
        <v>74</v>
      </c>
      <c r="S78" t="s">
        <v>74</v>
      </c>
      <c r="T78" t="s">
        <v>1801</v>
      </c>
      <c r="U78" t="s">
        <v>1802</v>
      </c>
      <c r="V78" t="s">
        <v>1803</v>
      </c>
      <c r="W78" t="s">
        <v>1804</v>
      </c>
      <c r="X78" t="s">
        <v>1805</v>
      </c>
      <c r="Y78" t="s">
        <v>1806</v>
      </c>
      <c r="Z78" t="s">
        <v>1807</v>
      </c>
      <c r="AA78" t="s">
        <v>1808</v>
      </c>
      <c r="AB78" t="s">
        <v>1809</v>
      </c>
      <c r="AC78" t="s">
        <v>1810</v>
      </c>
      <c r="AD78" t="s">
        <v>1811</v>
      </c>
      <c r="AE78" t="s">
        <v>1812</v>
      </c>
      <c r="AF78" t="s">
        <v>74</v>
      </c>
      <c r="AG78">
        <v>88</v>
      </c>
      <c r="AH78">
        <v>30</v>
      </c>
      <c r="AI78">
        <v>31</v>
      </c>
      <c r="AJ78">
        <v>1</v>
      </c>
      <c r="AK78">
        <v>23</v>
      </c>
      <c r="AL78" t="s">
        <v>196</v>
      </c>
      <c r="AM78" t="s">
        <v>93</v>
      </c>
      <c r="AN78" t="s">
        <v>197</v>
      </c>
      <c r="AO78" t="s">
        <v>425</v>
      </c>
      <c r="AP78" t="s">
        <v>426</v>
      </c>
      <c r="AQ78" t="s">
        <v>74</v>
      </c>
      <c r="AR78" t="s">
        <v>412</v>
      </c>
      <c r="AS78" t="s">
        <v>427</v>
      </c>
      <c r="AT78" t="s">
        <v>1670</v>
      </c>
      <c r="AU78">
        <v>2016</v>
      </c>
      <c r="AV78">
        <v>263</v>
      </c>
      <c r="AW78" t="s">
        <v>74</v>
      </c>
      <c r="AX78" t="s">
        <v>74</v>
      </c>
      <c r="AY78" t="s">
        <v>74</v>
      </c>
      <c r="AZ78" t="s">
        <v>74</v>
      </c>
      <c r="BA78" t="s">
        <v>74</v>
      </c>
      <c r="BB78">
        <v>239</v>
      </c>
      <c r="BC78">
        <v>256</v>
      </c>
      <c r="BD78" t="s">
        <v>74</v>
      </c>
      <c r="BE78" t="s">
        <v>1813</v>
      </c>
      <c r="BF78" t="str">
        <f>HYPERLINK("http://dx.doi.org/10.1016/j.lithos.2016.02.010","http://dx.doi.org/10.1016/j.lithos.2016.02.010")</f>
        <v>http://dx.doi.org/10.1016/j.lithos.2016.02.010</v>
      </c>
      <c r="BG78" t="s">
        <v>74</v>
      </c>
      <c r="BH78" t="s">
        <v>74</v>
      </c>
      <c r="BI78">
        <v>18</v>
      </c>
      <c r="BJ78" t="s">
        <v>430</v>
      </c>
      <c r="BK78" t="s">
        <v>156</v>
      </c>
      <c r="BL78" t="s">
        <v>430</v>
      </c>
      <c r="BM78" t="s">
        <v>1710</v>
      </c>
      <c r="BN78" t="s">
        <v>74</v>
      </c>
      <c r="BO78" t="s">
        <v>74</v>
      </c>
      <c r="BP78" t="s">
        <v>74</v>
      </c>
      <c r="BQ78" t="s">
        <v>74</v>
      </c>
      <c r="BR78" t="s">
        <v>105</v>
      </c>
      <c r="BS78" t="s">
        <v>1814</v>
      </c>
      <c r="BT78" t="str">
        <f>HYPERLINK("https%3A%2F%2Fwww.webofscience.com%2Fwos%2Fwoscc%2Ffull-record%2FWOS:000385325200014","View Full Record in Web of Science")</f>
        <v>View Full Record in Web of Science</v>
      </c>
    </row>
    <row r="79" spans="1:72" x14ac:dyDescent="0.15">
      <c r="A79" t="s">
        <v>72</v>
      </c>
      <c r="B79" t="s">
        <v>1815</v>
      </c>
      <c r="C79" t="s">
        <v>74</v>
      </c>
      <c r="D79" t="s">
        <v>74</v>
      </c>
      <c r="E79" t="s">
        <v>74</v>
      </c>
      <c r="F79" t="s">
        <v>1816</v>
      </c>
      <c r="G79" t="s">
        <v>74</v>
      </c>
      <c r="H79" t="s">
        <v>74</v>
      </c>
      <c r="I79" t="s">
        <v>1817</v>
      </c>
      <c r="J79" t="s">
        <v>1714</v>
      </c>
      <c r="K79" t="s">
        <v>74</v>
      </c>
      <c r="L79" t="s">
        <v>74</v>
      </c>
      <c r="M79" t="s">
        <v>78</v>
      </c>
      <c r="N79" t="s">
        <v>317</v>
      </c>
      <c r="O79" t="s">
        <v>74</v>
      </c>
      <c r="P79" t="s">
        <v>74</v>
      </c>
      <c r="Q79" t="s">
        <v>74</v>
      </c>
      <c r="R79" t="s">
        <v>74</v>
      </c>
      <c r="S79" t="s">
        <v>74</v>
      </c>
      <c r="T79" t="s">
        <v>1818</v>
      </c>
      <c r="U79" t="s">
        <v>1819</v>
      </c>
      <c r="V79" t="s">
        <v>1820</v>
      </c>
      <c r="W79" t="s">
        <v>1821</v>
      </c>
      <c r="X79" t="s">
        <v>1822</v>
      </c>
      <c r="Y79" t="s">
        <v>1823</v>
      </c>
      <c r="Z79" t="s">
        <v>74</v>
      </c>
      <c r="AA79" t="s">
        <v>1824</v>
      </c>
      <c r="AB79" t="s">
        <v>1825</v>
      </c>
      <c r="AC79" t="s">
        <v>74</v>
      </c>
      <c r="AD79" t="s">
        <v>74</v>
      </c>
      <c r="AE79" t="s">
        <v>74</v>
      </c>
      <c r="AF79" t="s">
        <v>74</v>
      </c>
      <c r="AG79">
        <v>118</v>
      </c>
      <c r="AH79">
        <v>133</v>
      </c>
      <c r="AI79">
        <v>148</v>
      </c>
      <c r="AJ79">
        <v>6</v>
      </c>
      <c r="AK79">
        <v>174</v>
      </c>
      <c r="AL79" t="s">
        <v>303</v>
      </c>
      <c r="AM79" t="s">
        <v>304</v>
      </c>
      <c r="AN79" t="s">
        <v>305</v>
      </c>
      <c r="AO79" t="s">
        <v>1716</v>
      </c>
      <c r="AP79" t="s">
        <v>1717</v>
      </c>
      <c r="AQ79" t="s">
        <v>74</v>
      </c>
      <c r="AR79" t="s">
        <v>1718</v>
      </c>
      <c r="AS79" t="s">
        <v>1719</v>
      </c>
      <c r="AT79" t="s">
        <v>1670</v>
      </c>
      <c r="AU79">
        <v>2016</v>
      </c>
      <c r="AV79">
        <v>111</v>
      </c>
      <c r="AW79" t="s">
        <v>1720</v>
      </c>
      <c r="AX79" t="s">
        <v>74</v>
      </c>
      <c r="AY79" t="s">
        <v>74</v>
      </c>
      <c r="AZ79" t="s">
        <v>74</v>
      </c>
      <c r="BA79" t="s">
        <v>74</v>
      </c>
      <c r="BB79">
        <v>6</v>
      </c>
      <c r="BC79">
        <v>17</v>
      </c>
      <c r="BD79" t="s">
        <v>74</v>
      </c>
      <c r="BE79" t="s">
        <v>1826</v>
      </c>
      <c r="BF79" t="str">
        <f>HYPERLINK("http://dx.doi.org/10.1016/j.marpolbul.2016.06.034","http://dx.doi.org/10.1016/j.marpolbul.2016.06.034")</f>
        <v>http://dx.doi.org/10.1016/j.marpolbul.2016.06.034</v>
      </c>
      <c r="BG79" t="s">
        <v>74</v>
      </c>
      <c r="BH79" t="s">
        <v>74</v>
      </c>
      <c r="BI79">
        <v>12</v>
      </c>
      <c r="BJ79" t="s">
        <v>1721</v>
      </c>
      <c r="BK79" t="s">
        <v>156</v>
      </c>
      <c r="BL79" t="s">
        <v>694</v>
      </c>
      <c r="BM79" t="s">
        <v>1722</v>
      </c>
      <c r="BN79">
        <v>27345709</v>
      </c>
      <c r="BO79" t="s">
        <v>74</v>
      </c>
      <c r="BP79" t="s">
        <v>74</v>
      </c>
      <c r="BQ79" t="s">
        <v>74</v>
      </c>
      <c r="BR79" t="s">
        <v>105</v>
      </c>
      <c r="BS79" t="s">
        <v>1827</v>
      </c>
      <c r="BT79" t="str">
        <f>HYPERLINK("https%3A%2F%2Fwww.webofscience.com%2Fwos%2Fwoscc%2Ffull-record%2FWOS:000384854100013","View Full Record in Web of Science")</f>
        <v>View Full Record in Web of Science</v>
      </c>
    </row>
    <row r="80" spans="1:72" x14ac:dyDescent="0.15">
      <c r="A80" t="s">
        <v>72</v>
      </c>
      <c r="B80" t="s">
        <v>1828</v>
      </c>
      <c r="C80" t="s">
        <v>74</v>
      </c>
      <c r="D80" t="s">
        <v>74</v>
      </c>
      <c r="E80" t="s">
        <v>74</v>
      </c>
      <c r="F80" t="s">
        <v>1829</v>
      </c>
      <c r="G80" t="s">
        <v>74</v>
      </c>
      <c r="H80" t="s">
        <v>74</v>
      </c>
      <c r="I80" t="s">
        <v>1830</v>
      </c>
      <c r="J80" t="s">
        <v>1218</v>
      </c>
      <c r="K80" t="s">
        <v>74</v>
      </c>
      <c r="L80" t="s">
        <v>74</v>
      </c>
      <c r="M80" t="s">
        <v>78</v>
      </c>
      <c r="N80" t="s">
        <v>1715</v>
      </c>
      <c r="O80" t="s">
        <v>74</v>
      </c>
      <c r="P80" t="s">
        <v>74</v>
      </c>
      <c r="Q80" t="s">
        <v>74</v>
      </c>
      <c r="R80" t="s">
        <v>74</v>
      </c>
      <c r="S80" t="s">
        <v>74</v>
      </c>
      <c r="T80" t="s">
        <v>74</v>
      </c>
      <c r="U80" t="s">
        <v>74</v>
      </c>
      <c r="V80" t="s">
        <v>74</v>
      </c>
      <c r="W80" t="s">
        <v>74</v>
      </c>
      <c r="X80" t="s">
        <v>74</v>
      </c>
      <c r="Y80" t="s">
        <v>74</v>
      </c>
      <c r="Z80" t="s">
        <v>74</v>
      </c>
      <c r="AA80" t="s">
        <v>74</v>
      </c>
      <c r="AB80" t="s">
        <v>74</v>
      </c>
      <c r="AC80" t="s">
        <v>74</v>
      </c>
      <c r="AD80" t="s">
        <v>74</v>
      </c>
      <c r="AE80" t="s">
        <v>74</v>
      </c>
      <c r="AF80" t="s">
        <v>74</v>
      </c>
      <c r="AG80">
        <v>0</v>
      </c>
      <c r="AH80">
        <v>0</v>
      </c>
      <c r="AI80">
        <v>0</v>
      </c>
      <c r="AJ80">
        <v>0</v>
      </c>
      <c r="AK80">
        <v>5</v>
      </c>
      <c r="AL80" t="s">
        <v>1230</v>
      </c>
      <c r="AM80" t="s">
        <v>123</v>
      </c>
      <c r="AN80" t="s">
        <v>1231</v>
      </c>
      <c r="AO80" t="s">
        <v>1232</v>
      </c>
      <c r="AP80" t="s">
        <v>1233</v>
      </c>
      <c r="AQ80" t="s">
        <v>74</v>
      </c>
      <c r="AR80" t="s">
        <v>1218</v>
      </c>
      <c r="AS80" t="s">
        <v>1234</v>
      </c>
      <c r="AT80" t="s">
        <v>1831</v>
      </c>
      <c r="AU80">
        <v>2016</v>
      </c>
      <c r="AV80">
        <v>354</v>
      </c>
      <c r="AW80">
        <v>6309</v>
      </c>
      <c r="AX80" t="s">
        <v>74</v>
      </c>
      <c r="AY80" t="s">
        <v>74</v>
      </c>
      <c r="AZ80" t="s">
        <v>74</v>
      </c>
      <c r="BA80" t="s">
        <v>74</v>
      </c>
      <c r="BB80">
        <v>159</v>
      </c>
      <c r="BC80">
        <v>160</v>
      </c>
      <c r="BD80" t="s">
        <v>74</v>
      </c>
      <c r="BE80" t="s">
        <v>1832</v>
      </c>
      <c r="BF80" t="str">
        <f>HYPERLINK("http://dx.doi.org/10.1126/science.354.6309.159","http://dx.doi.org/10.1126/science.354.6309.159")</f>
        <v>http://dx.doi.org/10.1126/science.354.6309.159</v>
      </c>
      <c r="BG80" t="s">
        <v>74</v>
      </c>
      <c r="BH80" t="s">
        <v>74</v>
      </c>
      <c r="BI80">
        <v>2</v>
      </c>
      <c r="BJ80" t="s">
        <v>719</v>
      </c>
      <c r="BK80" t="s">
        <v>156</v>
      </c>
      <c r="BL80" t="s">
        <v>720</v>
      </c>
      <c r="BM80" t="s">
        <v>1833</v>
      </c>
      <c r="BN80">
        <v>27738150</v>
      </c>
      <c r="BO80" t="s">
        <v>74</v>
      </c>
      <c r="BP80" t="s">
        <v>74</v>
      </c>
      <c r="BQ80" t="s">
        <v>74</v>
      </c>
      <c r="BR80" t="s">
        <v>105</v>
      </c>
      <c r="BS80" t="s">
        <v>1834</v>
      </c>
      <c r="BT80" t="str">
        <f>HYPERLINK("https%3A%2F%2Fwww.webofscience.com%2Fwos%2Fwoscc%2Ffull-record%2FWOS:000387816500013","View Full Record in Web of Science")</f>
        <v>View Full Record in Web of Science</v>
      </c>
    </row>
    <row r="81" spans="1:72" x14ac:dyDescent="0.15">
      <c r="A81" t="s">
        <v>72</v>
      </c>
      <c r="B81" t="s">
        <v>1835</v>
      </c>
      <c r="C81" t="s">
        <v>74</v>
      </c>
      <c r="D81" t="s">
        <v>74</v>
      </c>
      <c r="E81" t="s">
        <v>74</v>
      </c>
      <c r="F81" t="s">
        <v>1836</v>
      </c>
      <c r="G81" t="s">
        <v>74</v>
      </c>
      <c r="H81" t="s">
        <v>74</v>
      </c>
      <c r="I81" t="s">
        <v>1837</v>
      </c>
      <c r="J81" t="s">
        <v>1838</v>
      </c>
      <c r="K81" t="s">
        <v>74</v>
      </c>
      <c r="L81" t="s">
        <v>74</v>
      </c>
      <c r="M81" t="s">
        <v>78</v>
      </c>
      <c r="N81" t="s">
        <v>79</v>
      </c>
      <c r="O81" t="s">
        <v>74</v>
      </c>
      <c r="P81" t="s">
        <v>74</v>
      </c>
      <c r="Q81" t="s">
        <v>74</v>
      </c>
      <c r="R81" t="s">
        <v>74</v>
      </c>
      <c r="S81" t="s">
        <v>74</v>
      </c>
      <c r="T81" t="s">
        <v>74</v>
      </c>
      <c r="U81" t="s">
        <v>1839</v>
      </c>
      <c r="V81" t="s">
        <v>1840</v>
      </c>
      <c r="W81" t="s">
        <v>1841</v>
      </c>
      <c r="X81" t="s">
        <v>1842</v>
      </c>
      <c r="Y81" t="s">
        <v>1843</v>
      </c>
      <c r="Z81" t="s">
        <v>1844</v>
      </c>
      <c r="AA81" t="s">
        <v>1845</v>
      </c>
      <c r="AB81" t="s">
        <v>1846</v>
      </c>
      <c r="AC81" t="s">
        <v>1847</v>
      </c>
      <c r="AD81" t="s">
        <v>1848</v>
      </c>
      <c r="AE81" t="s">
        <v>1849</v>
      </c>
      <c r="AF81" t="s">
        <v>74</v>
      </c>
      <c r="AG81">
        <v>42</v>
      </c>
      <c r="AH81">
        <v>11</v>
      </c>
      <c r="AI81">
        <v>12</v>
      </c>
      <c r="AJ81">
        <v>1</v>
      </c>
      <c r="AK81">
        <v>9</v>
      </c>
      <c r="AL81" t="s">
        <v>1305</v>
      </c>
      <c r="AM81" t="s">
        <v>1306</v>
      </c>
      <c r="AN81" t="s">
        <v>1307</v>
      </c>
      <c r="AO81" t="s">
        <v>1850</v>
      </c>
      <c r="AP81" t="s">
        <v>1851</v>
      </c>
      <c r="AQ81" t="s">
        <v>74</v>
      </c>
      <c r="AR81" t="s">
        <v>1852</v>
      </c>
      <c r="AS81" t="s">
        <v>1853</v>
      </c>
      <c r="AT81" t="s">
        <v>1831</v>
      </c>
      <c r="AU81">
        <v>2016</v>
      </c>
      <c r="AV81">
        <v>12</v>
      </c>
      <c r="AW81">
        <v>10</v>
      </c>
      <c r="AX81" t="s">
        <v>74</v>
      </c>
      <c r="AY81" t="s">
        <v>74</v>
      </c>
      <c r="AZ81" t="s">
        <v>74</v>
      </c>
      <c r="BA81" t="s">
        <v>74</v>
      </c>
      <c r="BB81">
        <v>1979</v>
      </c>
      <c r="BC81">
        <v>1993</v>
      </c>
      <c r="BD81" t="s">
        <v>74</v>
      </c>
      <c r="BE81" t="s">
        <v>1854</v>
      </c>
      <c r="BF81" t="str">
        <f>HYPERLINK("http://dx.doi.org/10.5194/cp-12-1979-2016","http://dx.doi.org/10.5194/cp-12-1979-2016")</f>
        <v>http://dx.doi.org/10.5194/cp-12-1979-2016</v>
      </c>
      <c r="BG81" t="s">
        <v>74</v>
      </c>
      <c r="BH81" t="s">
        <v>74</v>
      </c>
      <c r="BI81">
        <v>15</v>
      </c>
      <c r="BJ81" t="s">
        <v>1336</v>
      </c>
      <c r="BK81" t="s">
        <v>156</v>
      </c>
      <c r="BL81" t="s">
        <v>1337</v>
      </c>
      <c r="BM81" t="s">
        <v>1855</v>
      </c>
      <c r="BN81" t="s">
        <v>74</v>
      </c>
      <c r="BO81" t="s">
        <v>1377</v>
      </c>
      <c r="BP81" t="s">
        <v>74</v>
      </c>
      <c r="BQ81" t="s">
        <v>74</v>
      </c>
      <c r="BR81" t="s">
        <v>105</v>
      </c>
      <c r="BS81" t="s">
        <v>1856</v>
      </c>
      <c r="BT81" t="str">
        <f>HYPERLINK("https%3A%2F%2Fwww.webofscience.com%2Fwos%2Fwoscc%2Ffull-record%2FWOS:000386480500001","View Full Record in Web of Science")</f>
        <v>View Full Record in Web of Science</v>
      </c>
    </row>
    <row r="82" spans="1:72" x14ac:dyDescent="0.15">
      <c r="A82" t="s">
        <v>72</v>
      </c>
      <c r="B82" t="s">
        <v>1857</v>
      </c>
      <c r="C82" t="s">
        <v>74</v>
      </c>
      <c r="D82" t="s">
        <v>74</v>
      </c>
      <c r="E82" t="s">
        <v>74</v>
      </c>
      <c r="F82" t="s">
        <v>1858</v>
      </c>
      <c r="G82" t="s">
        <v>74</v>
      </c>
      <c r="H82" t="s">
        <v>74</v>
      </c>
      <c r="I82" t="s">
        <v>1859</v>
      </c>
      <c r="J82" t="s">
        <v>1860</v>
      </c>
      <c r="K82" t="s">
        <v>74</v>
      </c>
      <c r="L82" t="s">
        <v>74</v>
      </c>
      <c r="M82" t="s">
        <v>78</v>
      </c>
      <c r="N82" t="s">
        <v>79</v>
      </c>
      <c r="O82" t="s">
        <v>74</v>
      </c>
      <c r="P82" t="s">
        <v>74</v>
      </c>
      <c r="Q82" t="s">
        <v>74</v>
      </c>
      <c r="R82" t="s">
        <v>74</v>
      </c>
      <c r="S82" t="s">
        <v>74</v>
      </c>
      <c r="T82" t="s">
        <v>74</v>
      </c>
      <c r="U82" t="s">
        <v>1861</v>
      </c>
      <c r="V82" t="s">
        <v>1862</v>
      </c>
      <c r="W82" t="s">
        <v>1863</v>
      </c>
      <c r="X82" t="s">
        <v>1864</v>
      </c>
      <c r="Y82" t="s">
        <v>1865</v>
      </c>
      <c r="Z82" t="s">
        <v>1866</v>
      </c>
      <c r="AA82" t="s">
        <v>1867</v>
      </c>
      <c r="AB82" t="s">
        <v>1868</v>
      </c>
      <c r="AC82" t="s">
        <v>1869</v>
      </c>
      <c r="AD82" t="s">
        <v>1870</v>
      </c>
      <c r="AE82" t="s">
        <v>1871</v>
      </c>
      <c r="AF82" t="s">
        <v>74</v>
      </c>
      <c r="AG82">
        <v>117</v>
      </c>
      <c r="AH82">
        <v>30</v>
      </c>
      <c r="AI82">
        <v>31</v>
      </c>
      <c r="AJ82">
        <v>5</v>
      </c>
      <c r="AK82">
        <v>45</v>
      </c>
      <c r="AL82" t="s">
        <v>1305</v>
      </c>
      <c r="AM82" t="s">
        <v>1306</v>
      </c>
      <c r="AN82" t="s">
        <v>1307</v>
      </c>
      <c r="AO82" t="s">
        <v>1872</v>
      </c>
      <c r="AP82" t="s">
        <v>1873</v>
      </c>
      <c r="AQ82" t="s">
        <v>74</v>
      </c>
      <c r="AR82" t="s">
        <v>1874</v>
      </c>
      <c r="AS82" t="s">
        <v>1875</v>
      </c>
      <c r="AT82" t="s">
        <v>1831</v>
      </c>
      <c r="AU82">
        <v>2016</v>
      </c>
      <c r="AV82">
        <v>16</v>
      </c>
      <c r="AW82">
        <v>19</v>
      </c>
      <c r="AX82" t="s">
        <v>74</v>
      </c>
      <c r="AY82" t="s">
        <v>74</v>
      </c>
      <c r="AZ82" t="s">
        <v>74</v>
      </c>
      <c r="BA82" t="s">
        <v>74</v>
      </c>
      <c r="BB82">
        <v>12829</v>
      </c>
      <c r="BC82">
        <v>12848</v>
      </c>
      <c r="BD82" t="s">
        <v>74</v>
      </c>
      <c r="BE82" t="s">
        <v>1876</v>
      </c>
      <c r="BF82" t="str">
        <f>HYPERLINK("http://dx.doi.org/10.5194/acp-16-12829-2016","http://dx.doi.org/10.5194/acp-16-12829-2016")</f>
        <v>http://dx.doi.org/10.5194/acp-16-12829-2016</v>
      </c>
      <c r="BG82" t="s">
        <v>74</v>
      </c>
      <c r="BH82" t="s">
        <v>74</v>
      </c>
      <c r="BI82">
        <v>20</v>
      </c>
      <c r="BJ82" t="s">
        <v>1286</v>
      </c>
      <c r="BK82" t="s">
        <v>156</v>
      </c>
      <c r="BL82" t="s">
        <v>825</v>
      </c>
      <c r="BM82" t="s">
        <v>1877</v>
      </c>
      <c r="BN82" t="s">
        <v>74</v>
      </c>
      <c r="BO82" t="s">
        <v>1878</v>
      </c>
      <c r="BP82" t="s">
        <v>74</v>
      </c>
      <c r="BQ82" t="s">
        <v>74</v>
      </c>
      <c r="BR82" t="s">
        <v>105</v>
      </c>
      <c r="BS82" t="s">
        <v>1879</v>
      </c>
      <c r="BT82" t="str">
        <f>HYPERLINK("https%3A%2F%2Fwww.webofscience.com%2Fwos%2Fwoscc%2Ffull-record%2FWOS:000385403800003","View Full Record in Web of Science")</f>
        <v>View Full Record in Web of Science</v>
      </c>
    </row>
    <row r="83" spans="1:72" x14ac:dyDescent="0.15">
      <c r="A83" t="s">
        <v>72</v>
      </c>
      <c r="B83" t="s">
        <v>1880</v>
      </c>
      <c r="C83" t="s">
        <v>74</v>
      </c>
      <c r="D83" t="s">
        <v>74</v>
      </c>
      <c r="E83" t="s">
        <v>74</v>
      </c>
      <c r="F83" t="s">
        <v>1881</v>
      </c>
      <c r="G83" t="s">
        <v>74</v>
      </c>
      <c r="H83" t="s">
        <v>74</v>
      </c>
      <c r="I83" t="s">
        <v>1882</v>
      </c>
      <c r="J83" t="s">
        <v>1268</v>
      </c>
      <c r="K83" t="s">
        <v>74</v>
      </c>
      <c r="L83" t="s">
        <v>74</v>
      </c>
      <c r="M83" t="s">
        <v>78</v>
      </c>
      <c r="N83" t="s">
        <v>79</v>
      </c>
      <c r="O83" t="s">
        <v>74</v>
      </c>
      <c r="P83" t="s">
        <v>74</v>
      </c>
      <c r="Q83" t="s">
        <v>74</v>
      </c>
      <c r="R83" t="s">
        <v>74</v>
      </c>
      <c r="S83" t="s">
        <v>74</v>
      </c>
      <c r="T83" t="s">
        <v>74</v>
      </c>
      <c r="U83" t="s">
        <v>1883</v>
      </c>
      <c r="V83" t="s">
        <v>1884</v>
      </c>
      <c r="W83" t="s">
        <v>1885</v>
      </c>
      <c r="X83" t="s">
        <v>1886</v>
      </c>
      <c r="Y83" t="s">
        <v>1887</v>
      </c>
      <c r="Z83" t="s">
        <v>1888</v>
      </c>
      <c r="AA83" t="s">
        <v>1889</v>
      </c>
      <c r="AB83" t="s">
        <v>1890</v>
      </c>
      <c r="AC83" t="s">
        <v>1891</v>
      </c>
      <c r="AD83" t="s">
        <v>1892</v>
      </c>
      <c r="AE83" t="s">
        <v>74</v>
      </c>
      <c r="AF83" t="s">
        <v>74</v>
      </c>
      <c r="AG83">
        <v>69</v>
      </c>
      <c r="AH83">
        <v>13</v>
      </c>
      <c r="AI83">
        <v>13</v>
      </c>
      <c r="AJ83">
        <v>1</v>
      </c>
      <c r="AK83">
        <v>13</v>
      </c>
      <c r="AL83" t="s">
        <v>1279</v>
      </c>
      <c r="AM83" t="s">
        <v>1280</v>
      </c>
      <c r="AN83" t="s">
        <v>1281</v>
      </c>
      <c r="AO83" t="s">
        <v>1282</v>
      </c>
      <c r="AP83" t="s">
        <v>74</v>
      </c>
      <c r="AQ83" t="s">
        <v>74</v>
      </c>
      <c r="AR83" t="s">
        <v>1283</v>
      </c>
      <c r="AS83" t="s">
        <v>1284</v>
      </c>
      <c r="AT83" t="s">
        <v>1831</v>
      </c>
      <c r="AU83">
        <v>2016</v>
      </c>
      <c r="AV83">
        <v>4</v>
      </c>
      <c r="AW83" t="s">
        <v>74</v>
      </c>
      <c r="AX83" t="s">
        <v>74</v>
      </c>
      <c r="AY83" t="s">
        <v>74</v>
      </c>
      <c r="AZ83" t="s">
        <v>74</v>
      </c>
      <c r="BA83" t="s">
        <v>74</v>
      </c>
      <c r="BB83" t="s">
        <v>74</v>
      </c>
      <c r="BC83" t="s">
        <v>74</v>
      </c>
      <c r="BD83">
        <v>135</v>
      </c>
      <c r="BE83" t="s">
        <v>1893</v>
      </c>
      <c r="BF83" t="str">
        <f>HYPERLINK("http://dx.doi.org/10.12952/journal.elementa.000135","http://dx.doi.org/10.12952/journal.elementa.000135")</f>
        <v>http://dx.doi.org/10.12952/journal.elementa.000135</v>
      </c>
      <c r="BG83" t="s">
        <v>74</v>
      </c>
      <c r="BH83" t="s">
        <v>74</v>
      </c>
      <c r="BI83">
        <v>20</v>
      </c>
      <c r="BJ83" t="s">
        <v>1286</v>
      </c>
      <c r="BK83" t="s">
        <v>156</v>
      </c>
      <c r="BL83" t="s">
        <v>825</v>
      </c>
      <c r="BM83" t="s">
        <v>1894</v>
      </c>
      <c r="BN83" t="s">
        <v>74</v>
      </c>
      <c r="BO83" t="s">
        <v>1083</v>
      </c>
      <c r="BP83" t="s">
        <v>74</v>
      </c>
      <c r="BQ83" t="s">
        <v>74</v>
      </c>
      <c r="BR83" t="s">
        <v>105</v>
      </c>
      <c r="BS83" t="s">
        <v>1895</v>
      </c>
      <c r="BT83" t="str">
        <f>HYPERLINK("https%3A%2F%2Fwww.webofscience.com%2Fwos%2Fwoscc%2Ffull-record%2FWOS:000389923400001","View Full Record in Web of Science")</f>
        <v>View Full Record in Web of Science</v>
      </c>
    </row>
    <row r="84" spans="1:72" x14ac:dyDescent="0.15">
      <c r="A84" t="s">
        <v>72</v>
      </c>
      <c r="B84" t="s">
        <v>1896</v>
      </c>
      <c r="C84" t="s">
        <v>74</v>
      </c>
      <c r="D84" t="s">
        <v>74</v>
      </c>
      <c r="E84" t="s">
        <v>74</v>
      </c>
      <c r="F84" t="s">
        <v>1897</v>
      </c>
      <c r="G84" t="s">
        <v>74</v>
      </c>
      <c r="H84" t="s">
        <v>74</v>
      </c>
      <c r="I84" t="s">
        <v>1898</v>
      </c>
      <c r="J84" t="s">
        <v>1147</v>
      </c>
      <c r="K84" t="s">
        <v>74</v>
      </c>
      <c r="L84" t="s">
        <v>74</v>
      </c>
      <c r="M84" t="s">
        <v>78</v>
      </c>
      <c r="N84" t="s">
        <v>79</v>
      </c>
      <c r="O84" t="s">
        <v>74</v>
      </c>
      <c r="P84" t="s">
        <v>74</v>
      </c>
      <c r="Q84" t="s">
        <v>74</v>
      </c>
      <c r="R84" t="s">
        <v>74</v>
      </c>
      <c r="S84" t="s">
        <v>74</v>
      </c>
      <c r="T84" t="s">
        <v>1899</v>
      </c>
      <c r="U84" t="s">
        <v>1900</v>
      </c>
      <c r="V84" t="s">
        <v>1901</v>
      </c>
      <c r="W84" t="s">
        <v>1902</v>
      </c>
      <c r="X84" t="s">
        <v>1903</v>
      </c>
      <c r="Y84" t="s">
        <v>1904</v>
      </c>
      <c r="Z84" t="s">
        <v>1905</v>
      </c>
      <c r="AA84" t="s">
        <v>1906</v>
      </c>
      <c r="AB84" t="s">
        <v>1907</v>
      </c>
      <c r="AC84" t="s">
        <v>1908</v>
      </c>
      <c r="AD84" t="s">
        <v>1909</v>
      </c>
      <c r="AE84" t="s">
        <v>1910</v>
      </c>
      <c r="AF84" t="s">
        <v>74</v>
      </c>
      <c r="AG84">
        <v>96</v>
      </c>
      <c r="AH84">
        <v>28</v>
      </c>
      <c r="AI84">
        <v>35</v>
      </c>
      <c r="AJ84">
        <v>2</v>
      </c>
      <c r="AK84">
        <v>101</v>
      </c>
      <c r="AL84" t="s">
        <v>1911</v>
      </c>
      <c r="AM84" t="s">
        <v>250</v>
      </c>
      <c r="AN84" t="s">
        <v>1912</v>
      </c>
      <c r="AO84" t="s">
        <v>1161</v>
      </c>
      <c r="AP84" t="s">
        <v>74</v>
      </c>
      <c r="AQ84" t="s">
        <v>74</v>
      </c>
      <c r="AR84" t="s">
        <v>1162</v>
      </c>
      <c r="AS84" t="s">
        <v>1163</v>
      </c>
      <c r="AT84" t="s">
        <v>1913</v>
      </c>
      <c r="AU84">
        <v>2016</v>
      </c>
      <c r="AV84">
        <v>16</v>
      </c>
      <c r="AW84" t="s">
        <v>74</v>
      </c>
      <c r="AX84" t="s">
        <v>74</v>
      </c>
      <c r="AY84" t="s">
        <v>74</v>
      </c>
      <c r="AZ84" t="s">
        <v>74</v>
      </c>
      <c r="BA84" t="s">
        <v>74</v>
      </c>
      <c r="BB84" t="s">
        <v>74</v>
      </c>
      <c r="BC84" t="s">
        <v>74</v>
      </c>
      <c r="BD84">
        <v>211</v>
      </c>
      <c r="BE84" t="s">
        <v>1914</v>
      </c>
      <c r="BF84" t="str">
        <f>HYPERLINK("http://dx.doi.org/10.1186/s12862-016-0784-z","http://dx.doi.org/10.1186/s12862-016-0784-z")</f>
        <v>http://dx.doi.org/10.1186/s12862-016-0784-z</v>
      </c>
      <c r="BG84" t="s">
        <v>74</v>
      </c>
      <c r="BH84" t="s">
        <v>74</v>
      </c>
      <c r="BI84">
        <v>14</v>
      </c>
      <c r="BJ84" t="s">
        <v>379</v>
      </c>
      <c r="BK84" t="s">
        <v>156</v>
      </c>
      <c r="BL84" t="s">
        <v>379</v>
      </c>
      <c r="BM84" t="s">
        <v>1915</v>
      </c>
      <c r="BN84">
        <v>27733109</v>
      </c>
      <c r="BO84" t="s">
        <v>1916</v>
      </c>
      <c r="BP84" t="s">
        <v>74</v>
      </c>
      <c r="BQ84" t="s">
        <v>74</v>
      </c>
      <c r="BR84" t="s">
        <v>105</v>
      </c>
      <c r="BS84" t="s">
        <v>1917</v>
      </c>
      <c r="BT84" t="str">
        <f>HYPERLINK("https%3A%2F%2Fwww.webofscience.com%2Fwos%2Fwoscc%2Ffull-record%2FWOS:000386026100001","View Full Record in Web of Science")</f>
        <v>View Full Record in Web of Science</v>
      </c>
    </row>
    <row r="85" spans="1:72" x14ac:dyDescent="0.15">
      <c r="A85" t="s">
        <v>72</v>
      </c>
      <c r="B85" t="s">
        <v>1918</v>
      </c>
      <c r="C85" t="s">
        <v>74</v>
      </c>
      <c r="D85" t="s">
        <v>74</v>
      </c>
      <c r="E85" t="s">
        <v>74</v>
      </c>
      <c r="F85" t="s">
        <v>1919</v>
      </c>
      <c r="G85" t="s">
        <v>74</v>
      </c>
      <c r="H85" t="s">
        <v>74</v>
      </c>
      <c r="I85" t="s">
        <v>1920</v>
      </c>
      <c r="J85" t="s">
        <v>1921</v>
      </c>
      <c r="K85" t="s">
        <v>74</v>
      </c>
      <c r="L85" t="s">
        <v>74</v>
      </c>
      <c r="M85" t="s">
        <v>78</v>
      </c>
      <c r="N85" t="s">
        <v>79</v>
      </c>
      <c r="O85" t="s">
        <v>74</v>
      </c>
      <c r="P85" t="s">
        <v>74</v>
      </c>
      <c r="Q85" t="s">
        <v>74</v>
      </c>
      <c r="R85" t="s">
        <v>74</v>
      </c>
      <c r="S85" t="s">
        <v>74</v>
      </c>
      <c r="T85" t="s">
        <v>74</v>
      </c>
      <c r="U85" t="s">
        <v>1922</v>
      </c>
      <c r="V85" t="s">
        <v>1923</v>
      </c>
      <c r="W85" t="s">
        <v>1924</v>
      </c>
      <c r="X85" t="s">
        <v>1925</v>
      </c>
      <c r="Y85" t="s">
        <v>1926</v>
      </c>
      <c r="Z85" t="s">
        <v>1927</v>
      </c>
      <c r="AA85" t="s">
        <v>1928</v>
      </c>
      <c r="AB85" t="s">
        <v>1929</v>
      </c>
      <c r="AC85" t="s">
        <v>1930</v>
      </c>
      <c r="AD85" t="s">
        <v>1931</v>
      </c>
      <c r="AE85" t="s">
        <v>1932</v>
      </c>
      <c r="AF85" t="s">
        <v>74</v>
      </c>
      <c r="AG85">
        <v>58</v>
      </c>
      <c r="AH85">
        <v>52</v>
      </c>
      <c r="AI85">
        <v>53</v>
      </c>
      <c r="AJ85">
        <v>0</v>
      </c>
      <c r="AK85">
        <v>15</v>
      </c>
      <c r="AL85" t="s">
        <v>1305</v>
      </c>
      <c r="AM85" t="s">
        <v>1306</v>
      </c>
      <c r="AN85" t="s">
        <v>1307</v>
      </c>
      <c r="AO85" t="s">
        <v>1933</v>
      </c>
      <c r="AP85" t="s">
        <v>1934</v>
      </c>
      <c r="AQ85" t="s">
        <v>74</v>
      </c>
      <c r="AR85" t="s">
        <v>1935</v>
      </c>
      <c r="AS85" t="s">
        <v>1936</v>
      </c>
      <c r="AT85" t="s">
        <v>1913</v>
      </c>
      <c r="AU85">
        <v>2016</v>
      </c>
      <c r="AV85">
        <v>9</v>
      </c>
      <c r="AW85">
        <v>10</v>
      </c>
      <c r="AX85" t="s">
        <v>74</v>
      </c>
      <c r="AY85" t="s">
        <v>74</v>
      </c>
      <c r="AZ85" t="s">
        <v>74</v>
      </c>
      <c r="BA85" t="s">
        <v>74</v>
      </c>
      <c r="BB85">
        <v>3655</v>
      </c>
      <c r="BC85">
        <v>3670</v>
      </c>
      <c r="BD85" t="s">
        <v>74</v>
      </c>
      <c r="BE85" t="s">
        <v>1937</v>
      </c>
      <c r="BF85" t="str">
        <f>HYPERLINK("http://dx.doi.org/10.5194/gmd-9-3655-2016","http://dx.doi.org/10.5194/gmd-9-3655-2016")</f>
        <v>http://dx.doi.org/10.5194/gmd-9-3655-2016</v>
      </c>
      <c r="BG85" t="s">
        <v>74</v>
      </c>
      <c r="BH85" t="s">
        <v>74</v>
      </c>
      <c r="BI85">
        <v>16</v>
      </c>
      <c r="BJ85" t="s">
        <v>352</v>
      </c>
      <c r="BK85" t="s">
        <v>156</v>
      </c>
      <c r="BL85" t="s">
        <v>177</v>
      </c>
      <c r="BM85" t="s">
        <v>1938</v>
      </c>
      <c r="BN85" t="s">
        <v>74</v>
      </c>
      <c r="BO85" t="s">
        <v>1878</v>
      </c>
      <c r="BP85" t="s">
        <v>74</v>
      </c>
      <c r="BQ85" t="s">
        <v>74</v>
      </c>
      <c r="BR85" t="s">
        <v>105</v>
      </c>
      <c r="BS85" t="s">
        <v>1939</v>
      </c>
      <c r="BT85" t="str">
        <f>HYPERLINK("https%3A%2F%2Fwww.webofscience.com%2Fwos%2Fwoscc%2Ffull-record%2FWOS:000385388800002","View Full Record in Web of Science")</f>
        <v>View Full Record in Web of Science</v>
      </c>
    </row>
    <row r="86" spans="1:72" x14ac:dyDescent="0.15">
      <c r="A86" t="s">
        <v>72</v>
      </c>
      <c r="B86" t="s">
        <v>1940</v>
      </c>
      <c r="C86" t="s">
        <v>74</v>
      </c>
      <c r="D86" t="s">
        <v>74</v>
      </c>
      <c r="E86" t="s">
        <v>74</v>
      </c>
      <c r="F86" t="s">
        <v>1941</v>
      </c>
      <c r="G86" t="s">
        <v>74</v>
      </c>
      <c r="H86" t="s">
        <v>74</v>
      </c>
      <c r="I86" t="s">
        <v>1942</v>
      </c>
      <c r="J86" t="s">
        <v>1943</v>
      </c>
      <c r="K86" t="s">
        <v>74</v>
      </c>
      <c r="L86" t="s">
        <v>74</v>
      </c>
      <c r="M86" t="s">
        <v>78</v>
      </c>
      <c r="N86" t="s">
        <v>79</v>
      </c>
      <c r="O86" t="s">
        <v>74</v>
      </c>
      <c r="P86" t="s">
        <v>74</v>
      </c>
      <c r="Q86" t="s">
        <v>74</v>
      </c>
      <c r="R86" t="s">
        <v>74</v>
      </c>
      <c r="S86" t="s">
        <v>74</v>
      </c>
      <c r="T86" t="s">
        <v>1944</v>
      </c>
      <c r="U86" t="s">
        <v>1945</v>
      </c>
      <c r="V86" t="s">
        <v>1946</v>
      </c>
      <c r="W86" t="s">
        <v>1947</v>
      </c>
      <c r="X86" t="s">
        <v>1948</v>
      </c>
      <c r="Y86" t="s">
        <v>1949</v>
      </c>
      <c r="Z86" t="s">
        <v>1950</v>
      </c>
      <c r="AA86" t="s">
        <v>74</v>
      </c>
      <c r="AB86" t="s">
        <v>1951</v>
      </c>
      <c r="AC86" t="s">
        <v>74</v>
      </c>
      <c r="AD86" t="s">
        <v>74</v>
      </c>
      <c r="AE86" t="s">
        <v>74</v>
      </c>
      <c r="AF86" t="s">
        <v>74</v>
      </c>
      <c r="AG86">
        <v>48</v>
      </c>
      <c r="AH86">
        <v>18</v>
      </c>
      <c r="AI86">
        <v>18</v>
      </c>
      <c r="AJ86">
        <v>0</v>
      </c>
      <c r="AK86">
        <v>16</v>
      </c>
      <c r="AL86" t="s">
        <v>196</v>
      </c>
      <c r="AM86" t="s">
        <v>93</v>
      </c>
      <c r="AN86" t="s">
        <v>197</v>
      </c>
      <c r="AO86" t="s">
        <v>1952</v>
      </c>
      <c r="AP86" t="s">
        <v>1953</v>
      </c>
      <c r="AQ86" t="s">
        <v>74</v>
      </c>
      <c r="AR86" t="s">
        <v>1943</v>
      </c>
      <c r="AS86" t="s">
        <v>1954</v>
      </c>
      <c r="AT86" t="s">
        <v>1955</v>
      </c>
      <c r="AU86">
        <v>2016</v>
      </c>
      <c r="AV86">
        <v>688</v>
      </c>
      <c r="AW86" t="s">
        <v>74</v>
      </c>
      <c r="AX86" t="s">
        <v>74</v>
      </c>
      <c r="AY86" t="s">
        <v>74</v>
      </c>
      <c r="AZ86" t="s">
        <v>74</v>
      </c>
      <c r="BA86" t="s">
        <v>74</v>
      </c>
      <c r="BB86">
        <v>65</v>
      </c>
      <c r="BC86">
        <v>83</v>
      </c>
      <c r="BD86" t="s">
        <v>74</v>
      </c>
      <c r="BE86" t="s">
        <v>1956</v>
      </c>
      <c r="BF86" t="str">
        <f>HYPERLINK("http://dx.doi.org/10.1016/j.tecto.2016.09.018","http://dx.doi.org/10.1016/j.tecto.2016.09.018")</f>
        <v>http://dx.doi.org/10.1016/j.tecto.2016.09.018</v>
      </c>
      <c r="BG86" t="s">
        <v>74</v>
      </c>
      <c r="BH86" t="s">
        <v>74</v>
      </c>
      <c r="BI86">
        <v>19</v>
      </c>
      <c r="BJ86" t="s">
        <v>155</v>
      </c>
      <c r="BK86" t="s">
        <v>156</v>
      </c>
      <c r="BL86" t="s">
        <v>155</v>
      </c>
      <c r="BM86" t="s">
        <v>1957</v>
      </c>
      <c r="BN86" t="s">
        <v>74</v>
      </c>
      <c r="BO86" t="s">
        <v>74</v>
      </c>
      <c r="BP86" t="s">
        <v>74</v>
      </c>
      <c r="BQ86" t="s">
        <v>74</v>
      </c>
      <c r="BR86" t="s">
        <v>105</v>
      </c>
      <c r="BS86" t="s">
        <v>1958</v>
      </c>
      <c r="BT86" t="str">
        <f>HYPERLINK("https%3A%2F%2Fwww.webofscience.com%2Fwos%2Fwoscc%2Ffull-record%2FWOS:000387524500006","View Full Record in Web of Science")</f>
        <v>View Full Record in Web of Science</v>
      </c>
    </row>
    <row r="87" spans="1:72" x14ac:dyDescent="0.15">
      <c r="A87" t="s">
        <v>72</v>
      </c>
      <c r="B87" t="s">
        <v>1959</v>
      </c>
      <c r="C87" t="s">
        <v>74</v>
      </c>
      <c r="D87" t="s">
        <v>74</v>
      </c>
      <c r="E87" t="s">
        <v>74</v>
      </c>
      <c r="F87" t="s">
        <v>1960</v>
      </c>
      <c r="G87" t="s">
        <v>74</v>
      </c>
      <c r="H87" t="s">
        <v>74</v>
      </c>
      <c r="I87" t="s">
        <v>1961</v>
      </c>
      <c r="J87" t="s">
        <v>1072</v>
      </c>
      <c r="K87" t="s">
        <v>74</v>
      </c>
      <c r="L87" t="s">
        <v>74</v>
      </c>
      <c r="M87" t="s">
        <v>78</v>
      </c>
      <c r="N87" t="s">
        <v>79</v>
      </c>
      <c r="O87" t="s">
        <v>74</v>
      </c>
      <c r="P87" t="s">
        <v>74</v>
      </c>
      <c r="Q87" t="s">
        <v>74</v>
      </c>
      <c r="R87" t="s">
        <v>74</v>
      </c>
      <c r="S87" t="s">
        <v>74</v>
      </c>
      <c r="T87" t="s">
        <v>74</v>
      </c>
      <c r="U87" t="s">
        <v>1962</v>
      </c>
      <c r="V87" t="s">
        <v>1963</v>
      </c>
      <c r="W87" t="s">
        <v>1964</v>
      </c>
      <c r="X87" t="s">
        <v>1965</v>
      </c>
      <c r="Y87" t="s">
        <v>1966</v>
      </c>
      <c r="Z87" t="s">
        <v>1967</v>
      </c>
      <c r="AA87" t="s">
        <v>74</v>
      </c>
      <c r="AB87" t="s">
        <v>1968</v>
      </c>
      <c r="AC87" t="s">
        <v>1969</v>
      </c>
      <c r="AD87" t="s">
        <v>1970</v>
      </c>
      <c r="AE87" t="s">
        <v>1971</v>
      </c>
      <c r="AF87" t="s">
        <v>74</v>
      </c>
      <c r="AG87">
        <v>54</v>
      </c>
      <c r="AH87">
        <v>13</v>
      </c>
      <c r="AI87">
        <v>13</v>
      </c>
      <c r="AJ87">
        <v>0</v>
      </c>
      <c r="AK87">
        <v>12</v>
      </c>
      <c r="AL87" t="s">
        <v>1074</v>
      </c>
      <c r="AM87" t="s">
        <v>1075</v>
      </c>
      <c r="AN87" t="s">
        <v>1076</v>
      </c>
      <c r="AO87" t="s">
        <v>1077</v>
      </c>
      <c r="AP87" t="s">
        <v>74</v>
      </c>
      <c r="AQ87" t="s">
        <v>74</v>
      </c>
      <c r="AR87" t="s">
        <v>1072</v>
      </c>
      <c r="AS87" t="s">
        <v>1078</v>
      </c>
      <c r="AT87" t="s">
        <v>1955</v>
      </c>
      <c r="AU87">
        <v>2016</v>
      </c>
      <c r="AV87">
        <v>11</v>
      </c>
      <c r="AW87">
        <v>10</v>
      </c>
      <c r="AX87" t="s">
        <v>74</v>
      </c>
      <c r="AY87" t="s">
        <v>74</v>
      </c>
      <c r="AZ87" t="s">
        <v>74</v>
      </c>
      <c r="BA87" t="s">
        <v>74</v>
      </c>
      <c r="BB87" t="s">
        <v>74</v>
      </c>
      <c r="BC87" t="s">
        <v>74</v>
      </c>
      <c r="BD87" t="s">
        <v>1972</v>
      </c>
      <c r="BE87" t="s">
        <v>1973</v>
      </c>
      <c r="BF87" t="str">
        <f>HYPERLINK("http://dx.doi.org/10.1371/journal.pone.0163152","http://dx.doi.org/10.1371/journal.pone.0163152")</f>
        <v>http://dx.doi.org/10.1371/journal.pone.0163152</v>
      </c>
      <c r="BG87" t="s">
        <v>74</v>
      </c>
      <c r="BH87" t="s">
        <v>74</v>
      </c>
      <c r="BI87">
        <v>16</v>
      </c>
      <c r="BJ87" t="s">
        <v>719</v>
      </c>
      <c r="BK87" t="s">
        <v>156</v>
      </c>
      <c r="BL87" t="s">
        <v>720</v>
      </c>
      <c r="BM87" t="s">
        <v>1974</v>
      </c>
      <c r="BN87">
        <v>27732608</v>
      </c>
      <c r="BO87" t="s">
        <v>1975</v>
      </c>
      <c r="BP87" t="s">
        <v>74</v>
      </c>
      <c r="BQ87" t="s">
        <v>74</v>
      </c>
      <c r="BR87" t="s">
        <v>105</v>
      </c>
      <c r="BS87" t="s">
        <v>1976</v>
      </c>
      <c r="BT87" t="str">
        <f>HYPERLINK("https%3A%2F%2Fwww.webofscience.com%2Fwos%2Fwoscc%2Ffull-record%2FWOS:000385505300010","View Full Record in Web of Science")</f>
        <v>View Full Record in Web of Science</v>
      </c>
    </row>
    <row r="88" spans="1:72" x14ac:dyDescent="0.15">
      <c r="A88" t="s">
        <v>72</v>
      </c>
      <c r="B88" t="s">
        <v>1977</v>
      </c>
      <c r="C88" t="s">
        <v>74</v>
      </c>
      <c r="D88" t="s">
        <v>74</v>
      </c>
      <c r="E88" t="s">
        <v>74</v>
      </c>
      <c r="F88" t="s">
        <v>1978</v>
      </c>
      <c r="G88" t="s">
        <v>74</v>
      </c>
      <c r="H88" t="s">
        <v>74</v>
      </c>
      <c r="I88" t="s">
        <v>1979</v>
      </c>
      <c r="J88" t="s">
        <v>1838</v>
      </c>
      <c r="K88" t="s">
        <v>74</v>
      </c>
      <c r="L88" t="s">
        <v>74</v>
      </c>
      <c r="M88" t="s">
        <v>78</v>
      </c>
      <c r="N88" t="s">
        <v>79</v>
      </c>
      <c r="O88" t="s">
        <v>74</v>
      </c>
      <c r="P88" t="s">
        <v>74</v>
      </c>
      <c r="Q88" t="s">
        <v>74</v>
      </c>
      <c r="R88" t="s">
        <v>74</v>
      </c>
      <c r="S88" t="s">
        <v>74</v>
      </c>
      <c r="T88" t="s">
        <v>74</v>
      </c>
      <c r="U88" t="s">
        <v>1980</v>
      </c>
      <c r="V88" t="s">
        <v>1981</v>
      </c>
      <c r="W88" t="s">
        <v>1982</v>
      </c>
      <c r="X88" t="s">
        <v>1983</v>
      </c>
      <c r="Y88" t="s">
        <v>1984</v>
      </c>
      <c r="Z88" t="s">
        <v>1985</v>
      </c>
      <c r="AA88" t="s">
        <v>74</v>
      </c>
      <c r="AB88" t="s">
        <v>1986</v>
      </c>
      <c r="AC88" t="s">
        <v>1987</v>
      </c>
      <c r="AD88" t="s">
        <v>1988</v>
      </c>
      <c r="AE88" t="s">
        <v>1989</v>
      </c>
      <c r="AF88" t="s">
        <v>74</v>
      </c>
      <c r="AG88">
        <v>187</v>
      </c>
      <c r="AH88">
        <v>9</v>
      </c>
      <c r="AI88">
        <v>9</v>
      </c>
      <c r="AJ88">
        <v>0</v>
      </c>
      <c r="AK88">
        <v>15</v>
      </c>
      <c r="AL88" t="s">
        <v>1305</v>
      </c>
      <c r="AM88" t="s">
        <v>1306</v>
      </c>
      <c r="AN88" t="s">
        <v>1307</v>
      </c>
      <c r="AO88" t="s">
        <v>1850</v>
      </c>
      <c r="AP88" t="s">
        <v>1851</v>
      </c>
      <c r="AQ88" t="s">
        <v>74</v>
      </c>
      <c r="AR88" t="s">
        <v>1852</v>
      </c>
      <c r="AS88" t="s">
        <v>1853</v>
      </c>
      <c r="AT88" t="s">
        <v>1955</v>
      </c>
      <c r="AU88">
        <v>2016</v>
      </c>
      <c r="AV88">
        <v>12</v>
      </c>
      <c r="AW88">
        <v>10</v>
      </c>
      <c r="AX88" t="s">
        <v>74</v>
      </c>
      <c r="AY88" t="s">
        <v>74</v>
      </c>
      <c r="AZ88" t="s">
        <v>74</v>
      </c>
      <c r="BA88" t="s">
        <v>74</v>
      </c>
      <c r="BB88">
        <v>1949</v>
      </c>
      <c r="BC88">
        <v>1978</v>
      </c>
      <c r="BD88" t="s">
        <v>74</v>
      </c>
      <c r="BE88" t="s">
        <v>1990</v>
      </c>
      <c r="BF88" t="str">
        <f>HYPERLINK("http://dx.doi.org/10.5194/cp-12-1949-2016","http://dx.doi.org/10.5194/cp-12-1949-2016")</f>
        <v>http://dx.doi.org/10.5194/cp-12-1949-2016</v>
      </c>
      <c r="BG88" t="s">
        <v>74</v>
      </c>
      <c r="BH88" t="s">
        <v>74</v>
      </c>
      <c r="BI88">
        <v>30</v>
      </c>
      <c r="BJ88" t="s">
        <v>1336</v>
      </c>
      <c r="BK88" t="s">
        <v>156</v>
      </c>
      <c r="BL88" t="s">
        <v>1337</v>
      </c>
      <c r="BM88" t="s">
        <v>1991</v>
      </c>
      <c r="BN88" t="s">
        <v>74</v>
      </c>
      <c r="BO88" t="s">
        <v>1467</v>
      </c>
      <c r="BP88" t="s">
        <v>74</v>
      </c>
      <c r="BQ88" t="s">
        <v>74</v>
      </c>
      <c r="BR88" t="s">
        <v>105</v>
      </c>
      <c r="BS88" t="s">
        <v>1992</v>
      </c>
      <c r="BT88" t="str">
        <f>HYPERLINK("https%3A%2F%2Fwww.webofscience.com%2Fwos%2Fwoscc%2Ffull-record%2FWOS:000401350800001","View Full Record in Web of Science")</f>
        <v>View Full Record in Web of Science</v>
      </c>
    </row>
    <row r="89" spans="1:72" x14ac:dyDescent="0.15">
      <c r="A89" t="s">
        <v>72</v>
      </c>
      <c r="B89" t="s">
        <v>1993</v>
      </c>
      <c r="C89" t="s">
        <v>74</v>
      </c>
      <c r="D89" t="s">
        <v>74</v>
      </c>
      <c r="E89" t="s">
        <v>74</v>
      </c>
      <c r="F89" t="s">
        <v>1994</v>
      </c>
      <c r="G89" t="s">
        <v>74</v>
      </c>
      <c r="H89" t="s">
        <v>74</v>
      </c>
      <c r="I89" t="s">
        <v>1995</v>
      </c>
      <c r="J89" t="s">
        <v>1072</v>
      </c>
      <c r="K89" t="s">
        <v>74</v>
      </c>
      <c r="L89" t="s">
        <v>74</v>
      </c>
      <c r="M89" t="s">
        <v>78</v>
      </c>
      <c r="N89" t="s">
        <v>79</v>
      </c>
      <c r="O89" t="s">
        <v>74</v>
      </c>
      <c r="P89" t="s">
        <v>74</v>
      </c>
      <c r="Q89" t="s">
        <v>74</v>
      </c>
      <c r="R89" t="s">
        <v>74</v>
      </c>
      <c r="S89" t="s">
        <v>74</v>
      </c>
      <c r="T89" t="s">
        <v>74</v>
      </c>
      <c r="U89" t="s">
        <v>1996</v>
      </c>
      <c r="V89" t="s">
        <v>1997</v>
      </c>
      <c r="W89" t="s">
        <v>1998</v>
      </c>
      <c r="X89" t="s">
        <v>1999</v>
      </c>
      <c r="Y89" t="s">
        <v>2000</v>
      </c>
      <c r="Z89" t="s">
        <v>2001</v>
      </c>
      <c r="AA89" t="s">
        <v>2002</v>
      </c>
      <c r="AB89" t="s">
        <v>2003</v>
      </c>
      <c r="AC89" t="s">
        <v>2004</v>
      </c>
      <c r="AD89" t="s">
        <v>2005</v>
      </c>
      <c r="AE89" t="s">
        <v>2006</v>
      </c>
      <c r="AF89" t="s">
        <v>74</v>
      </c>
      <c r="AG89">
        <v>85</v>
      </c>
      <c r="AH89">
        <v>17</v>
      </c>
      <c r="AI89">
        <v>18</v>
      </c>
      <c r="AJ89">
        <v>1</v>
      </c>
      <c r="AK89">
        <v>14</v>
      </c>
      <c r="AL89" t="s">
        <v>1074</v>
      </c>
      <c r="AM89" t="s">
        <v>1075</v>
      </c>
      <c r="AN89" t="s">
        <v>1076</v>
      </c>
      <c r="AO89" t="s">
        <v>1077</v>
      </c>
      <c r="AP89" t="s">
        <v>74</v>
      </c>
      <c r="AQ89" t="s">
        <v>74</v>
      </c>
      <c r="AR89" t="s">
        <v>1072</v>
      </c>
      <c r="AS89" t="s">
        <v>1078</v>
      </c>
      <c r="AT89" t="s">
        <v>1955</v>
      </c>
      <c r="AU89">
        <v>2016</v>
      </c>
      <c r="AV89">
        <v>11</v>
      </c>
      <c r="AW89">
        <v>10</v>
      </c>
      <c r="AX89" t="s">
        <v>74</v>
      </c>
      <c r="AY89" t="s">
        <v>74</v>
      </c>
      <c r="AZ89" t="s">
        <v>74</v>
      </c>
      <c r="BA89" t="s">
        <v>74</v>
      </c>
      <c r="BB89" t="s">
        <v>74</v>
      </c>
      <c r="BC89" t="s">
        <v>74</v>
      </c>
      <c r="BD89" t="s">
        <v>2007</v>
      </c>
      <c r="BE89" t="s">
        <v>2008</v>
      </c>
      <c r="BF89" t="str">
        <f>HYPERLINK("http://dx.doi.org/10.1371/journal.pone.0163740","http://dx.doi.org/10.1371/journal.pone.0163740")</f>
        <v>http://dx.doi.org/10.1371/journal.pone.0163740</v>
      </c>
      <c r="BG89" t="s">
        <v>74</v>
      </c>
      <c r="BH89" t="s">
        <v>74</v>
      </c>
      <c r="BI89">
        <v>20</v>
      </c>
      <c r="BJ89" t="s">
        <v>719</v>
      </c>
      <c r="BK89" t="s">
        <v>156</v>
      </c>
      <c r="BL89" t="s">
        <v>720</v>
      </c>
      <c r="BM89" t="s">
        <v>1974</v>
      </c>
      <c r="BN89">
        <v>27732621</v>
      </c>
      <c r="BO89" t="s">
        <v>2009</v>
      </c>
      <c r="BP89" t="s">
        <v>74</v>
      </c>
      <c r="BQ89" t="s">
        <v>74</v>
      </c>
      <c r="BR89" t="s">
        <v>105</v>
      </c>
      <c r="BS89" t="s">
        <v>2010</v>
      </c>
      <c r="BT89" t="str">
        <f>HYPERLINK("https%3A%2F%2Fwww.webofscience.com%2Fwos%2Fwoscc%2Ffull-record%2FWOS:000385505300027","View Full Record in Web of Science")</f>
        <v>View Full Record in Web of Science</v>
      </c>
    </row>
    <row r="90" spans="1:72" x14ac:dyDescent="0.15">
      <c r="A90" t="s">
        <v>72</v>
      </c>
      <c r="B90" t="s">
        <v>2011</v>
      </c>
      <c r="C90" t="s">
        <v>74</v>
      </c>
      <c r="D90" t="s">
        <v>74</v>
      </c>
      <c r="E90" t="s">
        <v>74</v>
      </c>
      <c r="F90" t="s">
        <v>2012</v>
      </c>
      <c r="G90" t="s">
        <v>74</v>
      </c>
      <c r="H90" t="s">
        <v>74</v>
      </c>
      <c r="I90" t="s">
        <v>2013</v>
      </c>
      <c r="J90" t="s">
        <v>2014</v>
      </c>
      <c r="K90" t="s">
        <v>74</v>
      </c>
      <c r="L90" t="s">
        <v>74</v>
      </c>
      <c r="M90" t="s">
        <v>78</v>
      </c>
      <c r="N90" t="s">
        <v>79</v>
      </c>
      <c r="O90" t="s">
        <v>74</v>
      </c>
      <c r="P90" t="s">
        <v>74</v>
      </c>
      <c r="Q90" t="s">
        <v>74</v>
      </c>
      <c r="R90" t="s">
        <v>74</v>
      </c>
      <c r="S90" t="s">
        <v>74</v>
      </c>
      <c r="T90" t="s">
        <v>74</v>
      </c>
      <c r="U90" t="s">
        <v>2015</v>
      </c>
      <c r="V90" t="s">
        <v>2016</v>
      </c>
      <c r="W90" t="s">
        <v>2017</v>
      </c>
      <c r="X90" t="s">
        <v>2018</v>
      </c>
      <c r="Y90" t="s">
        <v>2019</v>
      </c>
      <c r="Z90" t="s">
        <v>2020</v>
      </c>
      <c r="AA90" t="s">
        <v>2021</v>
      </c>
      <c r="AB90" t="s">
        <v>74</v>
      </c>
      <c r="AC90" t="s">
        <v>2022</v>
      </c>
      <c r="AD90" t="s">
        <v>2023</v>
      </c>
      <c r="AE90" t="s">
        <v>2024</v>
      </c>
      <c r="AF90" t="s">
        <v>74</v>
      </c>
      <c r="AG90">
        <v>53</v>
      </c>
      <c r="AH90">
        <v>73</v>
      </c>
      <c r="AI90">
        <v>78</v>
      </c>
      <c r="AJ90">
        <v>1</v>
      </c>
      <c r="AK90">
        <v>57</v>
      </c>
      <c r="AL90" t="s">
        <v>2025</v>
      </c>
      <c r="AM90" t="s">
        <v>2026</v>
      </c>
      <c r="AN90" t="s">
        <v>2027</v>
      </c>
      <c r="AO90" t="s">
        <v>2028</v>
      </c>
      <c r="AP90" t="s">
        <v>2029</v>
      </c>
      <c r="AQ90" t="s">
        <v>74</v>
      </c>
      <c r="AR90" t="s">
        <v>2030</v>
      </c>
      <c r="AS90" t="s">
        <v>2031</v>
      </c>
      <c r="AT90" t="s">
        <v>2032</v>
      </c>
      <c r="AU90">
        <v>2016</v>
      </c>
      <c r="AV90">
        <v>26</v>
      </c>
      <c r="AW90">
        <v>19</v>
      </c>
      <c r="AX90" t="s">
        <v>74</v>
      </c>
      <c r="AY90" t="s">
        <v>74</v>
      </c>
      <c r="AZ90" t="s">
        <v>74</v>
      </c>
      <c r="BA90" t="s">
        <v>74</v>
      </c>
      <c r="BB90">
        <v>2667</v>
      </c>
      <c r="BC90">
        <v>2673</v>
      </c>
      <c r="BD90" t="s">
        <v>74</v>
      </c>
      <c r="BE90" t="s">
        <v>2033</v>
      </c>
      <c r="BF90" t="str">
        <f>HYPERLINK("http://dx.doi.org/10.1016/j.cub.2016.07.058","http://dx.doi.org/10.1016/j.cub.2016.07.058")</f>
        <v>http://dx.doi.org/10.1016/j.cub.2016.07.058</v>
      </c>
      <c r="BG90" t="s">
        <v>74</v>
      </c>
      <c r="BH90" t="s">
        <v>74</v>
      </c>
      <c r="BI90">
        <v>7</v>
      </c>
      <c r="BJ90" t="s">
        <v>2034</v>
      </c>
      <c r="BK90" t="s">
        <v>156</v>
      </c>
      <c r="BL90" t="s">
        <v>2035</v>
      </c>
      <c r="BM90" t="s">
        <v>2036</v>
      </c>
      <c r="BN90">
        <v>27641768</v>
      </c>
      <c r="BO90" t="s">
        <v>329</v>
      </c>
      <c r="BP90" t="s">
        <v>74</v>
      </c>
      <c r="BQ90" t="s">
        <v>74</v>
      </c>
      <c r="BR90" t="s">
        <v>105</v>
      </c>
      <c r="BS90" t="s">
        <v>2037</v>
      </c>
      <c r="BT90" t="str">
        <f>HYPERLINK("https%3A%2F%2Fwww.webofscience.com%2Fwos%2Fwoscc%2Ffull-record%2FWOS:000385690800029","View Full Record in Web of Science")</f>
        <v>View Full Record in Web of Science</v>
      </c>
    </row>
    <row r="91" spans="1:72" x14ac:dyDescent="0.15">
      <c r="A91" t="s">
        <v>72</v>
      </c>
      <c r="B91" t="s">
        <v>2038</v>
      </c>
      <c r="C91" t="s">
        <v>74</v>
      </c>
      <c r="D91" t="s">
        <v>74</v>
      </c>
      <c r="E91" t="s">
        <v>74</v>
      </c>
      <c r="F91" t="s">
        <v>2039</v>
      </c>
      <c r="G91" t="s">
        <v>74</v>
      </c>
      <c r="H91" t="s">
        <v>74</v>
      </c>
      <c r="I91" t="s">
        <v>2040</v>
      </c>
      <c r="J91" t="s">
        <v>2014</v>
      </c>
      <c r="K91" t="s">
        <v>74</v>
      </c>
      <c r="L91" t="s">
        <v>74</v>
      </c>
      <c r="M91" t="s">
        <v>78</v>
      </c>
      <c r="N91" t="s">
        <v>587</v>
      </c>
      <c r="O91" t="s">
        <v>74</v>
      </c>
      <c r="P91" t="s">
        <v>74</v>
      </c>
      <c r="Q91" t="s">
        <v>74</v>
      </c>
      <c r="R91" t="s">
        <v>74</v>
      </c>
      <c r="S91" t="s">
        <v>74</v>
      </c>
      <c r="T91" t="s">
        <v>74</v>
      </c>
      <c r="U91" t="s">
        <v>2041</v>
      </c>
      <c r="V91" t="s">
        <v>2042</v>
      </c>
      <c r="W91" t="s">
        <v>2043</v>
      </c>
      <c r="X91" t="s">
        <v>2044</v>
      </c>
      <c r="Y91" t="s">
        <v>2045</v>
      </c>
      <c r="Z91" t="s">
        <v>2046</v>
      </c>
      <c r="AA91" t="s">
        <v>2047</v>
      </c>
      <c r="AB91" t="s">
        <v>2048</v>
      </c>
      <c r="AC91" t="s">
        <v>74</v>
      </c>
      <c r="AD91" t="s">
        <v>74</v>
      </c>
      <c r="AE91" t="s">
        <v>74</v>
      </c>
      <c r="AF91" t="s">
        <v>74</v>
      </c>
      <c r="AG91">
        <v>20</v>
      </c>
      <c r="AH91">
        <v>10</v>
      </c>
      <c r="AI91">
        <v>10</v>
      </c>
      <c r="AJ91">
        <v>1</v>
      </c>
      <c r="AK91">
        <v>26</v>
      </c>
      <c r="AL91" t="s">
        <v>2025</v>
      </c>
      <c r="AM91" t="s">
        <v>2026</v>
      </c>
      <c r="AN91" t="s">
        <v>2027</v>
      </c>
      <c r="AO91" t="s">
        <v>2028</v>
      </c>
      <c r="AP91" t="s">
        <v>2029</v>
      </c>
      <c r="AQ91" t="s">
        <v>74</v>
      </c>
      <c r="AR91" t="s">
        <v>2030</v>
      </c>
      <c r="AS91" t="s">
        <v>2031</v>
      </c>
      <c r="AT91" t="s">
        <v>2032</v>
      </c>
      <c r="AU91">
        <v>2016</v>
      </c>
      <c r="AV91">
        <v>26</v>
      </c>
      <c r="AW91">
        <v>19</v>
      </c>
      <c r="AX91" t="s">
        <v>74</v>
      </c>
      <c r="AY91" t="s">
        <v>74</v>
      </c>
      <c r="AZ91" t="s">
        <v>74</v>
      </c>
      <c r="BA91" t="s">
        <v>74</v>
      </c>
      <c r="BB91" t="s">
        <v>2049</v>
      </c>
      <c r="BC91" t="s">
        <v>2050</v>
      </c>
      <c r="BD91" t="s">
        <v>74</v>
      </c>
      <c r="BE91" t="s">
        <v>2051</v>
      </c>
      <c r="BF91" t="str">
        <f>HYPERLINK("http://dx.doi.org/10.1016/j.cub.2016.08.044","http://dx.doi.org/10.1016/j.cub.2016.08.044")</f>
        <v>http://dx.doi.org/10.1016/j.cub.2016.08.044</v>
      </c>
      <c r="BG91" t="s">
        <v>74</v>
      </c>
      <c r="BH91" t="s">
        <v>74</v>
      </c>
      <c r="BI91">
        <v>4</v>
      </c>
      <c r="BJ91" t="s">
        <v>2034</v>
      </c>
      <c r="BK91" t="s">
        <v>156</v>
      </c>
      <c r="BL91" t="s">
        <v>2035</v>
      </c>
      <c r="BM91" t="s">
        <v>2036</v>
      </c>
      <c r="BN91">
        <v>27728790</v>
      </c>
      <c r="BO91" t="s">
        <v>104</v>
      </c>
      <c r="BP91" t="s">
        <v>74</v>
      </c>
      <c r="BQ91" t="s">
        <v>74</v>
      </c>
      <c r="BR91" t="s">
        <v>105</v>
      </c>
      <c r="BS91" t="s">
        <v>2052</v>
      </c>
      <c r="BT91" t="str">
        <f>HYPERLINK("https%3A%2F%2Fwww.webofscience.com%2Fwos%2Fwoscc%2Ffull-record%2FWOS:000385690800008","View Full Record in Web of Science")</f>
        <v>View Full Record in Web of Science</v>
      </c>
    </row>
    <row r="92" spans="1:72" x14ac:dyDescent="0.15">
      <c r="A92" t="s">
        <v>72</v>
      </c>
      <c r="B92" t="s">
        <v>2053</v>
      </c>
      <c r="C92" t="s">
        <v>74</v>
      </c>
      <c r="D92" t="s">
        <v>74</v>
      </c>
      <c r="E92" t="s">
        <v>74</v>
      </c>
      <c r="F92" t="s">
        <v>2054</v>
      </c>
      <c r="G92" t="s">
        <v>74</v>
      </c>
      <c r="H92" t="s">
        <v>74</v>
      </c>
      <c r="I92" t="s">
        <v>2055</v>
      </c>
      <c r="J92" t="s">
        <v>2056</v>
      </c>
      <c r="K92" t="s">
        <v>74</v>
      </c>
      <c r="L92" t="s">
        <v>74</v>
      </c>
      <c r="M92" t="s">
        <v>78</v>
      </c>
      <c r="N92" t="s">
        <v>79</v>
      </c>
      <c r="O92" t="s">
        <v>74</v>
      </c>
      <c r="P92" t="s">
        <v>74</v>
      </c>
      <c r="Q92" t="s">
        <v>74</v>
      </c>
      <c r="R92" t="s">
        <v>74</v>
      </c>
      <c r="S92" t="s">
        <v>74</v>
      </c>
      <c r="T92" t="s">
        <v>2057</v>
      </c>
      <c r="U92" t="s">
        <v>2058</v>
      </c>
      <c r="V92" t="s">
        <v>2059</v>
      </c>
      <c r="W92" t="s">
        <v>2060</v>
      </c>
      <c r="X92" t="s">
        <v>2061</v>
      </c>
      <c r="Y92" t="s">
        <v>2062</v>
      </c>
      <c r="Z92" t="s">
        <v>2063</v>
      </c>
      <c r="AA92" t="s">
        <v>74</v>
      </c>
      <c r="AB92" t="s">
        <v>2064</v>
      </c>
      <c r="AC92" t="s">
        <v>2065</v>
      </c>
      <c r="AD92" t="s">
        <v>2066</v>
      </c>
      <c r="AE92" t="s">
        <v>2067</v>
      </c>
      <c r="AF92" t="s">
        <v>74</v>
      </c>
      <c r="AG92">
        <v>74</v>
      </c>
      <c r="AH92">
        <v>9</v>
      </c>
      <c r="AI92">
        <v>9</v>
      </c>
      <c r="AJ92">
        <v>4</v>
      </c>
      <c r="AK92">
        <v>63</v>
      </c>
      <c r="AL92" t="s">
        <v>92</v>
      </c>
      <c r="AM92" t="s">
        <v>93</v>
      </c>
      <c r="AN92" t="s">
        <v>94</v>
      </c>
      <c r="AO92" t="s">
        <v>2068</v>
      </c>
      <c r="AP92" t="s">
        <v>2069</v>
      </c>
      <c r="AQ92" t="s">
        <v>74</v>
      </c>
      <c r="AR92" t="s">
        <v>2070</v>
      </c>
      <c r="AS92" t="s">
        <v>2071</v>
      </c>
      <c r="AT92" t="s">
        <v>2032</v>
      </c>
      <c r="AU92">
        <v>2016</v>
      </c>
      <c r="AV92">
        <v>337</v>
      </c>
      <c r="AW92" t="s">
        <v>74</v>
      </c>
      <c r="AX92" t="s">
        <v>74</v>
      </c>
      <c r="AY92" t="s">
        <v>74</v>
      </c>
      <c r="AZ92" t="s">
        <v>74</v>
      </c>
      <c r="BA92" t="s">
        <v>74</v>
      </c>
      <c r="BB92">
        <v>262</v>
      </c>
      <c r="BC92">
        <v>271</v>
      </c>
      <c r="BD92" t="s">
        <v>74</v>
      </c>
      <c r="BE92" t="s">
        <v>2072</v>
      </c>
      <c r="BF92" t="str">
        <f>HYPERLINK("http://dx.doi.org/10.1016/j.ecolmodel.2016.07.007","http://dx.doi.org/10.1016/j.ecolmodel.2016.07.007")</f>
        <v>http://dx.doi.org/10.1016/j.ecolmodel.2016.07.007</v>
      </c>
      <c r="BG92" t="s">
        <v>74</v>
      </c>
      <c r="BH92" t="s">
        <v>74</v>
      </c>
      <c r="BI92">
        <v>10</v>
      </c>
      <c r="BJ92" t="s">
        <v>531</v>
      </c>
      <c r="BK92" t="s">
        <v>156</v>
      </c>
      <c r="BL92" t="s">
        <v>532</v>
      </c>
      <c r="BM92" t="s">
        <v>2073</v>
      </c>
      <c r="BN92" t="s">
        <v>74</v>
      </c>
      <c r="BO92" t="s">
        <v>74</v>
      </c>
      <c r="BP92" t="s">
        <v>74</v>
      </c>
      <c r="BQ92" t="s">
        <v>74</v>
      </c>
      <c r="BR92" t="s">
        <v>105</v>
      </c>
      <c r="BS92" t="s">
        <v>2074</v>
      </c>
      <c r="BT92" t="str">
        <f>HYPERLINK("https%3A%2F%2Fwww.webofscience.com%2Fwos%2Fwoscc%2Ffull-record%2FWOS:000382591200026","View Full Record in Web of Science")</f>
        <v>View Full Record in Web of Science</v>
      </c>
    </row>
    <row r="93" spans="1:72" x14ac:dyDescent="0.15">
      <c r="A93" t="s">
        <v>72</v>
      </c>
      <c r="B93" t="s">
        <v>2075</v>
      </c>
      <c r="C93" t="s">
        <v>74</v>
      </c>
      <c r="D93" t="s">
        <v>74</v>
      </c>
      <c r="E93" t="s">
        <v>74</v>
      </c>
      <c r="F93" t="s">
        <v>2076</v>
      </c>
      <c r="G93" t="s">
        <v>74</v>
      </c>
      <c r="H93" t="s">
        <v>74</v>
      </c>
      <c r="I93" t="s">
        <v>2077</v>
      </c>
      <c r="J93" t="s">
        <v>2078</v>
      </c>
      <c r="K93" t="s">
        <v>74</v>
      </c>
      <c r="L93" t="s">
        <v>74</v>
      </c>
      <c r="M93" t="s">
        <v>78</v>
      </c>
      <c r="N93" t="s">
        <v>79</v>
      </c>
      <c r="O93" t="s">
        <v>74</v>
      </c>
      <c r="P93" t="s">
        <v>74</v>
      </c>
      <c r="Q93" t="s">
        <v>74</v>
      </c>
      <c r="R93" t="s">
        <v>74</v>
      </c>
      <c r="S93" t="s">
        <v>74</v>
      </c>
      <c r="T93" t="s">
        <v>74</v>
      </c>
      <c r="U93" t="s">
        <v>2079</v>
      </c>
      <c r="V93" t="s">
        <v>2080</v>
      </c>
      <c r="W93" t="s">
        <v>2081</v>
      </c>
      <c r="X93" t="s">
        <v>2082</v>
      </c>
      <c r="Y93" t="s">
        <v>2083</v>
      </c>
      <c r="Z93" t="s">
        <v>2084</v>
      </c>
      <c r="AA93" t="s">
        <v>2085</v>
      </c>
      <c r="AB93" t="s">
        <v>2086</v>
      </c>
      <c r="AC93" t="s">
        <v>2087</v>
      </c>
      <c r="AD93" t="s">
        <v>2088</v>
      </c>
      <c r="AE93" t="s">
        <v>2089</v>
      </c>
      <c r="AF93" t="s">
        <v>74</v>
      </c>
      <c r="AG93">
        <v>107</v>
      </c>
      <c r="AH93">
        <v>12</v>
      </c>
      <c r="AI93">
        <v>12</v>
      </c>
      <c r="AJ93">
        <v>0</v>
      </c>
      <c r="AK93">
        <v>29</v>
      </c>
      <c r="AL93" t="s">
        <v>574</v>
      </c>
      <c r="AM93" t="s">
        <v>575</v>
      </c>
      <c r="AN93" t="s">
        <v>576</v>
      </c>
      <c r="AO93" t="s">
        <v>2090</v>
      </c>
      <c r="AP93" t="s">
        <v>74</v>
      </c>
      <c r="AQ93" t="s">
        <v>74</v>
      </c>
      <c r="AR93" t="s">
        <v>2091</v>
      </c>
      <c r="AS93" t="s">
        <v>2092</v>
      </c>
      <c r="AT93" t="s">
        <v>2093</v>
      </c>
      <c r="AU93">
        <v>2016</v>
      </c>
      <c r="AV93">
        <v>6</v>
      </c>
      <c r="AW93" t="s">
        <v>74</v>
      </c>
      <c r="AX93" t="s">
        <v>74</v>
      </c>
      <c r="AY93" t="s">
        <v>74</v>
      </c>
      <c r="AZ93" t="s">
        <v>74</v>
      </c>
      <c r="BA93" t="s">
        <v>74</v>
      </c>
      <c r="BB93" t="s">
        <v>74</v>
      </c>
      <c r="BC93" t="s">
        <v>74</v>
      </c>
      <c r="BD93">
        <v>34639</v>
      </c>
      <c r="BE93" t="s">
        <v>2094</v>
      </c>
      <c r="BF93" t="str">
        <f>HYPERLINK("http://dx.doi.org/10.1038/srep34639","http://dx.doi.org/10.1038/srep34639")</f>
        <v>http://dx.doi.org/10.1038/srep34639</v>
      </c>
      <c r="BG93" t="s">
        <v>74</v>
      </c>
      <c r="BH93" t="s">
        <v>74</v>
      </c>
      <c r="BI93">
        <v>15</v>
      </c>
      <c r="BJ93" t="s">
        <v>719</v>
      </c>
      <c r="BK93" t="s">
        <v>156</v>
      </c>
      <c r="BL93" t="s">
        <v>720</v>
      </c>
      <c r="BM93" t="s">
        <v>2095</v>
      </c>
      <c r="BN93">
        <v>27708407</v>
      </c>
      <c r="BO93" t="s">
        <v>133</v>
      </c>
      <c r="BP93" t="s">
        <v>74</v>
      </c>
      <c r="BQ93" t="s">
        <v>74</v>
      </c>
      <c r="BR93" t="s">
        <v>105</v>
      </c>
      <c r="BS93" t="s">
        <v>2096</v>
      </c>
      <c r="BT93" t="str">
        <f>HYPERLINK("https%3A%2F%2Fwww.webofscience.com%2Fwos%2Fwoscc%2Ffull-record%2FWOS:000385174300001","View Full Record in Web of Science")</f>
        <v>View Full Record in Web of Science</v>
      </c>
    </row>
    <row r="94" spans="1:72" x14ac:dyDescent="0.15">
      <c r="A94" t="s">
        <v>72</v>
      </c>
      <c r="B94" t="s">
        <v>2097</v>
      </c>
      <c r="C94" t="s">
        <v>74</v>
      </c>
      <c r="D94" t="s">
        <v>74</v>
      </c>
      <c r="E94" t="s">
        <v>74</v>
      </c>
      <c r="F94" t="s">
        <v>2098</v>
      </c>
      <c r="G94" t="s">
        <v>74</v>
      </c>
      <c r="H94" t="s">
        <v>74</v>
      </c>
      <c r="I94" t="s">
        <v>2099</v>
      </c>
      <c r="J94" t="s">
        <v>2100</v>
      </c>
      <c r="K94" t="s">
        <v>74</v>
      </c>
      <c r="L94" t="s">
        <v>74</v>
      </c>
      <c r="M94" t="s">
        <v>78</v>
      </c>
      <c r="N94" t="s">
        <v>79</v>
      </c>
      <c r="O94" t="s">
        <v>74</v>
      </c>
      <c r="P94" t="s">
        <v>74</v>
      </c>
      <c r="Q94" t="s">
        <v>74</v>
      </c>
      <c r="R94" t="s">
        <v>74</v>
      </c>
      <c r="S94" t="s">
        <v>74</v>
      </c>
      <c r="T94" t="s">
        <v>2101</v>
      </c>
      <c r="U94" t="s">
        <v>2102</v>
      </c>
      <c r="V94" t="s">
        <v>2103</v>
      </c>
      <c r="W94" t="s">
        <v>2104</v>
      </c>
      <c r="X94" t="s">
        <v>469</v>
      </c>
      <c r="Y94" t="s">
        <v>2105</v>
      </c>
      <c r="Z94" t="s">
        <v>2106</v>
      </c>
      <c r="AA94" t="s">
        <v>2107</v>
      </c>
      <c r="AB94" t="s">
        <v>2108</v>
      </c>
      <c r="AC94" t="s">
        <v>2109</v>
      </c>
      <c r="AD94" t="s">
        <v>2110</v>
      </c>
      <c r="AE94" t="s">
        <v>2111</v>
      </c>
      <c r="AF94" t="s">
        <v>74</v>
      </c>
      <c r="AG94">
        <v>104</v>
      </c>
      <c r="AH94">
        <v>22</v>
      </c>
      <c r="AI94">
        <v>25</v>
      </c>
      <c r="AJ94">
        <v>0</v>
      </c>
      <c r="AK94">
        <v>109</v>
      </c>
      <c r="AL94" t="s">
        <v>2112</v>
      </c>
      <c r="AM94" t="s">
        <v>250</v>
      </c>
      <c r="AN94" t="s">
        <v>2113</v>
      </c>
      <c r="AO94" t="s">
        <v>2114</v>
      </c>
      <c r="AP94" t="s">
        <v>2115</v>
      </c>
      <c r="AQ94" t="s">
        <v>74</v>
      </c>
      <c r="AR94" t="s">
        <v>2116</v>
      </c>
      <c r="AS94" t="s">
        <v>2117</v>
      </c>
      <c r="AT94" t="s">
        <v>2118</v>
      </c>
      <c r="AU94">
        <v>2016</v>
      </c>
      <c r="AV94">
        <v>180</v>
      </c>
      <c r="AW94" t="s">
        <v>74</v>
      </c>
      <c r="AX94" t="s">
        <v>74</v>
      </c>
      <c r="AY94" t="s">
        <v>74</v>
      </c>
      <c r="AZ94" t="s">
        <v>74</v>
      </c>
      <c r="BA94" t="s">
        <v>74</v>
      </c>
      <c r="BB94">
        <v>242</v>
      </c>
      <c r="BC94">
        <v>257</v>
      </c>
      <c r="BD94" t="s">
        <v>74</v>
      </c>
      <c r="BE94" t="s">
        <v>2119</v>
      </c>
      <c r="BF94" t="str">
        <f>HYPERLINK("http://dx.doi.org/10.1016/j.ecss.2016.07.019","http://dx.doi.org/10.1016/j.ecss.2016.07.019")</f>
        <v>http://dx.doi.org/10.1016/j.ecss.2016.07.019</v>
      </c>
      <c r="BG94" t="s">
        <v>74</v>
      </c>
      <c r="BH94" t="s">
        <v>74</v>
      </c>
      <c r="BI94">
        <v>16</v>
      </c>
      <c r="BJ94" t="s">
        <v>2120</v>
      </c>
      <c r="BK94" t="s">
        <v>156</v>
      </c>
      <c r="BL94" t="s">
        <v>2120</v>
      </c>
      <c r="BM94" t="s">
        <v>2121</v>
      </c>
      <c r="BN94" t="s">
        <v>74</v>
      </c>
      <c r="BO94" t="s">
        <v>74</v>
      </c>
      <c r="BP94" t="s">
        <v>74</v>
      </c>
      <c r="BQ94" t="s">
        <v>74</v>
      </c>
      <c r="BR94" t="s">
        <v>105</v>
      </c>
      <c r="BS94" t="s">
        <v>2122</v>
      </c>
      <c r="BT94" t="str">
        <f>HYPERLINK("https%3A%2F%2Fwww.webofscience.com%2Fwos%2Fwoscc%2Ffull-record%2FWOS:000384866900024","View Full Record in Web of Science")</f>
        <v>View Full Record in Web of Science</v>
      </c>
    </row>
    <row r="95" spans="1:72" x14ac:dyDescent="0.15">
      <c r="A95" t="s">
        <v>72</v>
      </c>
      <c r="B95" t="s">
        <v>2123</v>
      </c>
      <c r="C95" t="s">
        <v>74</v>
      </c>
      <c r="D95" t="s">
        <v>74</v>
      </c>
      <c r="E95" t="s">
        <v>74</v>
      </c>
      <c r="F95" t="s">
        <v>2124</v>
      </c>
      <c r="G95" t="s">
        <v>74</v>
      </c>
      <c r="H95" t="s">
        <v>74</v>
      </c>
      <c r="I95" t="s">
        <v>2125</v>
      </c>
      <c r="J95" t="s">
        <v>2126</v>
      </c>
      <c r="K95" t="s">
        <v>74</v>
      </c>
      <c r="L95" t="s">
        <v>74</v>
      </c>
      <c r="M95" t="s">
        <v>78</v>
      </c>
      <c r="N95" t="s">
        <v>79</v>
      </c>
      <c r="O95" t="s">
        <v>74</v>
      </c>
      <c r="P95" t="s">
        <v>74</v>
      </c>
      <c r="Q95" t="s">
        <v>74</v>
      </c>
      <c r="R95" t="s">
        <v>74</v>
      </c>
      <c r="S95" t="s">
        <v>74</v>
      </c>
      <c r="T95" t="s">
        <v>74</v>
      </c>
      <c r="U95" t="s">
        <v>2127</v>
      </c>
      <c r="V95" t="s">
        <v>2128</v>
      </c>
      <c r="W95" t="s">
        <v>2129</v>
      </c>
      <c r="X95" t="s">
        <v>2130</v>
      </c>
      <c r="Y95" t="s">
        <v>2131</v>
      </c>
      <c r="Z95" t="s">
        <v>2132</v>
      </c>
      <c r="AA95" t="s">
        <v>2133</v>
      </c>
      <c r="AB95" t="s">
        <v>2134</v>
      </c>
      <c r="AC95" t="s">
        <v>2135</v>
      </c>
      <c r="AD95" t="s">
        <v>2136</v>
      </c>
      <c r="AE95" t="s">
        <v>2137</v>
      </c>
      <c r="AF95" t="s">
        <v>74</v>
      </c>
      <c r="AG95">
        <v>55</v>
      </c>
      <c r="AH95">
        <v>30</v>
      </c>
      <c r="AI95">
        <v>38</v>
      </c>
      <c r="AJ95">
        <v>3</v>
      </c>
      <c r="AK95">
        <v>59</v>
      </c>
      <c r="AL95" t="s">
        <v>275</v>
      </c>
      <c r="AM95" t="s">
        <v>250</v>
      </c>
      <c r="AN95" t="s">
        <v>276</v>
      </c>
      <c r="AO95" t="s">
        <v>2138</v>
      </c>
      <c r="AP95" t="s">
        <v>74</v>
      </c>
      <c r="AQ95" t="s">
        <v>74</v>
      </c>
      <c r="AR95" t="s">
        <v>2139</v>
      </c>
      <c r="AS95" t="s">
        <v>2140</v>
      </c>
      <c r="AT95" t="s">
        <v>2141</v>
      </c>
      <c r="AU95">
        <v>2016</v>
      </c>
      <c r="AV95">
        <v>7</v>
      </c>
      <c r="AW95" t="s">
        <v>74</v>
      </c>
      <c r="AX95" t="s">
        <v>74</v>
      </c>
      <c r="AY95" t="s">
        <v>74</v>
      </c>
      <c r="AZ95" t="s">
        <v>74</v>
      </c>
      <c r="BA95" t="s">
        <v>74</v>
      </c>
      <c r="BB95" t="s">
        <v>74</v>
      </c>
      <c r="BC95" t="s">
        <v>74</v>
      </c>
      <c r="BD95">
        <v>12987</v>
      </c>
      <c r="BE95" t="s">
        <v>2142</v>
      </c>
      <c r="BF95" t="str">
        <f>HYPERLINK("http://dx.doi.org/10.1038/ncomms12987","http://dx.doi.org/10.1038/ncomms12987")</f>
        <v>http://dx.doi.org/10.1038/ncomms12987</v>
      </c>
      <c r="BG95" t="s">
        <v>74</v>
      </c>
      <c r="BH95" t="s">
        <v>74</v>
      </c>
      <c r="BI95">
        <v>11</v>
      </c>
      <c r="BJ95" t="s">
        <v>719</v>
      </c>
      <c r="BK95" t="s">
        <v>156</v>
      </c>
      <c r="BL95" t="s">
        <v>720</v>
      </c>
      <c r="BM95" t="s">
        <v>2143</v>
      </c>
      <c r="BN95">
        <v>27698404</v>
      </c>
      <c r="BO95" t="s">
        <v>133</v>
      </c>
      <c r="BP95" t="s">
        <v>74</v>
      </c>
      <c r="BQ95" t="s">
        <v>74</v>
      </c>
      <c r="BR95" t="s">
        <v>105</v>
      </c>
      <c r="BS95" t="s">
        <v>2144</v>
      </c>
      <c r="BT95" t="str">
        <f>HYPERLINK("https%3A%2F%2Fwww.webofscience.com%2Fwos%2Fwoscc%2Ffull-record%2FWOS:000385574200002","View Full Record in Web of Science")</f>
        <v>View Full Record in Web of Science</v>
      </c>
    </row>
    <row r="96" spans="1:72" x14ac:dyDescent="0.15">
      <c r="A96" t="s">
        <v>72</v>
      </c>
      <c r="B96" t="s">
        <v>2145</v>
      </c>
      <c r="C96" t="s">
        <v>74</v>
      </c>
      <c r="D96" t="s">
        <v>74</v>
      </c>
      <c r="E96" t="s">
        <v>74</v>
      </c>
      <c r="F96" t="s">
        <v>2146</v>
      </c>
      <c r="G96" t="s">
        <v>74</v>
      </c>
      <c r="H96" t="s">
        <v>74</v>
      </c>
      <c r="I96" t="s">
        <v>2147</v>
      </c>
      <c r="J96" t="s">
        <v>1072</v>
      </c>
      <c r="K96" t="s">
        <v>74</v>
      </c>
      <c r="L96" t="s">
        <v>74</v>
      </c>
      <c r="M96" t="s">
        <v>78</v>
      </c>
      <c r="N96" t="s">
        <v>79</v>
      </c>
      <c r="O96" t="s">
        <v>74</v>
      </c>
      <c r="P96" t="s">
        <v>74</v>
      </c>
      <c r="Q96" t="s">
        <v>74</v>
      </c>
      <c r="R96" t="s">
        <v>74</v>
      </c>
      <c r="S96" t="s">
        <v>74</v>
      </c>
      <c r="T96" t="s">
        <v>74</v>
      </c>
      <c r="U96" t="s">
        <v>2148</v>
      </c>
      <c r="V96" t="s">
        <v>2149</v>
      </c>
      <c r="W96" t="s">
        <v>2150</v>
      </c>
      <c r="X96" t="s">
        <v>2151</v>
      </c>
      <c r="Y96" t="s">
        <v>2152</v>
      </c>
      <c r="Z96" t="s">
        <v>2153</v>
      </c>
      <c r="AA96" t="s">
        <v>2154</v>
      </c>
      <c r="AB96" t="s">
        <v>2155</v>
      </c>
      <c r="AC96" t="s">
        <v>74</v>
      </c>
      <c r="AD96" t="s">
        <v>74</v>
      </c>
      <c r="AE96" t="s">
        <v>74</v>
      </c>
      <c r="AF96" t="s">
        <v>74</v>
      </c>
      <c r="AG96">
        <v>18</v>
      </c>
      <c r="AH96">
        <v>20</v>
      </c>
      <c r="AI96">
        <v>21</v>
      </c>
      <c r="AJ96">
        <v>1</v>
      </c>
      <c r="AK96">
        <v>29</v>
      </c>
      <c r="AL96" t="s">
        <v>1074</v>
      </c>
      <c r="AM96" t="s">
        <v>1075</v>
      </c>
      <c r="AN96" t="s">
        <v>1076</v>
      </c>
      <c r="AO96" t="s">
        <v>1077</v>
      </c>
      <c r="AP96" t="s">
        <v>74</v>
      </c>
      <c r="AQ96" t="s">
        <v>74</v>
      </c>
      <c r="AR96" t="s">
        <v>1072</v>
      </c>
      <c r="AS96" t="s">
        <v>1078</v>
      </c>
      <c r="AT96" t="s">
        <v>2141</v>
      </c>
      <c r="AU96">
        <v>2016</v>
      </c>
      <c r="AV96">
        <v>11</v>
      </c>
      <c r="AW96">
        <v>10</v>
      </c>
      <c r="AX96" t="s">
        <v>74</v>
      </c>
      <c r="AY96" t="s">
        <v>74</v>
      </c>
      <c r="AZ96" t="s">
        <v>74</v>
      </c>
      <c r="BA96" t="s">
        <v>74</v>
      </c>
      <c r="BB96" t="s">
        <v>74</v>
      </c>
      <c r="BC96" t="s">
        <v>74</v>
      </c>
      <c r="BD96" t="s">
        <v>2156</v>
      </c>
      <c r="BE96" t="s">
        <v>2157</v>
      </c>
      <c r="BF96" t="str">
        <f>HYPERLINK("http://dx.doi.org/10.1371/journal.pone.0162769","http://dx.doi.org/10.1371/journal.pone.0162769")</f>
        <v>http://dx.doi.org/10.1371/journal.pone.0162769</v>
      </c>
      <c r="BG96" t="s">
        <v>74</v>
      </c>
      <c r="BH96" t="s">
        <v>74</v>
      </c>
      <c r="BI96">
        <v>16</v>
      </c>
      <c r="BJ96" t="s">
        <v>719</v>
      </c>
      <c r="BK96" t="s">
        <v>156</v>
      </c>
      <c r="BL96" t="s">
        <v>720</v>
      </c>
      <c r="BM96" t="s">
        <v>2158</v>
      </c>
      <c r="BN96">
        <v>27701428</v>
      </c>
      <c r="BO96" t="s">
        <v>2009</v>
      </c>
      <c r="BP96" t="s">
        <v>74</v>
      </c>
      <c r="BQ96" t="s">
        <v>74</v>
      </c>
      <c r="BR96" t="s">
        <v>105</v>
      </c>
      <c r="BS96" t="s">
        <v>2159</v>
      </c>
      <c r="BT96" t="str">
        <f>HYPERLINK("https%3A%2F%2Fwww.webofscience.com%2Fwos%2Fwoscc%2Ffull-record%2FWOS:000385696900003","View Full Record in Web of Science")</f>
        <v>View Full Record in Web of Science</v>
      </c>
    </row>
    <row r="97" spans="1:72" x14ac:dyDescent="0.15">
      <c r="A97" t="s">
        <v>72</v>
      </c>
      <c r="B97" t="s">
        <v>2160</v>
      </c>
      <c r="C97" t="s">
        <v>74</v>
      </c>
      <c r="D97" t="s">
        <v>74</v>
      </c>
      <c r="E97" t="s">
        <v>74</v>
      </c>
      <c r="F97" t="s">
        <v>2161</v>
      </c>
      <c r="G97" t="s">
        <v>74</v>
      </c>
      <c r="H97" t="s">
        <v>74</v>
      </c>
      <c r="I97" t="s">
        <v>2162</v>
      </c>
      <c r="J97" t="s">
        <v>2163</v>
      </c>
      <c r="K97" t="s">
        <v>74</v>
      </c>
      <c r="L97" t="s">
        <v>74</v>
      </c>
      <c r="M97" t="s">
        <v>78</v>
      </c>
      <c r="N97" t="s">
        <v>79</v>
      </c>
      <c r="O97" t="s">
        <v>74</v>
      </c>
      <c r="P97" t="s">
        <v>74</v>
      </c>
      <c r="Q97" t="s">
        <v>74</v>
      </c>
      <c r="R97" t="s">
        <v>74</v>
      </c>
      <c r="S97" t="s">
        <v>74</v>
      </c>
      <c r="T97" t="s">
        <v>74</v>
      </c>
      <c r="U97" t="s">
        <v>2164</v>
      </c>
      <c r="V97" t="s">
        <v>2165</v>
      </c>
      <c r="W97" t="s">
        <v>2166</v>
      </c>
      <c r="X97" t="s">
        <v>2167</v>
      </c>
      <c r="Y97" t="s">
        <v>2168</v>
      </c>
      <c r="Z97" t="s">
        <v>2169</v>
      </c>
      <c r="AA97" t="s">
        <v>2170</v>
      </c>
      <c r="AB97" t="s">
        <v>2171</v>
      </c>
      <c r="AC97" t="s">
        <v>2172</v>
      </c>
      <c r="AD97" t="s">
        <v>2173</v>
      </c>
      <c r="AE97" t="s">
        <v>2174</v>
      </c>
      <c r="AF97" t="s">
        <v>74</v>
      </c>
      <c r="AG97">
        <v>55</v>
      </c>
      <c r="AH97">
        <v>13</v>
      </c>
      <c r="AI97">
        <v>13</v>
      </c>
      <c r="AJ97">
        <v>0</v>
      </c>
      <c r="AK97">
        <v>30</v>
      </c>
      <c r="AL97" t="s">
        <v>2175</v>
      </c>
      <c r="AM97" t="s">
        <v>123</v>
      </c>
      <c r="AN97" t="s">
        <v>2176</v>
      </c>
      <c r="AO97" t="s">
        <v>2177</v>
      </c>
      <c r="AP97" t="s">
        <v>2178</v>
      </c>
      <c r="AQ97" t="s">
        <v>74</v>
      </c>
      <c r="AR97" t="s">
        <v>2179</v>
      </c>
      <c r="AS97" t="s">
        <v>2180</v>
      </c>
      <c r="AT97" t="s">
        <v>2141</v>
      </c>
      <c r="AU97">
        <v>2016</v>
      </c>
      <c r="AV97">
        <v>50</v>
      </c>
      <c r="AW97">
        <v>19</v>
      </c>
      <c r="AX97" t="s">
        <v>74</v>
      </c>
      <c r="AY97" t="s">
        <v>74</v>
      </c>
      <c r="AZ97" t="s">
        <v>74</v>
      </c>
      <c r="BA97" t="s">
        <v>74</v>
      </c>
      <c r="BB97">
        <v>10485</v>
      </c>
      <c r="BC97">
        <v>10493</v>
      </c>
      <c r="BD97" t="s">
        <v>74</v>
      </c>
      <c r="BE97" t="s">
        <v>2181</v>
      </c>
      <c r="BF97" t="str">
        <f>HYPERLINK("http://dx.doi.org/10.1021/acs.est.6b00026","http://dx.doi.org/10.1021/acs.est.6b00026")</f>
        <v>http://dx.doi.org/10.1021/acs.est.6b00026</v>
      </c>
      <c r="BG97" t="s">
        <v>74</v>
      </c>
      <c r="BH97" t="s">
        <v>74</v>
      </c>
      <c r="BI97">
        <v>9</v>
      </c>
      <c r="BJ97" t="s">
        <v>2182</v>
      </c>
      <c r="BK97" t="s">
        <v>156</v>
      </c>
      <c r="BL97" t="s">
        <v>2183</v>
      </c>
      <c r="BM97" t="s">
        <v>2184</v>
      </c>
      <c r="BN97">
        <v>27580680</v>
      </c>
      <c r="BO97" t="s">
        <v>74</v>
      </c>
      <c r="BP97" t="s">
        <v>74</v>
      </c>
      <c r="BQ97" t="s">
        <v>74</v>
      </c>
      <c r="BR97" t="s">
        <v>105</v>
      </c>
      <c r="BS97" t="s">
        <v>2185</v>
      </c>
      <c r="BT97" t="str">
        <f>HYPERLINK("https%3A%2F%2Fwww.webofscience.com%2Fwos%2Fwoscc%2Ffull-record%2FWOS:000384841900022","View Full Record in Web of Science")</f>
        <v>View Full Record in Web of Science</v>
      </c>
    </row>
    <row r="98" spans="1:72" x14ac:dyDescent="0.15">
      <c r="A98" t="s">
        <v>72</v>
      </c>
      <c r="B98" t="s">
        <v>2186</v>
      </c>
      <c r="C98" t="s">
        <v>74</v>
      </c>
      <c r="D98" t="s">
        <v>74</v>
      </c>
      <c r="E98" t="s">
        <v>74</v>
      </c>
      <c r="F98" t="s">
        <v>2187</v>
      </c>
      <c r="G98" t="s">
        <v>74</v>
      </c>
      <c r="H98" t="s">
        <v>74</v>
      </c>
      <c r="I98" t="s">
        <v>2188</v>
      </c>
      <c r="J98" t="s">
        <v>2078</v>
      </c>
      <c r="K98" t="s">
        <v>74</v>
      </c>
      <c r="L98" t="s">
        <v>74</v>
      </c>
      <c r="M98" t="s">
        <v>78</v>
      </c>
      <c r="N98" t="s">
        <v>79</v>
      </c>
      <c r="O98" t="s">
        <v>74</v>
      </c>
      <c r="P98" t="s">
        <v>74</v>
      </c>
      <c r="Q98" t="s">
        <v>74</v>
      </c>
      <c r="R98" t="s">
        <v>74</v>
      </c>
      <c r="S98" t="s">
        <v>74</v>
      </c>
      <c r="T98" t="s">
        <v>74</v>
      </c>
      <c r="U98" t="s">
        <v>2189</v>
      </c>
      <c r="V98" t="s">
        <v>2190</v>
      </c>
      <c r="W98" t="s">
        <v>2191</v>
      </c>
      <c r="X98" t="s">
        <v>2192</v>
      </c>
      <c r="Y98" t="s">
        <v>2193</v>
      </c>
      <c r="Z98" t="s">
        <v>2194</v>
      </c>
      <c r="AA98" t="s">
        <v>2195</v>
      </c>
      <c r="AB98" t="s">
        <v>2196</v>
      </c>
      <c r="AC98" t="s">
        <v>2197</v>
      </c>
      <c r="AD98" t="s">
        <v>2198</v>
      </c>
      <c r="AE98" t="s">
        <v>2199</v>
      </c>
      <c r="AF98" t="s">
        <v>74</v>
      </c>
      <c r="AG98">
        <v>55</v>
      </c>
      <c r="AH98">
        <v>30</v>
      </c>
      <c r="AI98">
        <v>30</v>
      </c>
      <c r="AJ98">
        <v>0</v>
      </c>
      <c r="AK98">
        <v>16</v>
      </c>
      <c r="AL98" t="s">
        <v>574</v>
      </c>
      <c r="AM98" t="s">
        <v>575</v>
      </c>
      <c r="AN98" t="s">
        <v>576</v>
      </c>
      <c r="AO98" t="s">
        <v>2090</v>
      </c>
      <c r="AP98" t="s">
        <v>74</v>
      </c>
      <c r="AQ98" t="s">
        <v>74</v>
      </c>
      <c r="AR98" t="s">
        <v>2091</v>
      </c>
      <c r="AS98" t="s">
        <v>2092</v>
      </c>
      <c r="AT98" t="s">
        <v>2200</v>
      </c>
      <c r="AU98">
        <v>2016</v>
      </c>
      <c r="AV98">
        <v>6</v>
      </c>
      <c r="AW98" t="s">
        <v>74</v>
      </c>
      <c r="AX98" t="s">
        <v>74</v>
      </c>
      <c r="AY98" t="s">
        <v>74</v>
      </c>
      <c r="AZ98" t="s">
        <v>74</v>
      </c>
      <c r="BA98" t="s">
        <v>74</v>
      </c>
      <c r="BB98" t="s">
        <v>74</v>
      </c>
      <c r="BC98" t="s">
        <v>74</v>
      </c>
      <c r="BD98">
        <v>33163</v>
      </c>
      <c r="BE98" t="s">
        <v>2201</v>
      </c>
      <c r="BF98" t="str">
        <f>HYPERLINK("http://dx.doi.org/10.1038/srep33163","http://dx.doi.org/10.1038/srep33163")</f>
        <v>http://dx.doi.org/10.1038/srep33163</v>
      </c>
      <c r="BG98" t="s">
        <v>74</v>
      </c>
      <c r="BH98" t="s">
        <v>74</v>
      </c>
      <c r="BI98">
        <v>15</v>
      </c>
      <c r="BJ98" t="s">
        <v>719</v>
      </c>
      <c r="BK98" t="s">
        <v>156</v>
      </c>
      <c r="BL98" t="s">
        <v>720</v>
      </c>
      <c r="BM98" t="s">
        <v>2202</v>
      </c>
      <c r="BN98">
        <v>27694889</v>
      </c>
      <c r="BO98" t="s">
        <v>1916</v>
      </c>
      <c r="BP98" t="s">
        <v>74</v>
      </c>
      <c r="BQ98" t="s">
        <v>74</v>
      </c>
      <c r="BR98" t="s">
        <v>105</v>
      </c>
      <c r="BS98" t="s">
        <v>2203</v>
      </c>
      <c r="BT98" t="str">
        <f>HYPERLINK("https%3A%2F%2Fwww.webofscience.com%2Fwos%2Fwoscc%2Ffull-record%2FWOS:000384755200001","View Full Record in Web of Science")</f>
        <v>View Full Record in Web of Science</v>
      </c>
    </row>
    <row r="99" spans="1:72" x14ac:dyDescent="0.15">
      <c r="A99" t="s">
        <v>72</v>
      </c>
      <c r="B99" t="s">
        <v>2204</v>
      </c>
      <c r="C99" t="s">
        <v>74</v>
      </c>
      <c r="D99" t="s">
        <v>74</v>
      </c>
      <c r="E99" t="s">
        <v>74</v>
      </c>
      <c r="F99" t="s">
        <v>2205</v>
      </c>
      <c r="G99" t="s">
        <v>74</v>
      </c>
      <c r="H99" t="s">
        <v>74</v>
      </c>
      <c r="I99" t="s">
        <v>2206</v>
      </c>
      <c r="J99" t="s">
        <v>334</v>
      </c>
      <c r="K99" t="s">
        <v>74</v>
      </c>
      <c r="L99" t="s">
        <v>74</v>
      </c>
      <c r="M99" t="s">
        <v>78</v>
      </c>
      <c r="N99" t="s">
        <v>79</v>
      </c>
      <c r="O99" t="s">
        <v>74</v>
      </c>
      <c r="P99" t="s">
        <v>74</v>
      </c>
      <c r="Q99" t="s">
        <v>74</v>
      </c>
      <c r="R99" t="s">
        <v>74</v>
      </c>
      <c r="S99" t="s">
        <v>74</v>
      </c>
      <c r="T99" t="s">
        <v>74</v>
      </c>
      <c r="U99" t="s">
        <v>2207</v>
      </c>
      <c r="V99" t="s">
        <v>2208</v>
      </c>
      <c r="W99" t="s">
        <v>2209</v>
      </c>
      <c r="X99" t="s">
        <v>2210</v>
      </c>
      <c r="Y99" t="s">
        <v>2211</v>
      </c>
      <c r="Z99" t="s">
        <v>2212</v>
      </c>
      <c r="AA99" t="s">
        <v>2213</v>
      </c>
      <c r="AB99" t="s">
        <v>2214</v>
      </c>
      <c r="AC99" t="s">
        <v>2215</v>
      </c>
      <c r="AD99" t="s">
        <v>2216</v>
      </c>
      <c r="AE99" t="s">
        <v>2217</v>
      </c>
      <c r="AF99" t="s">
        <v>74</v>
      </c>
      <c r="AG99">
        <v>53</v>
      </c>
      <c r="AH99">
        <v>28</v>
      </c>
      <c r="AI99">
        <v>32</v>
      </c>
      <c r="AJ99">
        <v>0</v>
      </c>
      <c r="AK99">
        <v>7</v>
      </c>
      <c r="AL99" t="s">
        <v>149</v>
      </c>
      <c r="AM99" t="s">
        <v>123</v>
      </c>
      <c r="AN99" t="s">
        <v>150</v>
      </c>
      <c r="AO99" t="s">
        <v>347</v>
      </c>
      <c r="AP99" t="s">
        <v>348</v>
      </c>
      <c r="AQ99" t="s">
        <v>74</v>
      </c>
      <c r="AR99" t="s">
        <v>349</v>
      </c>
      <c r="AS99" t="s">
        <v>350</v>
      </c>
      <c r="AT99" t="s">
        <v>2218</v>
      </c>
      <c r="AU99">
        <v>2016</v>
      </c>
      <c r="AV99">
        <v>121</v>
      </c>
      <c r="AW99">
        <v>10</v>
      </c>
      <c r="AX99" t="s">
        <v>74</v>
      </c>
      <c r="AY99" t="s">
        <v>74</v>
      </c>
      <c r="AZ99" t="s">
        <v>74</v>
      </c>
      <c r="BA99" t="s">
        <v>74</v>
      </c>
      <c r="BB99" t="s">
        <v>74</v>
      </c>
      <c r="BC99" t="s">
        <v>74</v>
      </c>
      <c r="BD99" t="s">
        <v>74</v>
      </c>
      <c r="BE99" t="s">
        <v>2219</v>
      </c>
      <c r="BF99" t="str">
        <f>HYPERLINK("http://dx.doi.org/10.1002/2016JF003831","http://dx.doi.org/10.1002/2016JF003831")</f>
        <v>http://dx.doi.org/10.1002/2016JF003831</v>
      </c>
      <c r="BG99" t="s">
        <v>74</v>
      </c>
      <c r="BH99" t="s">
        <v>74</v>
      </c>
      <c r="BI99">
        <v>15</v>
      </c>
      <c r="BJ99" t="s">
        <v>352</v>
      </c>
      <c r="BK99" t="s">
        <v>156</v>
      </c>
      <c r="BL99" t="s">
        <v>177</v>
      </c>
      <c r="BM99" t="s">
        <v>2220</v>
      </c>
      <c r="BN99" t="s">
        <v>74</v>
      </c>
      <c r="BO99" t="s">
        <v>2221</v>
      </c>
      <c r="BP99" t="s">
        <v>74</v>
      </c>
      <c r="BQ99" t="s">
        <v>74</v>
      </c>
      <c r="BR99" t="s">
        <v>105</v>
      </c>
      <c r="BS99" t="s">
        <v>2222</v>
      </c>
      <c r="BT99" t="str">
        <f>HYPERLINK("https%3A%2F%2Fwww.webofscience.com%2Fwos%2Fwoscc%2Ffull-record%2FWOS:000392830200010","View Full Record in Web of Science")</f>
        <v>View Full Record in Web of Science</v>
      </c>
    </row>
    <row r="100" spans="1:72" x14ac:dyDescent="0.15">
      <c r="A100" t="s">
        <v>72</v>
      </c>
      <c r="B100" t="s">
        <v>2223</v>
      </c>
      <c r="C100" t="s">
        <v>74</v>
      </c>
      <c r="D100" t="s">
        <v>74</v>
      </c>
      <c r="E100" t="s">
        <v>74</v>
      </c>
      <c r="F100" t="s">
        <v>2224</v>
      </c>
      <c r="G100" t="s">
        <v>74</v>
      </c>
      <c r="H100" t="s">
        <v>74</v>
      </c>
      <c r="I100" t="s">
        <v>2225</v>
      </c>
      <c r="J100" t="s">
        <v>2226</v>
      </c>
      <c r="K100" t="s">
        <v>74</v>
      </c>
      <c r="L100" t="s">
        <v>74</v>
      </c>
      <c r="M100" t="s">
        <v>2227</v>
      </c>
      <c r="N100" t="s">
        <v>79</v>
      </c>
      <c r="O100" t="s">
        <v>74</v>
      </c>
      <c r="P100" t="s">
        <v>74</v>
      </c>
      <c r="Q100" t="s">
        <v>74</v>
      </c>
      <c r="R100" t="s">
        <v>74</v>
      </c>
      <c r="S100" t="s">
        <v>74</v>
      </c>
      <c r="T100" t="s">
        <v>2228</v>
      </c>
      <c r="U100" t="s">
        <v>74</v>
      </c>
      <c r="V100" t="s">
        <v>2229</v>
      </c>
      <c r="W100" t="s">
        <v>2230</v>
      </c>
      <c r="X100" t="s">
        <v>74</v>
      </c>
      <c r="Y100" t="s">
        <v>2231</v>
      </c>
      <c r="Z100" t="s">
        <v>2232</v>
      </c>
      <c r="AA100" t="s">
        <v>74</v>
      </c>
      <c r="AB100" t="s">
        <v>74</v>
      </c>
      <c r="AC100" t="s">
        <v>74</v>
      </c>
      <c r="AD100" t="s">
        <v>74</v>
      </c>
      <c r="AE100" t="s">
        <v>74</v>
      </c>
      <c r="AF100" t="s">
        <v>74</v>
      </c>
      <c r="AG100">
        <v>25</v>
      </c>
      <c r="AH100">
        <v>1</v>
      </c>
      <c r="AI100">
        <v>1</v>
      </c>
      <c r="AJ100">
        <v>0</v>
      </c>
      <c r="AK100">
        <v>2</v>
      </c>
      <c r="AL100" t="s">
        <v>2233</v>
      </c>
      <c r="AM100" t="s">
        <v>2234</v>
      </c>
      <c r="AN100" t="s">
        <v>2235</v>
      </c>
      <c r="AO100" t="s">
        <v>2236</v>
      </c>
      <c r="AP100" t="s">
        <v>74</v>
      </c>
      <c r="AQ100" t="s">
        <v>74</v>
      </c>
      <c r="AR100" t="s">
        <v>2237</v>
      </c>
      <c r="AS100" t="s">
        <v>2238</v>
      </c>
      <c r="AT100" t="s">
        <v>2239</v>
      </c>
      <c r="AU100">
        <v>2016</v>
      </c>
      <c r="AV100">
        <v>7</v>
      </c>
      <c r="AW100">
        <v>4</v>
      </c>
      <c r="AX100" t="s">
        <v>74</v>
      </c>
      <c r="AY100" t="s">
        <v>74</v>
      </c>
      <c r="AZ100" t="s">
        <v>74</v>
      </c>
      <c r="BA100" t="s">
        <v>74</v>
      </c>
      <c r="BB100">
        <v>13</v>
      </c>
      <c r="BC100">
        <v>39</v>
      </c>
      <c r="BD100" t="s">
        <v>74</v>
      </c>
      <c r="BE100" t="s">
        <v>74</v>
      </c>
      <c r="BF100" t="s">
        <v>74</v>
      </c>
      <c r="BG100" t="s">
        <v>74</v>
      </c>
      <c r="BH100" t="s">
        <v>74</v>
      </c>
      <c r="BI100">
        <v>27</v>
      </c>
      <c r="BJ100" t="s">
        <v>2240</v>
      </c>
      <c r="BK100" t="s">
        <v>131</v>
      </c>
      <c r="BL100" t="s">
        <v>2240</v>
      </c>
      <c r="BM100" t="s">
        <v>2241</v>
      </c>
      <c r="BN100" t="s">
        <v>74</v>
      </c>
      <c r="BO100" t="s">
        <v>74</v>
      </c>
      <c r="BP100" t="s">
        <v>74</v>
      </c>
      <c r="BQ100" t="s">
        <v>74</v>
      </c>
      <c r="BR100" t="s">
        <v>105</v>
      </c>
      <c r="BS100" t="s">
        <v>2242</v>
      </c>
      <c r="BT100" t="str">
        <f>HYPERLINK("https%3A%2F%2Fwww.webofscience.com%2Fwos%2Fwoscc%2Ffull-record%2FWOS:000392337800002","View Full Record in Web of Science")</f>
        <v>View Full Record in Web of Science</v>
      </c>
    </row>
    <row r="101" spans="1:72" x14ac:dyDescent="0.15">
      <c r="A101" t="s">
        <v>72</v>
      </c>
      <c r="B101" t="s">
        <v>2243</v>
      </c>
      <c r="C101" t="s">
        <v>74</v>
      </c>
      <c r="D101" t="s">
        <v>74</v>
      </c>
      <c r="E101" t="s">
        <v>74</v>
      </c>
      <c r="F101" t="s">
        <v>2244</v>
      </c>
      <c r="G101" t="s">
        <v>74</v>
      </c>
      <c r="H101" t="s">
        <v>74</v>
      </c>
      <c r="I101" t="s">
        <v>2245</v>
      </c>
      <c r="J101" t="s">
        <v>2246</v>
      </c>
      <c r="K101" t="s">
        <v>74</v>
      </c>
      <c r="L101" t="s">
        <v>74</v>
      </c>
      <c r="M101" t="s">
        <v>78</v>
      </c>
      <c r="N101" t="s">
        <v>79</v>
      </c>
      <c r="O101" t="s">
        <v>74</v>
      </c>
      <c r="P101" t="s">
        <v>74</v>
      </c>
      <c r="Q101" t="s">
        <v>74</v>
      </c>
      <c r="R101" t="s">
        <v>74</v>
      </c>
      <c r="S101" t="s">
        <v>74</v>
      </c>
      <c r="T101" t="s">
        <v>2247</v>
      </c>
      <c r="U101" t="s">
        <v>2248</v>
      </c>
      <c r="V101" t="s">
        <v>2249</v>
      </c>
      <c r="W101" t="s">
        <v>2250</v>
      </c>
      <c r="X101" t="s">
        <v>2251</v>
      </c>
      <c r="Y101" t="s">
        <v>2252</v>
      </c>
      <c r="Z101" t="s">
        <v>74</v>
      </c>
      <c r="AA101" t="s">
        <v>2253</v>
      </c>
      <c r="AB101" t="s">
        <v>2254</v>
      </c>
      <c r="AC101" t="s">
        <v>2255</v>
      </c>
      <c r="AD101" t="s">
        <v>2256</v>
      </c>
      <c r="AE101" t="s">
        <v>2257</v>
      </c>
      <c r="AF101" t="s">
        <v>74</v>
      </c>
      <c r="AG101">
        <v>49</v>
      </c>
      <c r="AH101">
        <v>20</v>
      </c>
      <c r="AI101">
        <v>21</v>
      </c>
      <c r="AJ101">
        <v>1</v>
      </c>
      <c r="AK101">
        <v>17</v>
      </c>
      <c r="AL101" t="s">
        <v>2258</v>
      </c>
      <c r="AM101" t="s">
        <v>2259</v>
      </c>
      <c r="AN101" t="s">
        <v>2260</v>
      </c>
      <c r="AO101" t="s">
        <v>2261</v>
      </c>
      <c r="AP101" t="s">
        <v>2262</v>
      </c>
      <c r="AQ101" t="s">
        <v>74</v>
      </c>
      <c r="AR101" t="s">
        <v>2263</v>
      </c>
      <c r="AS101" t="s">
        <v>2264</v>
      </c>
      <c r="AT101" t="s">
        <v>2218</v>
      </c>
      <c r="AU101">
        <v>2016</v>
      </c>
      <c r="AV101">
        <v>56</v>
      </c>
      <c r="AW101" t="s">
        <v>74</v>
      </c>
      <c r="AX101" t="s">
        <v>74</v>
      </c>
      <c r="AY101" t="s">
        <v>74</v>
      </c>
      <c r="AZ101" t="s">
        <v>74</v>
      </c>
      <c r="BA101" t="s">
        <v>74</v>
      </c>
      <c r="BB101">
        <v>119</v>
      </c>
      <c r="BC101">
        <v>133</v>
      </c>
      <c r="BD101" t="s">
        <v>74</v>
      </c>
      <c r="BE101" t="s">
        <v>2265</v>
      </c>
      <c r="BF101" t="str">
        <f>HYPERLINK("http://dx.doi.org/10.1016/j.ejop.2016.08.003","http://dx.doi.org/10.1016/j.ejop.2016.08.003")</f>
        <v>http://dx.doi.org/10.1016/j.ejop.2016.08.003</v>
      </c>
      <c r="BG101" t="s">
        <v>74</v>
      </c>
      <c r="BH101" t="s">
        <v>74</v>
      </c>
      <c r="BI101">
        <v>15</v>
      </c>
      <c r="BJ101" t="s">
        <v>130</v>
      </c>
      <c r="BK101" t="s">
        <v>156</v>
      </c>
      <c r="BL101" t="s">
        <v>130</v>
      </c>
      <c r="BM101" t="s">
        <v>2266</v>
      </c>
      <c r="BN101">
        <v>27643668</v>
      </c>
      <c r="BO101" t="s">
        <v>74</v>
      </c>
      <c r="BP101" t="s">
        <v>74</v>
      </c>
      <c r="BQ101" t="s">
        <v>74</v>
      </c>
      <c r="BR101" t="s">
        <v>105</v>
      </c>
      <c r="BS101" t="s">
        <v>2267</v>
      </c>
      <c r="BT101" t="str">
        <f>HYPERLINK("https%3A%2F%2Fwww.webofscience.com%2Fwos%2Fwoscc%2Ffull-record%2FWOS:000390970100014","View Full Record in Web of Science")</f>
        <v>View Full Record in Web of Science</v>
      </c>
    </row>
    <row r="102" spans="1:72" x14ac:dyDescent="0.15">
      <c r="A102" t="s">
        <v>72</v>
      </c>
      <c r="B102" t="s">
        <v>2268</v>
      </c>
      <c r="C102" t="s">
        <v>74</v>
      </c>
      <c r="D102" t="s">
        <v>74</v>
      </c>
      <c r="E102" t="s">
        <v>74</v>
      </c>
      <c r="F102" t="s">
        <v>2269</v>
      </c>
      <c r="G102" t="s">
        <v>74</v>
      </c>
      <c r="H102" t="s">
        <v>74</v>
      </c>
      <c r="I102" t="s">
        <v>2270</v>
      </c>
      <c r="J102" t="s">
        <v>2271</v>
      </c>
      <c r="K102" t="s">
        <v>74</v>
      </c>
      <c r="L102" t="s">
        <v>74</v>
      </c>
      <c r="M102" t="s">
        <v>78</v>
      </c>
      <c r="N102" t="s">
        <v>79</v>
      </c>
      <c r="O102" t="s">
        <v>74</v>
      </c>
      <c r="P102" t="s">
        <v>74</v>
      </c>
      <c r="Q102" t="s">
        <v>74</v>
      </c>
      <c r="R102" t="s">
        <v>74</v>
      </c>
      <c r="S102" t="s">
        <v>74</v>
      </c>
      <c r="T102" t="s">
        <v>74</v>
      </c>
      <c r="U102" t="s">
        <v>2272</v>
      </c>
      <c r="V102" t="s">
        <v>2273</v>
      </c>
      <c r="W102" t="s">
        <v>2274</v>
      </c>
      <c r="X102" t="s">
        <v>2275</v>
      </c>
      <c r="Y102" t="s">
        <v>2276</v>
      </c>
      <c r="Z102" t="s">
        <v>2277</v>
      </c>
      <c r="AA102" t="s">
        <v>2278</v>
      </c>
      <c r="AB102" t="s">
        <v>2279</v>
      </c>
      <c r="AC102" t="s">
        <v>2280</v>
      </c>
      <c r="AD102" t="s">
        <v>2281</v>
      </c>
      <c r="AE102" t="s">
        <v>2282</v>
      </c>
      <c r="AF102" t="s">
        <v>74</v>
      </c>
      <c r="AG102">
        <v>97</v>
      </c>
      <c r="AH102">
        <v>9</v>
      </c>
      <c r="AI102">
        <v>9</v>
      </c>
      <c r="AJ102">
        <v>0</v>
      </c>
      <c r="AK102">
        <v>17</v>
      </c>
      <c r="AL102" t="s">
        <v>149</v>
      </c>
      <c r="AM102" t="s">
        <v>123</v>
      </c>
      <c r="AN102" t="s">
        <v>150</v>
      </c>
      <c r="AO102" t="s">
        <v>2283</v>
      </c>
      <c r="AP102" t="s">
        <v>2284</v>
      </c>
      <c r="AQ102" t="s">
        <v>74</v>
      </c>
      <c r="AR102" t="s">
        <v>2271</v>
      </c>
      <c r="AS102" t="s">
        <v>2285</v>
      </c>
      <c r="AT102" t="s">
        <v>2218</v>
      </c>
      <c r="AU102">
        <v>2016</v>
      </c>
      <c r="AV102">
        <v>35</v>
      </c>
      <c r="AW102">
        <v>10</v>
      </c>
      <c r="AX102" t="s">
        <v>74</v>
      </c>
      <c r="AY102" t="s">
        <v>74</v>
      </c>
      <c r="AZ102" t="s">
        <v>74</v>
      </c>
      <c r="BA102" t="s">
        <v>74</v>
      </c>
      <c r="BB102">
        <v>2239</v>
      </c>
      <c r="BC102">
        <v>2257</v>
      </c>
      <c r="BD102" t="s">
        <v>74</v>
      </c>
      <c r="BE102" t="s">
        <v>2286</v>
      </c>
      <c r="BF102" t="str">
        <f>HYPERLINK("http://dx.doi.org/10.1002/2016TC004236","http://dx.doi.org/10.1002/2016TC004236")</f>
        <v>http://dx.doi.org/10.1002/2016TC004236</v>
      </c>
      <c r="BG102" t="s">
        <v>74</v>
      </c>
      <c r="BH102" t="s">
        <v>74</v>
      </c>
      <c r="BI102">
        <v>19</v>
      </c>
      <c r="BJ102" t="s">
        <v>155</v>
      </c>
      <c r="BK102" t="s">
        <v>156</v>
      </c>
      <c r="BL102" t="s">
        <v>155</v>
      </c>
      <c r="BM102" t="s">
        <v>2287</v>
      </c>
      <c r="BN102" t="s">
        <v>74</v>
      </c>
      <c r="BO102" t="s">
        <v>1142</v>
      </c>
      <c r="BP102" t="s">
        <v>74</v>
      </c>
      <c r="BQ102" t="s">
        <v>74</v>
      </c>
      <c r="BR102" t="s">
        <v>105</v>
      </c>
      <c r="BS102" t="s">
        <v>2288</v>
      </c>
      <c r="BT102" t="str">
        <f>HYPERLINK("https%3A%2F%2Fwww.webofscience.com%2Fwos%2Fwoscc%2Ffull-record%2FWOS:000389332000002","View Full Record in Web of Science")</f>
        <v>View Full Record in Web of Science</v>
      </c>
    </row>
    <row r="103" spans="1:72" x14ac:dyDescent="0.15">
      <c r="A103" t="s">
        <v>72</v>
      </c>
      <c r="B103" t="s">
        <v>2289</v>
      </c>
      <c r="C103" t="s">
        <v>74</v>
      </c>
      <c r="D103" t="s">
        <v>74</v>
      </c>
      <c r="E103" t="s">
        <v>74</v>
      </c>
      <c r="F103" t="s">
        <v>2290</v>
      </c>
      <c r="G103" t="s">
        <v>74</v>
      </c>
      <c r="H103" t="s">
        <v>74</v>
      </c>
      <c r="I103" t="s">
        <v>2291</v>
      </c>
      <c r="J103" t="s">
        <v>2292</v>
      </c>
      <c r="K103" t="s">
        <v>74</v>
      </c>
      <c r="L103" t="s">
        <v>74</v>
      </c>
      <c r="M103" t="s">
        <v>78</v>
      </c>
      <c r="N103" t="s">
        <v>79</v>
      </c>
      <c r="O103" t="s">
        <v>74</v>
      </c>
      <c r="P103" t="s">
        <v>74</v>
      </c>
      <c r="Q103" t="s">
        <v>74</v>
      </c>
      <c r="R103" t="s">
        <v>74</v>
      </c>
      <c r="S103" t="s">
        <v>74</v>
      </c>
      <c r="T103" t="s">
        <v>74</v>
      </c>
      <c r="U103" t="s">
        <v>2293</v>
      </c>
      <c r="V103" t="s">
        <v>2294</v>
      </c>
      <c r="W103" t="s">
        <v>2295</v>
      </c>
      <c r="X103" t="s">
        <v>2296</v>
      </c>
      <c r="Y103" t="s">
        <v>2297</v>
      </c>
      <c r="Z103" t="s">
        <v>2298</v>
      </c>
      <c r="AA103" t="s">
        <v>2299</v>
      </c>
      <c r="AB103" t="s">
        <v>74</v>
      </c>
      <c r="AC103" t="s">
        <v>2300</v>
      </c>
      <c r="AD103" t="s">
        <v>2301</v>
      </c>
      <c r="AE103" t="s">
        <v>2302</v>
      </c>
      <c r="AF103" t="s">
        <v>74</v>
      </c>
      <c r="AG103">
        <v>51</v>
      </c>
      <c r="AH103">
        <v>14</v>
      </c>
      <c r="AI103">
        <v>15</v>
      </c>
      <c r="AJ103">
        <v>0</v>
      </c>
      <c r="AK103">
        <v>8</v>
      </c>
      <c r="AL103" t="s">
        <v>149</v>
      </c>
      <c r="AM103" t="s">
        <v>123</v>
      </c>
      <c r="AN103" t="s">
        <v>150</v>
      </c>
      <c r="AO103" t="s">
        <v>2303</v>
      </c>
      <c r="AP103" t="s">
        <v>2304</v>
      </c>
      <c r="AQ103" t="s">
        <v>74</v>
      </c>
      <c r="AR103" t="s">
        <v>2305</v>
      </c>
      <c r="AS103" t="s">
        <v>2306</v>
      </c>
      <c r="AT103" t="s">
        <v>2218</v>
      </c>
      <c r="AU103">
        <v>2016</v>
      </c>
      <c r="AV103">
        <v>121</v>
      </c>
      <c r="AW103">
        <v>10</v>
      </c>
      <c r="AX103" t="s">
        <v>74</v>
      </c>
      <c r="AY103" t="s">
        <v>74</v>
      </c>
      <c r="AZ103" t="s">
        <v>74</v>
      </c>
      <c r="BA103" t="s">
        <v>74</v>
      </c>
      <c r="BB103">
        <v>10157</v>
      </c>
      <c r="BC103">
        <v>10171</v>
      </c>
      <c r="BD103" t="s">
        <v>74</v>
      </c>
      <c r="BE103" t="s">
        <v>2307</v>
      </c>
      <c r="BF103" t="str">
        <f>HYPERLINK("http://dx.doi.org/10.1002/2016JA023226","http://dx.doi.org/10.1002/2016JA023226")</f>
        <v>http://dx.doi.org/10.1002/2016JA023226</v>
      </c>
      <c r="BG103" t="s">
        <v>74</v>
      </c>
      <c r="BH103" t="s">
        <v>74</v>
      </c>
      <c r="BI103">
        <v>15</v>
      </c>
      <c r="BJ103" t="s">
        <v>748</v>
      </c>
      <c r="BK103" t="s">
        <v>156</v>
      </c>
      <c r="BL103" t="s">
        <v>748</v>
      </c>
      <c r="BM103" t="s">
        <v>2308</v>
      </c>
      <c r="BN103" t="s">
        <v>74</v>
      </c>
      <c r="BO103" t="s">
        <v>258</v>
      </c>
      <c r="BP103" t="s">
        <v>74</v>
      </c>
      <c r="BQ103" t="s">
        <v>74</v>
      </c>
      <c r="BR103" t="s">
        <v>105</v>
      </c>
      <c r="BS103" t="s">
        <v>2309</v>
      </c>
      <c r="BT103" t="str">
        <f>HYPERLINK("https%3A%2F%2Fwww.webofscience.com%2Fwos%2Fwoscc%2Ffull-record%2FWOS:000388965900055","View Full Record in Web of Science")</f>
        <v>View Full Record in Web of Science</v>
      </c>
    </row>
    <row r="104" spans="1:72" x14ac:dyDescent="0.15">
      <c r="A104" t="s">
        <v>72</v>
      </c>
      <c r="B104" t="s">
        <v>2310</v>
      </c>
      <c r="C104" t="s">
        <v>74</v>
      </c>
      <c r="D104" t="s">
        <v>74</v>
      </c>
      <c r="E104" t="s">
        <v>74</v>
      </c>
      <c r="F104" t="s">
        <v>2311</v>
      </c>
      <c r="G104" t="s">
        <v>74</v>
      </c>
      <c r="H104" t="s">
        <v>74</v>
      </c>
      <c r="I104" t="s">
        <v>2312</v>
      </c>
      <c r="J104" t="s">
        <v>2313</v>
      </c>
      <c r="K104" t="s">
        <v>74</v>
      </c>
      <c r="L104" t="s">
        <v>74</v>
      </c>
      <c r="M104" t="s">
        <v>78</v>
      </c>
      <c r="N104" t="s">
        <v>79</v>
      </c>
      <c r="O104" t="s">
        <v>74</v>
      </c>
      <c r="P104" t="s">
        <v>74</v>
      </c>
      <c r="Q104" t="s">
        <v>74</v>
      </c>
      <c r="R104" t="s">
        <v>74</v>
      </c>
      <c r="S104" t="s">
        <v>74</v>
      </c>
      <c r="T104" t="s">
        <v>2314</v>
      </c>
      <c r="U104" t="s">
        <v>2315</v>
      </c>
      <c r="V104" t="s">
        <v>2316</v>
      </c>
      <c r="W104" t="s">
        <v>2317</v>
      </c>
      <c r="X104" t="s">
        <v>2318</v>
      </c>
      <c r="Y104" t="s">
        <v>2319</v>
      </c>
      <c r="Z104" t="s">
        <v>2320</v>
      </c>
      <c r="AA104" t="s">
        <v>74</v>
      </c>
      <c r="AB104" t="s">
        <v>2321</v>
      </c>
      <c r="AC104" t="s">
        <v>2322</v>
      </c>
      <c r="AD104" t="s">
        <v>2323</v>
      </c>
      <c r="AE104" t="s">
        <v>2324</v>
      </c>
      <c r="AF104" t="s">
        <v>74</v>
      </c>
      <c r="AG104">
        <v>37</v>
      </c>
      <c r="AH104">
        <v>4</v>
      </c>
      <c r="AI104">
        <v>4</v>
      </c>
      <c r="AJ104">
        <v>2</v>
      </c>
      <c r="AK104">
        <v>10</v>
      </c>
      <c r="AL104" t="s">
        <v>644</v>
      </c>
      <c r="AM104" t="s">
        <v>594</v>
      </c>
      <c r="AN104" t="s">
        <v>645</v>
      </c>
      <c r="AO104" t="s">
        <v>2325</v>
      </c>
      <c r="AP104" t="s">
        <v>2326</v>
      </c>
      <c r="AQ104" t="s">
        <v>74</v>
      </c>
      <c r="AR104" t="s">
        <v>2327</v>
      </c>
      <c r="AS104" t="s">
        <v>2328</v>
      </c>
      <c r="AT104" t="s">
        <v>2218</v>
      </c>
      <c r="AU104">
        <v>2016</v>
      </c>
      <c r="AV104">
        <v>18</v>
      </c>
      <c r="AW104">
        <v>5</v>
      </c>
      <c r="AX104" t="s">
        <v>74</v>
      </c>
      <c r="AY104" t="s">
        <v>74</v>
      </c>
      <c r="AZ104" t="s">
        <v>74</v>
      </c>
      <c r="BA104" t="s">
        <v>74</v>
      </c>
      <c r="BB104">
        <v>564</v>
      </c>
      <c r="BC104">
        <v>574</v>
      </c>
      <c r="BD104" t="s">
        <v>74</v>
      </c>
      <c r="BE104" t="s">
        <v>2329</v>
      </c>
      <c r="BF104" t="str">
        <f>HYPERLINK("http://dx.doi.org/10.1007/s10126-016-9714-8","http://dx.doi.org/10.1007/s10126-016-9714-8")</f>
        <v>http://dx.doi.org/10.1007/s10126-016-9714-8</v>
      </c>
      <c r="BG104" t="s">
        <v>74</v>
      </c>
      <c r="BH104" t="s">
        <v>74</v>
      </c>
      <c r="BI104">
        <v>11</v>
      </c>
      <c r="BJ104" t="s">
        <v>2330</v>
      </c>
      <c r="BK104" t="s">
        <v>156</v>
      </c>
      <c r="BL104" t="s">
        <v>2330</v>
      </c>
      <c r="BM104" t="s">
        <v>2331</v>
      </c>
      <c r="BN104">
        <v>27627903</v>
      </c>
      <c r="BO104" t="s">
        <v>74</v>
      </c>
      <c r="BP104" t="s">
        <v>74</v>
      </c>
      <c r="BQ104" t="s">
        <v>74</v>
      </c>
      <c r="BR104" t="s">
        <v>105</v>
      </c>
      <c r="BS104" t="s">
        <v>2332</v>
      </c>
      <c r="BT104" t="str">
        <f>HYPERLINK("https%3A%2F%2Fwww.webofscience.com%2Fwos%2Fwoscc%2Ffull-record%2FWOS:000388831000004","View Full Record in Web of Science")</f>
        <v>View Full Record in Web of Science</v>
      </c>
    </row>
    <row r="105" spans="1:72" x14ac:dyDescent="0.15">
      <c r="A105" t="s">
        <v>72</v>
      </c>
      <c r="B105" t="s">
        <v>2333</v>
      </c>
      <c r="C105" t="s">
        <v>74</v>
      </c>
      <c r="D105" t="s">
        <v>74</v>
      </c>
      <c r="E105" t="s">
        <v>74</v>
      </c>
      <c r="F105" t="s">
        <v>2334</v>
      </c>
      <c r="G105" t="s">
        <v>74</v>
      </c>
      <c r="H105" t="s">
        <v>74</v>
      </c>
      <c r="I105" t="s">
        <v>2335</v>
      </c>
      <c r="J105" t="s">
        <v>2336</v>
      </c>
      <c r="K105" t="s">
        <v>74</v>
      </c>
      <c r="L105" t="s">
        <v>74</v>
      </c>
      <c r="M105" t="s">
        <v>78</v>
      </c>
      <c r="N105" t="s">
        <v>79</v>
      </c>
      <c r="O105" t="s">
        <v>74</v>
      </c>
      <c r="P105" t="s">
        <v>74</v>
      </c>
      <c r="Q105" t="s">
        <v>74</v>
      </c>
      <c r="R105" t="s">
        <v>74</v>
      </c>
      <c r="S105" t="s">
        <v>74</v>
      </c>
      <c r="T105" t="s">
        <v>74</v>
      </c>
      <c r="U105" t="s">
        <v>74</v>
      </c>
      <c r="V105" t="s">
        <v>2337</v>
      </c>
      <c r="W105" t="s">
        <v>2338</v>
      </c>
      <c r="X105" t="s">
        <v>2339</v>
      </c>
      <c r="Y105" t="s">
        <v>2340</v>
      </c>
      <c r="Z105" t="s">
        <v>2341</v>
      </c>
      <c r="AA105" t="s">
        <v>2342</v>
      </c>
      <c r="AB105" t="s">
        <v>2343</v>
      </c>
      <c r="AC105" t="s">
        <v>2344</v>
      </c>
      <c r="AD105" t="s">
        <v>2345</v>
      </c>
      <c r="AE105" t="s">
        <v>2346</v>
      </c>
      <c r="AF105" t="s">
        <v>74</v>
      </c>
      <c r="AG105">
        <v>8</v>
      </c>
      <c r="AH105">
        <v>21</v>
      </c>
      <c r="AI105">
        <v>21</v>
      </c>
      <c r="AJ105">
        <v>0</v>
      </c>
      <c r="AK105">
        <v>8</v>
      </c>
      <c r="AL105" t="s">
        <v>149</v>
      </c>
      <c r="AM105" t="s">
        <v>123</v>
      </c>
      <c r="AN105" t="s">
        <v>150</v>
      </c>
      <c r="AO105" t="s">
        <v>2347</v>
      </c>
      <c r="AP105" t="s">
        <v>74</v>
      </c>
      <c r="AQ105" t="s">
        <v>74</v>
      </c>
      <c r="AR105" t="s">
        <v>2348</v>
      </c>
      <c r="AS105" t="s">
        <v>2349</v>
      </c>
      <c r="AT105" t="s">
        <v>2218</v>
      </c>
      <c r="AU105">
        <v>2016</v>
      </c>
      <c r="AV105">
        <v>14</v>
      </c>
      <c r="AW105">
        <v>10</v>
      </c>
      <c r="AX105" t="s">
        <v>74</v>
      </c>
      <c r="AY105" t="s">
        <v>74</v>
      </c>
      <c r="AZ105" t="s">
        <v>74</v>
      </c>
      <c r="BA105" t="s">
        <v>74</v>
      </c>
      <c r="BB105">
        <v>704</v>
      </c>
      <c r="BC105">
        <v>709</v>
      </c>
      <c r="BD105" t="s">
        <v>74</v>
      </c>
      <c r="BE105" t="s">
        <v>2350</v>
      </c>
      <c r="BF105" t="str">
        <f>HYPERLINK("http://dx.doi.org/10.1002/2016SW001488","http://dx.doi.org/10.1002/2016SW001488")</f>
        <v>http://dx.doi.org/10.1002/2016SW001488</v>
      </c>
      <c r="BG105" t="s">
        <v>74</v>
      </c>
      <c r="BH105" t="s">
        <v>74</v>
      </c>
      <c r="BI105">
        <v>6</v>
      </c>
      <c r="BJ105" t="s">
        <v>2351</v>
      </c>
      <c r="BK105" t="s">
        <v>156</v>
      </c>
      <c r="BL105" t="s">
        <v>2351</v>
      </c>
      <c r="BM105" t="s">
        <v>2352</v>
      </c>
      <c r="BN105" t="s">
        <v>74</v>
      </c>
      <c r="BO105" t="s">
        <v>258</v>
      </c>
      <c r="BP105" t="s">
        <v>74</v>
      </c>
      <c r="BQ105" t="s">
        <v>74</v>
      </c>
      <c r="BR105" t="s">
        <v>105</v>
      </c>
      <c r="BS105" t="s">
        <v>2353</v>
      </c>
      <c r="BT105" t="str">
        <f>HYPERLINK("https%3A%2F%2Fwww.webofscience.com%2Fwos%2Fwoscc%2Ffull-record%2FWOS:000387802900002","View Full Record in Web of Science")</f>
        <v>View Full Record in Web of Science</v>
      </c>
    </row>
    <row r="106" spans="1:72" x14ac:dyDescent="0.15">
      <c r="A106" t="s">
        <v>72</v>
      </c>
      <c r="B106" t="s">
        <v>2354</v>
      </c>
      <c r="C106" t="s">
        <v>74</v>
      </c>
      <c r="D106" t="s">
        <v>74</v>
      </c>
      <c r="E106" t="s">
        <v>74</v>
      </c>
      <c r="F106" t="s">
        <v>2355</v>
      </c>
      <c r="G106" t="s">
        <v>74</v>
      </c>
      <c r="H106" t="s">
        <v>74</v>
      </c>
      <c r="I106" t="s">
        <v>2356</v>
      </c>
      <c r="J106" t="s">
        <v>2357</v>
      </c>
      <c r="K106" t="s">
        <v>74</v>
      </c>
      <c r="L106" t="s">
        <v>74</v>
      </c>
      <c r="M106" t="s">
        <v>78</v>
      </c>
      <c r="N106" t="s">
        <v>79</v>
      </c>
      <c r="O106" t="s">
        <v>74</v>
      </c>
      <c r="P106" t="s">
        <v>74</v>
      </c>
      <c r="Q106" t="s">
        <v>74</v>
      </c>
      <c r="R106" t="s">
        <v>74</v>
      </c>
      <c r="S106" t="s">
        <v>74</v>
      </c>
      <c r="T106" t="s">
        <v>2358</v>
      </c>
      <c r="U106" t="s">
        <v>2359</v>
      </c>
      <c r="V106" t="s">
        <v>2360</v>
      </c>
      <c r="W106" t="s">
        <v>2361</v>
      </c>
      <c r="X106" t="s">
        <v>2362</v>
      </c>
      <c r="Y106" t="s">
        <v>2363</v>
      </c>
      <c r="Z106" t="s">
        <v>2364</v>
      </c>
      <c r="AA106" t="s">
        <v>2365</v>
      </c>
      <c r="AB106" t="s">
        <v>2366</v>
      </c>
      <c r="AC106" t="s">
        <v>2367</v>
      </c>
      <c r="AD106" t="s">
        <v>2368</v>
      </c>
      <c r="AE106" t="s">
        <v>2369</v>
      </c>
      <c r="AF106" t="s">
        <v>74</v>
      </c>
      <c r="AG106">
        <v>70</v>
      </c>
      <c r="AH106">
        <v>34</v>
      </c>
      <c r="AI106">
        <v>40</v>
      </c>
      <c r="AJ106">
        <v>2</v>
      </c>
      <c r="AK106">
        <v>30</v>
      </c>
      <c r="AL106" t="s">
        <v>149</v>
      </c>
      <c r="AM106" t="s">
        <v>123</v>
      </c>
      <c r="AN106" t="s">
        <v>150</v>
      </c>
      <c r="AO106" t="s">
        <v>2370</v>
      </c>
      <c r="AP106" t="s">
        <v>2371</v>
      </c>
      <c r="AQ106" t="s">
        <v>74</v>
      </c>
      <c r="AR106" t="s">
        <v>2372</v>
      </c>
      <c r="AS106" t="s">
        <v>2373</v>
      </c>
      <c r="AT106" t="s">
        <v>2218</v>
      </c>
      <c r="AU106">
        <v>2016</v>
      </c>
      <c r="AV106">
        <v>121</v>
      </c>
      <c r="AW106">
        <v>10</v>
      </c>
      <c r="AX106" t="s">
        <v>74</v>
      </c>
      <c r="AY106" t="s">
        <v>74</v>
      </c>
      <c r="AZ106" t="s">
        <v>74</v>
      </c>
      <c r="BA106" t="s">
        <v>74</v>
      </c>
      <c r="BB106">
        <v>7263</v>
      </c>
      <c r="BC106">
        <v>7276</v>
      </c>
      <c r="BD106" t="s">
        <v>74</v>
      </c>
      <c r="BE106" t="s">
        <v>2374</v>
      </c>
      <c r="BF106" t="str">
        <f>HYPERLINK("http://dx.doi.org/10.1002/2016JC012145","http://dx.doi.org/10.1002/2016JC012145")</f>
        <v>http://dx.doi.org/10.1002/2016JC012145</v>
      </c>
      <c r="BG106" t="s">
        <v>74</v>
      </c>
      <c r="BH106" t="s">
        <v>74</v>
      </c>
      <c r="BI106">
        <v>14</v>
      </c>
      <c r="BJ106" t="s">
        <v>405</v>
      </c>
      <c r="BK106" t="s">
        <v>156</v>
      </c>
      <c r="BL106" t="s">
        <v>405</v>
      </c>
      <c r="BM106" t="s">
        <v>2375</v>
      </c>
      <c r="BN106" t="s">
        <v>74</v>
      </c>
      <c r="BO106" t="s">
        <v>258</v>
      </c>
      <c r="BP106" t="s">
        <v>74</v>
      </c>
      <c r="BQ106" t="s">
        <v>74</v>
      </c>
      <c r="BR106" t="s">
        <v>105</v>
      </c>
      <c r="BS106" t="s">
        <v>2376</v>
      </c>
      <c r="BT106" t="str">
        <f>HYPERLINK("https%3A%2F%2Fwww.webofscience.com%2Fwos%2Fwoscc%2Ffull-record%2FWOS:000388602200003","View Full Record in Web of Science")</f>
        <v>View Full Record in Web of Science</v>
      </c>
    </row>
    <row r="107" spans="1:72" x14ac:dyDescent="0.15">
      <c r="A107" t="s">
        <v>72</v>
      </c>
      <c r="B107" t="s">
        <v>2377</v>
      </c>
      <c r="C107" t="s">
        <v>74</v>
      </c>
      <c r="D107" t="s">
        <v>74</v>
      </c>
      <c r="E107" t="s">
        <v>74</v>
      </c>
      <c r="F107" t="s">
        <v>2378</v>
      </c>
      <c r="G107" t="s">
        <v>74</v>
      </c>
      <c r="H107" t="s">
        <v>74</v>
      </c>
      <c r="I107" t="s">
        <v>2379</v>
      </c>
      <c r="J107" t="s">
        <v>2357</v>
      </c>
      <c r="K107" t="s">
        <v>74</v>
      </c>
      <c r="L107" t="s">
        <v>74</v>
      </c>
      <c r="M107" t="s">
        <v>78</v>
      </c>
      <c r="N107" t="s">
        <v>79</v>
      </c>
      <c r="O107" t="s">
        <v>74</v>
      </c>
      <c r="P107" t="s">
        <v>74</v>
      </c>
      <c r="Q107" t="s">
        <v>74</v>
      </c>
      <c r="R107" t="s">
        <v>74</v>
      </c>
      <c r="S107" t="s">
        <v>74</v>
      </c>
      <c r="T107" t="s">
        <v>2380</v>
      </c>
      <c r="U107" t="s">
        <v>2381</v>
      </c>
      <c r="V107" t="s">
        <v>2382</v>
      </c>
      <c r="W107" t="s">
        <v>2383</v>
      </c>
      <c r="X107" t="s">
        <v>2384</v>
      </c>
      <c r="Y107" t="s">
        <v>2385</v>
      </c>
      <c r="Z107" t="s">
        <v>2386</v>
      </c>
      <c r="AA107" t="s">
        <v>74</v>
      </c>
      <c r="AB107" t="s">
        <v>2387</v>
      </c>
      <c r="AC107" t="s">
        <v>2388</v>
      </c>
      <c r="AD107" t="s">
        <v>2389</v>
      </c>
      <c r="AE107" t="s">
        <v>2390</v>
      </c>
      <c r="AF107" t="s">
        <v>74</v>
      </c>
      <c r="AG107">
        <v>54</v>
      </c>
      <c r="AH107">
        <v>40</v>
      </c>
      <c r="AI107">
        <v>43</v>
      </c>
      <c r="AJ107">
        <v>1</v>
      </c>
      <c r="AK107">
        <v>11</v>
      </c>
      <c r="AL107" t="s">
        <v>149</v>
      </c>
      <c r="AM107" t="s">
        <v>123</v>
      </c>
      <c r="AN107" t="s">
        <v>150</v>
      </c>
      <c r="AO107" t="s">
        <v>2370</v>
      </c>
      <c r="AP107" t="s">
        <v>2371</v>
      </c>
      <c r="AQ107" t="s">
        <v>74</v>
      </c>
      <c r="AR107" t="s">
        <v>2372</v>
      </c>
      <c r="AS107" t="s">
        <v>2373</v>
      </c>
      <c r="AT107" t="s">
        <v>2218</v>
      </c>
      <c r="AU107">
        <v>2016</v>
      </c>
      <c r="AV107">
        <v>121</v>
      </c>
      <c r="AW107">
        <v>10</v>
      </c>
      <c r="AX107" t="s">
        <v>74</v>
      </c>
      <c r="AY107" t="s">
        <v>74</v>
      </c>
      <c r="AZ107" t="s">
        <v>74</v>
      </c>
      <c r="BA107" t="s">
        <v>74</v>
      </c>
      <c r="BB107">
        <v>7880</v>
      </c>
      <c r="BC107">
        <v>7897</v>
      </c>
      <c r="BD107" t="s">
        <v>74</v>
      </c>
      <c r="BE107" t="s">
        <v>2391</v>
      </c>
      <c r="BF107" t="str">
        <f>HYPERLINK("http://dx.doi.org/10.1002/2016JC011875","http://dx.doi.org/10.1002/2016JC011875")</f>
        <v>http://dx.doi.org/10.1002/2016JC011875</v>
      </c>
      <c r="BG107" t="s">
        <v>74</v>
      </c>
      <c r="BH107" t="s">
        <v>74</v>
      </c>
      <c r="BI107">
        <v>18</v>
      </c>
      <c r="BJ107" t="s">
        <v>405</v>
      </c>
      <c r="BK107" t="s">
        <v>156</v>
      </c>
      <c r="BL107" t="s">
        <v>405</v>
      </c>
      <c r="BM107" t="s">
        <v>2375</v>
      </c>
      <c r="BN107" t="s">
        <v>74</v>
      </c>
      <c r="BO107" t="s">
        <v>2392</v>
      </c>
      <c r="BP107" t="s">
        <v>74</v>
      </c>
      <c r="BQ107" t="s">
        <v>74</v>
      </c>
      <c r="BR107" t="s">
        <v>105</v>
      </c>
      <c r="BS107" t="s">
        <v>2393</v>
      </c>
      <c r="BT107" t="str">
        <f>HYPERLINK("https%3A%2F%2Fwww.webofscience.com%2Fwos%2Fwoscc%2Ffull-record%2FWOS:000388602200037","View Full Record in Web of Science")</f>
        <v>View Full Record in Web of Science</v>
      </c>
    </row>
    <row r="108" spans="1:72" x14ac:dyDescent="0.15">
      <c r="A108" t="s">
        <v>72</v>
      </c>
      <c r="B108" t="s">
        <v>2394</v>
      </c>
      <c r="C108" t="s">
        <v>74</v>
      </c>
      <c r="D108" t="s">
        <v>74</v>
      </c>
      <c r="E108" t="s">
        <v>74</v>
      </c>
      <c r="F108" t="s">
        <v>2395</v>
      </c>
      <c r="G108" t="s">
        <v>74</v>
      </c>
      <c r="H108" t="s">
        <v>74</v>
      </c>
      <c r="I108" t="s">
        <v>2396</v>
      </c>
      <c r="J108" t="s">
        <v>2397</v>
      </c>
      <c r="K108" t="s">
        <v>74</v>
      </c>
      <c r="L108" t="s">
        <v>74</v>
      </c>
      <c r="M108" t="s">
        <v>78</v>
      </c>
      <c r="N108" t="s">
        <v>79</v>
      </c>
      <c r="O108" t="s">
        <v>74</v>
      </c>
      <c r="P108" t="s">
        <v>74</v>
      </c>
      <c r="Q108" t="s">
        <v>74</v>
      </c>
      <c r="R108" t="s">
        <v>74</v>
      </c>
      <c r="S108" t="s">
        <v>74</v>
      </c>
      <c r="T108" t="s">
        <v>2398</v>
      </c>
      <c r="U108" t="s">
        <v>2399</v>
      </c>
      <c r="V108" t="s">
        <v>2400</v>
      </c>
      <c r="W108" t="s">
        <v>2401</v>
      </c>
      <c r="X108" t="s">
        <v>2402</v>
      </c>
      <c r="Y108" t="s">
        <v>2403</v>
      </c>
      <c r="Z108" t="s">
        <v>2404</v>
      </c>
      <c r="AA108" t="s">
        <v>74</v>
      </c>
      <c r="AB108" t="s">
        <v>74</v>
      </c>
      <c r="AC108" t="s">
        <v>2405</v>
      </c>
      <c r="AD108" t="s">
        <v>2406</v>
      </c>
      <c r="AE108" t="s">
        <v>2407</v>
      </c>
      <c r="AF108" t="s">
        <v>74</v>
      </c>
      <c r="AG108">
        <v>67</v>
      </c>
      <c r="AH108">
        <v>10</v>
      </c>
      <c r="AI108">
        <v>11</v>
      </c>
      <c r="AJ108">
        <v>0</v>
      </c>
      <c r="AK108">
        <v>23</v>
      </c>
      <c r="AL108" t="s">
        <v>2408</v>
      </c>
      <c r="AM108" t="s">
        <v>2409</v>
      </c>
      <c r="AN108" t="s">
        <v>2410</v>
      </c>
      <c r="AO108" t="s">
        <v>2411</v>
      </c>
      <c r="AP108" t="s">
        <v>2412</v>
      </c>
      <c r="AQ108" t="s">
        <v>74</v>
      </c>
      <c r="AR108" t="s">
        <v>2413</v>
      </c>
      <c r="AS108" t="s">
        <v>2414</v>
      </c>
      <c r="AT108" t="s">
        <v>2415</v>
      </c>
      <c r="AU108">
        <v>2016</v>
      </c>
      <c r="AV108">
        <v>311</v>
      </c>
      <c r="AW108">
        <v>4</v>
      </c>
      <c r="AX108" t="s">
        <v>74</v>
      </c>
      <c r="AY108" t="s">
        <v>74</v>
      </c>
      <c r="AZ108" t="s">
        <v>74</v>
      </c>
      <c r="BA108" t="s">
        <v>74</v>
      </c>
      <c r="BB108" t="s">
        <v>2416</v>
      </c>
      <c r="BC108" t="s">
        <v>2417</v>
      </c>
      <c r="BD108" t="s">
        <v>74</v>
      </c>
      <c r="BE108" t="s">
        <v>2418</v>
      </c>
      <c r="BF108" t="str">
        <f>HYPERLINK("http://dx.doi.org/10.1152/ajpregu.00188.2016","http://dx.doi.org/10.1152/ajpregu.00188.2016")</f>
        <v>http://dx.doi.org/10.1152/ajpregu.00188.2016</v>
      </c>
      <c r="BG108" t="s">
        <v>74</v>
      </c>
      <c r="BH108" t="s">
        <v>74</v>
      </c>
      <c r="BI108">
        <v>9</v>
      </c>
      <c r="BJ108" t="s">
        <v>2419</v>
      </c>
      <c r="BK108" t="s">
        <v>156</v>
      </c>
      <c r="BL108" t="s">
        <v>2419</v>
      </c>
      <c r="BM108" t="s">
        <v>2420</v>
      </c>
      <c r="BN108">
        <v>27465736</v>
      </c>
      <c r="BO108" t="s">
        <v>258</v>
      </c>
      <c r="BP108" t="s">
        <v>74</v>
      </c>
      <c r="BQ108" t="s">
        <v>74</v>
      </c>
      <c r="BR108" t="s">
        <v>105</v>
      </c>
      <c r="BS108" t="s">
        <v>2421</v>
      </c>
      <c r="BT108" t="str">
        <f>HYPERLINK("https%3A%2F%2Fwww.webofscience.com%2Fwos%2Fwoscc%2Ffull-record%2FWOS:000388456500004","View Full Record in Web of Science")</f>
        <v>View Full Record in Web of Science</v>
      </c>
    </row>
    <row r="109" spans="1:72" x14ac:dyDescent="0.15">
      <c r="A109" t="s">
        <v>72</v>
      </c>
      <c r="B109" t="s">
        <v>2422</v>
      </c>
      <c r="C109" t="s">
        <v>74</v>
      </c>
      <c r="D109" t="s">
        <v>74</v>
      </c>
      <c r="E109" t="s">
        <v>74</v>
      </c>
      <c r="F109" t="s">
        <v>2423</v>
      </c>
      <c r="G109" t="s">
        <v>74</v>
      </c>
      <c r="H109" t="s">
        <v>74</v>
      </c>
      <c r="I109" t="s">
        <v>2424</v>
      </c>
      <c r="J109" t="s">
        <v>2425</v>
      </c>
      <c r="K109" t="s">
        <v>74</v>
      </c>
      <c r="L109" t="s">
        <v>74</v>
      </c>
      <c r="M109" t="s">
        <v>78</v>
      </c>
      <c r="N109" t="s">
        <v>79</v>
      </c>
      <c r="O109" t="s">
        <v>74</v>
      </c>
      <c r="P109" t="s">
        <v>74</v>
      </c>
      <c r="Q109" t="s">
        <v>74</v>
      </c>
      <c r="R109" t="s">
        <v>74</v>
      </c>
      <c r="S109" t="s">
        <v>74</v>
      </c>
      <c r="T109" t="s">
        <v>2426</v>
      </c>
      <c r="U109" t="s">
        <v>2427</v>
      </c>
      <c r="V109" t="s">
        <v>2428</v>
      </c>
      <c r="W109" t="s">
        <v>2429</v>
      </c>
      <c r="X109" t="s">
        <v>2430</v>
      </c>
      <c r="Y109" t="s">
        <v>2431</v>
      </c>
      <c r="Z109" t="s">
        <v>2432</v>
      </c>
      <c r="AA109" t="s">
        <v>2433</v>
      </c>
      <c r="AB109" t="s">
        <v>2434</v>
      </c>
      <c r="AC109" t="s">
        <v>2435</v>
      </c>
      <c r="AD109" t="s">
        <v>2436</v>
      </c>
      <c r="AE109" t="s">
        <v>74</v>
      </c>
      <c r="AF109" t="s">
        <v>74</v>
      </c>
      <c r="AG109">
        <v>65</v>
      </c>
      <c r="AH109">
        <v>5</v>
      </c>
      <c r="AI109">
        <v>5</v>
      </c>
      <c r="AJ109">
        <v>2</v>
      </c>
      <c r="AK109">
        <v>7</v>
      </c>
      <c r="AL109" t="s">
        <v>149</v>
      </c>
      <c r="AM109" t="s">
        <v>123</v>
      </c>
      <c r="AN109" t="s">
        <v>150</v>
      </c>
      <c r="AO109" t="s">
        <v>2437</v>
      </c>
      <c r="AP109" t="s">
        <v>74</v>
      </c>
      <c r="AQ109" t="s">
        <v>74</v>
      </c>
      <c r="AR109" t="s">
        <v>2438</v>
      </c>
      <c r="AS109" t="s">
        <v>2439</v>
      </c>
      <c r="AT109" t="s">
        <v>2218</v>
      </c>
      <c r="AU109">
        <v>2016</v>
      </c>
      <c r="AV109">
        <v>3</v>
      </c>
      <c r="AW109">
        <v>10</v>
      </c>
      <c r="AX109" t="s">
        <v>74</v>
      </c>
      <c r="AY109" t="s">
        <v>74</v>
      </c>
      <c r="AZ109" t="s">
        <v>74</v>
      </c>
      <c r="BA109" t="s">
        <v>74</v>
      </c>
      <c r="BB109">
        <v>431</v>
      </c>
      <c r="BC109">
        <v>440</v>
      </c>
      <c r="BD109" t="s">
        <v>74</v>
      </c>
      <c r="BE109" t="s">
        <v>2440</v>
      </c>
      <c r="BF109" t="str">
        <f>HYPERLINK("http://dx.doi.org/10.1002/2016EA000199","http://dx.doi.org/10.1002/2016EA000199")</f>
        <v>http://dx.doi.org/10.1002/2016EA000199</v>
      </c>
      <c r="BG109" t="s">
        <v>74</v>
      </c>
      <c r="BH109" t="s">
        <v>74</v>
      </c>
      <c r="BI109">
        <v>10</v>
      </c>
      <c r="BJ109" t="s">
        <v>2441</v>
      </c>
      <c r="BK109" t="s">
        <v>156</v>
      </c>
      <c r="BL109" t="s">
        <v>2442</v>
      </c>
      <c r="BM109" t="s">
        <v>2443</v>
      </c>
      <c r="BN109" t="s">
        <v>74</v>
      </c>
      <c r="BO109" t="s">
        <v>2444</v>
      </c>
      <c r="BP109" t="s">
        <v>74</v>
      </c>
      <c r="BQ109" t="s">
        <v>74</v>
      </c>
      <c r="BR109" t="s">
        <v>105</v>
      </c>
      <c r="BS109" t="s">
        <v>2445</v>
      </c>
      <c r="BT109" t="str">
        <f>HYPERLINK("https%3A%2F%2Fwww.webofscience.com%2Fwos%2Fwoscc%2Ffull-record%2FWOS:000387793900003","View Full Record in Web of Science")</f>
        <v>View Full Record in Web of Science</v>
      </c>
    </row>
    <row r="110" spans="1:72" x14ac:dyDescent="0.15">
      <c r="A110" t="s">
        <v>72</v>
      </c>
      <c r="B110" t="s">
        <v>2446</v>
      </c>
      <c r="C110" t="s">
        <v>74</v>
      </c>
      <c r="D110" t="s">
        <v>74</v>
      </c>
      <c r="E110" t="s">
        <v>74</v>
      </c>
      <c r="F110" t="s">
        <v>2447</v>
      </c>
      <c r="G110" t="s">
        <v>74</v>
      </c>
      <c r="H110" t="s">
        <v>74</v>
      </c>
      <c r="I110" t="s">
        <v>2448</v>
      </c>
      <c r="J110" t="s">
        <v>211</v>
      </c>
      <c r="K110" t="s">
        <v>74</v>
      </c>
      <c r="L110" t="s">
        <v>74</v>
      </c>
      <c r="M110" t="s">
        <v>78</v>
      </c>
      <c r="N110" t="s">
        <v>79</v>
      </c>
      <c r="O110" t="s">
        <v>74</v>
      </c>
      <c r="P110" t="s">
        <v>74</v>
      </c>
      <c r="Q110" t="s">
        <v>74</v>
      </c>
      <c r="R110" t="s">
        <v>74</v>
      </c>
      <c r="S110" t="s">
        <v>74</v>
      </c>
      <c r="T110" t="s">
        <v>74</v>
      </c>
      <c r="U110" t="s">
        <v>2449</v>
      </c>
      <c r="V110" t="s">
        <v>2450</v>
      </c>
      <c r="W110" t="s">
        <v>2451</v>
      </c>
      <c r="X110" t="s">
        <v>2452</v>
      </c>
      <c r="Y110" t="s">
        <v>2453</v>
      </c>
      <c r="Z110" t="s">
        <v>2454</v>
      </c>
      <c r="AA110" t="s">
        <v>2455</v>
      </c>
      <c r="AB110" t="s">
        <v>2456</v>
      </c>
      <c r="AC110" t="s">
        <v>2457</v>
      </c>
      <c r="AD110" t="s">
        <v>2458</v>
      </c>
      <c r="AE110" t="s">
        <v>2459</v>
      </c>
      <c r="AF110" t="s">
        <v>74</v>
      </c>
      <c r="AG110">
        <v>113</v>
      </c>
      <c r="AH110">
        <v>37</v>
      </c>
      <c r="AI110">
        <v>43</v>
      </c>
      <c r="AJ110">
        <v>4</v>
      </c>
      <c r="AK110">
        <v>81</v>
      </c>
      <c r="AL110" t="s">
        <v>149</v>
      </c>
      <c r="AM110" t="s">
        <v>123</v>
      </c>
      <c r="AN110" t="s">
        <v>150</v>
      </c>
      <c r="AO110" t="s">
        <v>224</v>
      </c>
      <c r="AP110" t="s">
        <v>225</v>
      </c>
      <c r="AQ110" t="s">
        <v>74</v>
      </c>
      <c r="AR110" t="s">
        <v>226</v>
      </c>
      <c r="AS110" t="s">
        <v>227</v>
      </c>
      <c r="AT110" t="s">
        <v>2218</v>
      </c>
      <c r="AU110">
        <v>2016</v>
      </c>
      <c r="AV110">
        <v>30</v>
      </c>
      <c r="AW110">
        <v>10</v>
      </c>
      <c r="AX110" t="s">
        <v>74</v>
      </c>
      <c r="AY110" t="s">
        <v>74</v>
      </c>
      <c r="AZ110" t="s">
        <v>74</v>
      </c>
      <c r="BA110" t="s">
        <v>74</v>
      </c>
      <c r="BB110">
        <v>1372</v>
      </c>
      <c r="BC110">
        <v>1395</v>
      </c>
      <c r="BD110" t="s">
        <v>74</v>
      </c>
      <c r="BE110" t="s">
        <v>2460</v>
      </c>
      <c r="BF110" t="str">
        <f>HYPERLINK("http://dx.doi.org/10.1002/2015GB005357","http://dx.doi.org/10.1002/2015GB005357")</f>
        <v>http://dx.doi.org/10.1002/2015GB005357</v>
      </c>
      <c r="BG110" t="s">
        <v>74</v>
      </c>
      <c r="BH110" t="s">
        <v>74</v>
      </c>
      <c r="BI110">
        <v>24</v>
      </c>
      <c r="BJ110" t="s">
        <v>229</v>
      </c>
      <c r="BK110" t="s">
        <v>156</v>
      </c>
      <c r="BL110" t="s">
        <v>230</v>
      </c>
      <c r="BM110" t="s">
        <v>2461</v>
      </c>
      <c r="BN110" t="s">
        <v>74</v>
      </c>
      <c r="BO110" t="s">
        <v>2462</v>
      </c>
      <c r="BP110" t="s">
        <v>74</v>
      </c>
      <c r="BQ110" t="s">
        <v>74</v>
      </c>
      <c r="BR110" t="s">
        <v>105</v>
      </c>
      <c r="BS110" t="s">
        <v>2463</v>
      </c>
      <c r="BT110" t="str">
        <f>HYPERLINK("https%3A%2F%2Fwww.webofscience.com%2Fwos%2Fwoscc%2Ffull-record%2FWOS:000388458000001","View Full Record in Web of Science")</f>
        <v>View Full Record in Web of Science</v>
      </c>
    </row>
    <row r="111" spans="1:72" x14ac:dyDescent="0.15">
      <c r="A111" t="s">
        <v>72</v>
      </c>
      <c r="B111" t="s">
        <v>2464</v>
      </c>
      <c r="C111" t="s">
        <v>74</v>
      </c>
      <c r="D111" t="s">
        <v>74</v>
      </c>
      <c r="E111" t="s">
        <v>74</v>
      </c>
      <c r="F111" t="s">
        <v>2465</v>
      </c>
      <c r="G111" t="s">
        <v>74</v>
      </c>
      <c r="H111" t="s">
        <v>74</v>
      </c>
      <c r="I111" t="s">
        <v>2466</v>
      </c>
      <c r="J111" t="s">
        <v>2467</v>
      </c>
      <c r="K111" t="s">
        <v>74</v>
      </c>
      <c r="L111" t="s">
        <v>74</v>
      </c>
      <c r="M111" t="s">
        <v>78</v>
      </c>
      <c r="N111" t="s">
        <v>79</v>
      </c>
      <c r="O111" t="s">
        <v>74</v>
      </c>
      <c r="P111" t="s">
        <v>74</v>
      </c>
      <c r="Q111" t="s">
        <v>74</v>
      </c>
      <c r="R111" t="s">
        <v>74</v>
      </c>
      <c r="S111" t="s">
        <v>74</v>
      </c>
      <c r="T111" t="s">
        <v>2468</v>
      </c>
      <c r="U111" t="s">
        <v>74</v>
      </c>
      <c r="V111" t="s">
        <v>2469</v>
      </c>
      <c r="W111" t="s">
        <v>2470</v>
      </c>
      <c r="X111" t="s">
        <v>2471</v>
      </c>
      <c r="Y111" t="s">
        <v>2472</v>
      </c>
      <c r="Z111" t="s">
        <v>2473</v>
      </c>
      <c r="AA111" t="s">
        <v>2474</v>
      </c>
      <c r="AB111" t="s">
        <v>74</v>
      </c>
      <c r="AC111" t="s">
        <v>74</v>
      </c>
      <c r="AD111" t="s">
        <v>74</v>
      </c>
      <c r="AE111" t="s">
        <v>74</v>
      </c>
      <c r="AF111" t="s">
        <v>74</v>
      </c>
      <c r="AG111">
        <v>9</v>
      </c>
      <c r="AH111">
        <v>0</v>
      </c>
      <c r="AI111">
        <v>0</v>
      </c>
      <c r="AJ111">
        <v>2</v>
      </c>
      <c r="AK111">
        <v>2</v>
      </c>
      <c r="AL111" t="s">
        <v>2475</v>
      </c>
      <c r="AM111" t="s">
        <v>594</v>
      </c>
      <c r="AN111" t="s">
        <v>2476</v>
      </c>
      <c r="AO111" t="s">
        <v>2477</v>
      </c>
      <c r="AP111" t="s">
        <v>2478</v>
      </c>
      <c r="AQ111" t="s">
        <v>74</v>
      </c>
      <c r="AR111" t="s">
        <v>2479</v>
      </c>
      <c r="AS111" t="s">
        <v>2480</v>
      </c>
      <c r="AT111" t="s">
        <v>2218</v>
      </c>
      <c r="AU111">
        <v>2016</v>
      </c>
      <c r="AV111">
        <v>41</v>
      </c>
      <c r="AW111">
        <v>10</v>
      </c>
      <c r="AX111" t="s">
        <v>74</v>
      </c>
      <c r="AY111" t="s">
        <v>74</v>
      </c>
      <c r="AZ111" t="s">
        <v>74</v>
      </c>
      <c r="BA111" t="s">
        <v>74</v>
      </c>
      <c r="BB111">
        <v>714</v>
      </c>
      <c r="BC111">
        <v>721</v>
      </c>
      <c r="BD111" t="s">
        <v>74</v>
      </c>
      <c r="BE111" t="s">
        <v>2481</v>
      </c>
      <c r="BF111" t="str">
        <f>HYPERLINK("http://dx.doi.org/10.3103/S1068373916100071","http://dx.doi.org/10.3103/S1068373916100071")</f>
        <v>http://dx.doi.org/10.3103/S1068373916100071</v>
      </c>
      <c r="BG111" t="s">
        <v>74</v>
      </c>
      <c r="BH111" t="s">
        <v>74</v>
      </c>
      <c r="BI111">
        <v>8</v>
      </c>
      <c r="BJ111" t="s">
        <v>2482</v>
      </c>
      <c r="BK111" t="s">
        <v>156</v>
      </c>
      <c r="BL111" t="s">
        <v>2482</v>
      </c>
      <c r="BM111" t="s">
        <v>2483</v>
      </c>
      <c r="BN111" t="s">
        <v>74</v>
      </c>
      <c r="BO111" t="s">
        <v>74</v>
      </c>
      <c r="BP111" t="s">
        <v>74</v>
      </c>
      <c r="BQ111" t="s">
        <v>74</v>
      </c>
      <c r="BR111" t="s">
        <v>105</v>
      </c>
      <c r="BS111" t="s">
        <v>2484</v>
      </c>
      <c r="BT111" t="str">
        <f>HYPERLINK("https%3A%2F%2Fwww.webofscience.com%2Fwos%2Fwoscc%2Ffull-record%2FWOS:000388141300007","View Full Record in Web of Science")</f>
        <v>View Full Record in Web of Science</v>
      </c>
    </row>
    <row r="112" spans="1:72" x14ac:dyDescent="0.15">
      <c r="A112" t="s">
        <v>72</v>
      </c>
      <c r="B112" t="s">
        <v>2485</v>
      </c>
      <c r="C112" t="s">
        <v>74</v>
      </c>
      <c r="D112" t="s">
        <v>74</v>
      </c>
      <c r="E112" t="s">
        <v>74</v>
      </c>
      <c r="F112" t="s">
        <v>2486</v>
      </c>
      <c r="G112" t="s">
        <v>74</v>
      </c>
      <c r="H112" t="s">
        <v>74</v>
      </c>
      <c r="I112" t="s">
        <v>2487</v>
      </c>
      <c r="J112" t="s">
        <v>2488</v>
      </c>
      <c r="K112" t="s">
        <v>74</v>
      </c>
      <c r="L112" t="s">
        <v>74</v>
      </c>
      <c r="M112" t="s">
        <v>78</v>
      </c>
      <c r="N112" t="s">
        <v>79</v>
      </c>
      <c r="O112" t="s">
        <v>74</v>
      </c>
      <c r="P112" t="s">
        <v>74</v>
      </c>
      <c r="Q112" t="s">
        <v>74</v>
      </c>
      <c r="R112" t="s">
        <v>74</v>
      </c>
      <c r="S112" t="s">
        <v>74</v>
      </c>
      <c r="T112" t="s">
        <v>2489</v>
      </c>
      <c r="U112" t="s">
        <v>2490</v>
      </c>
      <c r="V112" t="s">
        <v>2491</v>
      </c>
      <c r="W112" t="s">
        <v>2492</v>
      </c>
      <c r="X112" t="s">
        <v>2493</v>
      </c>
      <c r="Y112" t="s">
        <v>2494</v>
      </c>
      <c r="Z112" t="s">
        <v>2495</v>
      </c>
      <c r="AA112" t="s">
        <v>2496</v>
      </c>
      <c r="AB112" t="s">
        <v>2497</v>
      </c>
      <c r="AC112" t="s">
        <v>2498</v>
      </c>
      <c r="AD112" t="s">
        <v>2499</v>
      </c>
      <c r="AE112" t="s">
        <v>2500</v>
      </c>
      <c r="AF112" t="s">
        <v>74</v>
      </c>
      <c r="AG112">
        <v>72</v>
      </c>
      <c r="AH112">
        <v>20</v>
      </c>
      <c r="AI112">
        <v>21</v>
      </c>
      <c r="AJ112">
        <v>1</v>
      </c>
      <c r="AK112">
        <v>24</v>
      </c>
      <c r="AL112" t="s">
        <v>2501</v>
      </c>
      <c r="AM112" t="s">
        <v>304</v>
      </c>
      <c r="AN112" t="s">
        <v>2502</v>
      </c>
      <c r="AO112" t="s">
        <v>2503</v>
      </c>
      <c r="AP112" t="s">
        <v>74</v>
      </c>
      <c r="AQ112" t="s">
        <v>74</v>
      </c>
      <c r="AR112" t="s">
        <v>2504</v>
      </c>
      <c r="AS112" t="s">
        <v>2505</v>
      </c>
      <c r="AT112" t="s">
        <v>2218</v>
      </c>
      <c r="AU112">
        <v>2016</v>
      </c>
      <c r="AV112">
        <v>8</v>
      </c>
      <c r="AW112">
        <v>10</v>
      </c>
      <c r="AX112" t="s">
        <v>74</v>
      </c>
      <c r="AY112" t="s">
        <v>74</v>
      </c>
      <c r="AZ112" t="s">
        <v>74</v>
      </c>
      <c r="BA112" t="s">
        <v>74</v>
      </c>
      <c r="BB112">
        <v>3171</v>
      </c>
      <c r="BC112">
        <v>3186</v>
      </c>
      <c r="BD112" t="s">
        <v>74</v>
      </c>
      <c r="BE112" t="s">
        <v>2506</v>
      </c>
      <c r="BF112" t="str">
        <f>HYPERLINK("http://dx.doi.org/10.1093/gbe/evw215","http://dx.doi.org/10.1093/gbe/evw215")</f>
        <v>http://dx.doi.org/10.1093/gbe/evw215</v>
      </c>
      <c r="BG112" t="s">
        <v>74</v>
      </c>
      <c r="BH112" t="s">
        <v>74</v>
      </c>
      <c r="BI112">
        <v>16</v>
      </c>
      <c r="BJ112" t="s">
        <v>379</v>
      </c>
      <c r="BK112" t="s">
        <v>156</v>
      </c>
      <c r="BL112" t="s">
        <v>379</v>
      </c>
      <c r="BM112" t="s">
        <v>2507</v>
      </c>
      <c r="BN112">
        <v>27624472</v>
      </c>
      <c r="BO112" t="s">
        <v>1083</v>
      </c>
      <c r="BP112" t="s">
        <v>74</v>
      </c>
      <c r="BQ112" t="s">
        <v>74</v>
      </c>
      <c r="BR112" t="s">
        <v>105</v>
      </c>
      <c r="BS112" t="s">
        <v>2508</v>
      </c>
      <c r="BT112" t="str">
        <f>HYPERLINK("https%3A%2F%2Fwww.webofscience.com%2Fwos%2Fwoscc%2Ffull-record%2FWOS:000387991000001","View Full Record in Web of Science")</f>
        <v>View Full Record in Web of Science</v>
      </c>
    </row>
    <row r="113" spans="1:72" x14ac:dyDescent="0.15">
      <c r="A113" t="s">
        <v>72</v>
      </c>
      <c r="B113" t="s">
        <v>2509</v>
      </c>
      <c r="C113" t="s">
        <v>74</v>
      </c>
      <c r="D113" t="s">
        <v>74</v>
      </c>
      <c r="E113" t="s">
        <v>74</v>
      </c>
      <c r="F113" t="s">
        <v>2510</v>
      </c>
      <c r="G113" t="s">
        <v>74</v>
      </c>
      <c r="H113" t="s">
        <v>74</v>
      </c>
      <c r="I113" t="s">
        <v>2511</v>
      </c>
      <c r="J113" t="s">
        <v>2512</v>
      </c>
      <c r="K113" t="s">
        <v>74</v>
      </c>
      <c r="L113" t="s">
        <v>74</v>
      </c>
      <c r="M113" t="s">
        <v>78</v>
      </c>
      <c r="N113" t="s">
        <v>79</v>
      </c>
      <c r="O113" t="s">
        <v>74</v>
      </c>
      <c r="P113" t="s">
        <v>74</v>
      </c>
      <c r="Q113" t="s">
        <v>74</v>
      </c>
      <c r="R113" t="s">
        <v>74</v>
      </c>
      <c r="S113" t="s">
        <v>74</v>
      </c>
      <c r="T113" t="s">
        <v>2513</v>
      </c>
      <c r="U113" t="s">
        <v>2514</v>
      </c>
      <c r="V113" t="s">
        <v>2515</v>
      </c>
      <c r="W113" t="s">
        <v>2516</v>
      </c>
      <c r="X113" t="s">
        <v>2517</v>
      </c>
      <c r="Y113" t="s">
        <v>2518</v>
      </c>
      <c r="Z113" t="s">
        <v>2519</v>
      </c>
      <c r="AA113" t="s">
        <v>2520</v>
      </c>
      <c r="AB113" t="s">
        <v>2521</v>
      </c>
      <c r="AC113" t="s">
        <v>2522</v>
      </c>
      <c r="AD113" t="s">
        <v>2523</v>
      </c>
      <c r="AE113" t="s">
        <v>2524</v>
      </c>
      <c r="AF113" t="s">
        <v>74</v>
      </c>
      <c r="AG113">
        <v>74</v>
      </c>
      <c r="AH113">
        <v>24</v>
      </c>
      <c r="AI113">
        <v>29</v>
      </c>
      <c r="AJ113">
        <v>1</v>
      </c>
      <c r="AK113">
        <v>25</v>
      </c>
      <c r="AL113" t="s">
        <v>149</v>
      </c>
      <c r="AM113" t="s">
        <v>123</v>
      </c>
      <c r="AN113" t="s">
        <v>150</v>
      </c>
      <c r="AO113" t="s">
        <v>2525</v>
      </c>
      <c r="AP113" t="s">
        <v>2526</v>
      </c>
      <c r="AQ113" t="s">
        <v>74</v>
      </c>
      <c r="AR113" t="s">
        <v>2527</v>
      </c>
      <c r="AS113" t="s">
        <v>2528</v>
      </c>
      <c r="AT113" t="s">
        <v>2218</v>
      </c>
      <c r="AU113">
        <v>2016</v>
      </c>
      <c r="AV113">
        <v>121</v>
      </c>
      <c r="AW113">
        <v>19</v>
      </c>
      <c r="AX113" t="s">
        <v>74</v>
      </c>
      <c r="AY113" t="s">
        <v>74</v>
      </c>
      <c r="AZ113" t="s">
        <v>74</v>
      </c>
      <c r="BA113" t="s">
        <v>74</v>
      </c>
      <c r="BB113">
        <v>11215</v>
      </c>
      <c r="BC113">
        <v>11247</v>
      </c>
      <c r="BD113" t="s">
        <v>74</v>
      </c>
      <c r="BE113" t="s">
        <v>2529</v>
      </c>
      <c r="BF113" t="str">
        <f>HYPERLINK("http://dx.doi.org/10.1002/2016JD025117","http://dx.doi.org/10.1002/2016JD025117")</f>
        <v>http://dx.doi.org/10.1002/2016JD025117</v>
      </c>
      <c r="BG113" t="s">
        <v>74</v>
      </c>
      <c r="BH113" t="s">
        <v>74</v>
      </c>
      <c r="BI113">
        <v>33</v>
      </c>
      <c r="BJ113" t="s">
        <v>2482</v>
      </c>
      <c r="BK113" t="s">
        <v>156</v>
      </c>
      <c r="BL113" t="s">
        <v>2482</v>
      </c>
      <c r="BM113" t="s">
        <v>2530</v>
      </c>
      <c r="BN113" t="s">
        <v>74</v>
      </c>
      <c r="BO113" t="s">
        <v>74</v>
      </c>
      <c r="BP113" t="s">
        <v>74</v>
      </c>
      <c r="BQ113" t="s">
        <v>74</v>
      </c>
      <c r="BR113" t="s">
        <v>105</v>
      </c>
      <c r="BS113" t="s">
        <v>2531</v>
      </c>
      <c r="BT113" t="str">
        <f>HYPERLINK("https%3A%2F%2Fwww.webofscience.com%2Fwos%2Fwoscc%2Ffull-record%2FWOS:000386976100009","View Full Record in Web of Science")</f>
        <v>View Full Record in Web of Science</v>
      </c>
    </row>
    <row r="114" spans="1:72" x14ac:dyDescent="0.15">
      <c r="A114" t="s">
        <v>72</v>
      </c>
      <c r="B114" t="s">
        <v>2532</v>
      </c>
      <c r="C114" t="s">
        <v>74</v>
      </c>
      <c r="D114" t="s">
        <v>74</v>
      </c>
      <c r="E114" t="s">
        <v>74</v>
      </c>
      <c r="F114" t="s">
        <v>2533</v>
      </c>
      <c r="G114" t="s">
        <v>74</v>
      </c>
      <c r="H114" t="s">
        <v>74</v>
      </c>
      <c r="I114" t="s">
        <v>2534</v>
      </c>
      <c r="J114" t="s">
        <v>2535</v>
      </c>
      <c r="K114" t="s">
        <v>74</v>
      </c>
      <c r="L114" t="s">
        <v>74</v>
      </c>
      <c r="M114" t="s">
        <v>78</v>
      </c>
      <c r="N114" t="s">
        <v>52</v>
      </c>
      <c r="O114" t="s">
        <v>2536</v>
      </c>
      <c r="P114" t="s">
        <v>2537</v>
      </c>
      <c r="Q114" t="s">
        <v>2538</v>
      </c>
      <c r="R114" t="s">
        <v>74</v>
      </c>
      <c r="S114" t="s">
        <v>74</v>
      </c>
      <c r="T114" t="s">
        <v>74</v>
      </c>
      <c r="U114" t="s">
        <v>74</v>
      </c>
      <c r="V114" t="s">
        <v>74</v>
      </c>
      <c r="W114" t="s">
        <v>2539</v>
      </c>
      <c r="X114" t="s">
        <v>2540</v>
      </c>
      <c r="Y114" t="s">
        <v>74</v>
      </c>
      <c r="Z114" t="s">
        <v>74</v>
      </c>
      <c r="AA114" t="s">
        <v>74</v>
      </c>
      <c r="AB114" t="s">
        <v>74</v>
      </c>
      <c r="AC114" t="s">
        <v>74</v>
      </c>
      <c r="AD114" t="s">
        <v>74</v>
      </c>
      <c r="AE114" t="s">
        <v>74</v>
      </c>
      <c r="AF114" t="s">
        <v>74</v>
      </c>
      <c r="AG114">
        <v>0</v>
      </c>
      <c r="AH114">
        <v>0</v>
      </c>
      <c r="AI114">
        <v>0</v>
      </c>
      <c r="AJ114">
        <v>0</v>
      </c>
      <c r="AK114">
        <v>0</v>
      </c>
      <c r="AL114" t="s">
        <v>2541</v>
      </c>
      <c r="AM114" t="s">
        <v>502</v>
      </c>
      <c r="AN114" t="s">
        <v>503</v>
      </c>
      <c r="AO114" t="s">
        <v>2542</v>
      </c>
      <c r="AP114" t="s">
        <v>2543</v>
      </c>
      <c r="AQ114" t="s">
        <v>74</v>
      </c>
      <c r="AR114" t="s">
        <v>2544</v>
      </c>
      <c r="AS114" t="s">
        <v>2545</v>
      </c>
      <c r="AT114" t="s">
        <v>2218</v>
      </c>
      <c r="AU114">
        <v>2016</v>
      </c>
      <c r="AV114">
        <v>25</v>
      </c>
      <c r="AW114" t="s">
        <v>74</v>
      </c>
      <c r="AX114" t="s">
        <v>74</v>
      </c>
      <c r="AY114" t="s">
        <v>2546</v>
      </c>
      <c r="AZ114" t="s">
        <v>74</v>
      </c>
      <c r="BA114" t="s">
        <v>74</v>
      </c>
      <c r="BB114">
        <v>93</v>
      </c>
      <c r="BC114">
        <v>93</v>
      </c>
      <c r="BD114" t="s">
        <v>74</v>
      </c>
      <c r="BE114" t="s">
        <v>74</v>
      </c>
      <c r="BF114" t="s">
        <v>74</v>
      </c>
      <c r="BG114" t="s">
        <v>74</v>
      </c>
      <c r="BH114" t="s">
        <v>74</v>
      </c>
      <c r="BI114">
        <v>1</v>
      </c>
      <c r="BJ114" t="s">
        <v>2547</v>
      </c>
      <c r="BK114" t="s">
        <v>2548</v>
      </c>
      <c r="BL114" t="s">
        <v>2547</v>
      </c>
      <c r="BM114" t="s">
        <v>2549</v>
      </c>
      <c r="BN114" t="s">
        <v>74</v>
      </c>
      <c r="BO114" t="s">
        <v>74</v>
      </c>
      <c r="BP114" t="s">
        <v>74</v>
      </c>
      <c r="BQ114" t="s">
        <v>74</v>
      </c>
      <c r="BR114" t="s">
        <v>105</v>
      </c>
      <c r="BS114" t="s">
        <v>2550</v>
      </c>
      <c r="BT114" t="str">
        <f>HYPERLINK("https%3A%2F%2Fwww.webofscience.com%2Fwos%2Fwoscc%2Ffull-record%2FWOS:000387152400152","View Full Record in Web of Science")</f>
        <v>View Full Record in Web of Science</v>
      </c>
    </row>
    <row r="115" spans="1:72" x14ac:dyDescent="0.15">
      <c r="A115" t="s">
        <v>72</v>
      </c>
      <c r="B115" t="s">
        <v>2551</v>
      </c>
      <c r="C115" t="s">
        <v>74</v>
      </c>
      <c r="D115" t="s">
        <v>74</v>
      </c>
      <c r="E115" t="s">
        <v>74</v>
      </c>
      <c r="F115" t="s">
        <v>2552</v>
      </c>
      <c r="G115" t="s">
        <v>74</v>
      </c>
      <c r="H115" t="s">
        <v>74</v>
      </c>
      <c r="I115" t="s">
        <v>2553</v>
      </c>
      <c r="J115" t="s">
        <v>2554</v>
      </c>
      <c r="K115" t="s">
        <v>74</v>
      </c>
      <c r="L115" t="s">
        <v>74</v>
      </c>
      <c r="M115" t="s">
        <v>78</v>
      </c>
      <c r="N115" t="s">
        <v>79</v>
      </c>
      <c r="O115" t="s">
        <v>74</v>
      </c>
      <c r="P115" t="s">
        <v>74</v>
      </c>
      <c r="Q115" t="s">
        <v>74</v>
      </c>
      <c r="R115" t="s">
        <v>74</v>
      </c>
      <c r="S115" t="s">
        <v>74</v>
      </c>
      <c r="T115" t="s">
        <v>2555</v>
      </c>
      <c r="U115" t="s">
        <v>2556</v>
      </c>
      <c r="V115" t="s">
        <v>2557</v>
      </c>
      <c r="W115" t="s">
        <v>2558</v>
      </c>
      <c r="X115" t="s">
        <v>2559</v>
      </c>
      <c r="Y115" t="s">
        <v>2560</v>
      </c>
      <c r="Z115" t="s">
        <v>2561</v>
      </c>
      <c r="AA115" t="s">
        <v>2562</v>
      </c>
      <c r="AB115" t="s">
        <v>2563</v>
      </c>
      <c r="AC115" t="s">
        <v>2564</v>
      </c>
      <c r="AD115" t="s">
        <v>2564</v>
      </c>
      <c r="AE115" t="s">
        <v>2565</v>
      </c>
      <c r="AF115" t="s">
        <v>74</v>
      </c>
      <c r="AG115">
        <v>61</v>
      </c>
      <c r="AH115">
        <v>34</v>
      </c>
      <c r="AI115">
        <v>34</v>
      </c>
      <c r="AJ115">
        <v>0</v>
      </c>
      <c r="AK115">
        <v>40</v>
      </c>
      <c r="AL115" t="s">
        <v>2566</v>
      </c>
      <c r="AM115" t="s">
        <v>2567</v>
      </c>
      <c r="AN115" t="s">
        <v>2568</v>
      </c>
      <c r="AO115" t="s">
        <v>2569</v>
      </c>
      <c r="AP115" t="s">
        <v>74</v>
      </c>
      <c r="AQ115" t="s">
        <v>74</v>
      </c>
      <c r="AR115" t="s">
        <v>2570</v>
      </c>
      <c r="AS115" t="s">
        <v>2571</v>
      </c>
      <c r="AT115" t="s">
        <v>2218</v>
      </c>
      <c r="AU115">
        <v>2016</v>
      </c>
      <c r="AV115">
        <v>8</v>
      </c>
      <c r="AW115">
        <v>10</v>
      </c>
      <c r="AX115" t="s">
        <v>74</v>
      </c>
      <c r="AY115" t="s">
        <v>74</v>
      </c>
      <c r="AZ115" t="s">
        <v>74</v>
      </c>
      <c r="BA115" t="s">
        <v>74</v>
      </c>
      <c r="BB115" t="s">
        <v>74</v>
      </c>
      <c r="BC115" t="s">
        <v>74</v>
      </c>
      <c r="BD115">
        <v>856</v>
      </c>
      <c r="BE115" t="s">
        <v>2572</v>
      </c>
      <c r="BF115" t="str">
        <f>HYPERLINK("http://dx.doi.org/10.3390/rs8100856","http://dx.doi.org/10.3390/rs8100856")</f>
        <v>http://dx.doi.org/10.3390/rs8100856</v>
      </c>
      <c r="BG115" t="s">
        <v>74</v>
      </c>
      <c r="BH115" t="s">
        <v>74</v>
      </c>
      <c r="BI115">
        <v>15</v>
      </c>
      <c r="BJ115" t="s">
        <v>2573</v>
      </c>
      <c r="BK115" t="s">
        <v>156</v>
      </c>
      <c r="BL115" t="s">
        <v>2574</v>
      </c>
      <c r="BM115" t="s">
        <v>2575</v>
      </c>
      <c r="BN115" t="s">
        <v>74</v>
      </c>
      <c r="BO115" t="s">
        <v>1339</v>
      </c>
      <c r="BP115" t="s">
        <v>74</v>
      </c>
      <c r="BQ115" t="s">
        <v>74</v>
      </c>
      <c r="BR115" t="s">
        <v>105</v>
      </c>
      <c r="BS115" t="s">
        <v>2576</v>
      </c>
      <c r="BT115" t="str">
        <f>HYPERLINK("https%3A%2F%2Fwww.webofscience.com%2Fwos%2Fwoscc%2Ffull-record%2FWOS:000387357300070","View Full Record in Web of Science")</f>
        <v>View Full Record in Web of Science</v>
      </c>
    </row>
    <row r="116" spans="1:72" x14ac:dyDescent="0.15">
      <c r="A116" t="s">
        <v>72</v>
      </c>
      <c r="B116" t="s">
        <v>2577</v>
      </c>
      <c r="C116" t="s">
        <v>74</v>
      </c>
      <c r="D116" t="s">
        <v>74</v>
      </c>
      <c r="E116" t="s">
        <v>74</v>
      </c>
      <c r="F116" t="s">
        <v>2578</v>
      </c>
      <c r="G116" t="s">
        <v>74</v>
      </c>
      <c r="H116" t="s">
        <v>74</v>
      </c>
      <c r="I116" t="s">
        <v>2579</v>
      </c>
      <c r="J116" t="s">
        <v>2554</v>
      </c>
      <c r="K116" t="s">
        <v>74</v>
      </c>
      <c r="L116" t="s">
        <v>74</v>
      </c>
      <c r="M116" t="s">
        <v>78</v>
      </c>
      <c r="N116" t="s">
        <v>79</v>
      </c>
      <c r="O116" t="s">
        <v>74</v>
      </c>
      <c r="P116" t="s">
        <v>74</v>
      </c>
      <c r="Q116" t="s">
        <v>74</v>
      </c>
      <c r="R116" t="s">
        <v>74</v>
      </c>
      <c r="S116" t="s">
        <v>74</v>
      </c>
      <c r="T116" t="s">
        <v>2580</v>
      </c>
      <c r="U116" t="s">
        <v>2581</v>
      </c>
      <c r="V116" t="s">
        <v>2582</v>
      </c>
      <c r="W116" t="s">
        <v>2583</v>
      </c>
      <c r="X116" t="s">
        <v>2584</v>
      </c>
      <c r="Y116" t="s">
        <v>2585</v>
      </c>
      <c r="Z116" t="s">
        <v>2586</v>
      </c>
      <c r="AA116" t="s">
        <v>2587</v>
      </c>
      <c r="AB116" t="s">
        <v>2588</v>
      </c>
      <c r="AC116" t="s">
        <v>2589</v>
      </c>
      <c r="AD116" t="s">
        <v>2590</v>
      </c>
      <c r="AE116" t="s">
        <v>2591</v>
      </c>
      <c r="AF116" t="s">
        <v>74</v>
      </c>
      <c r="AG116">
        <v>41</v>
      </c>
      <c r="AH116">
        <v>8</v>
      </c>
      <c r="AI116">
        <v>9</v>
      </c>
      <c r="AJ116">
        <v>3</v>
      </c>
      <c r="AK116">
        <v>22</v>
      </c>
      <c r="AL116" t="s">
        <v>2566</v>
      </c>
      <c r="AM116" t="s">
        <v>2567</v>
      </c>
      <c r="AN116" t="s">
        <v>2568</v>
      </c>
      <c r="AO116" t="s">
        <v>2569</v>
      </c>
      <c r="AP116" t="s">
        <v>74</v>
      </c>
      <c r="AQ116" t="s">
        <v>74</v>
      </c>
      <c r="AR116" t="s">
        <v>2570</v>
      </c>
      <c r="AS116" t="s">
        <v>2571</v>
      </c>
      <c r="AT116" t="s">
        <v>2218</v>
      </c>
      <c r="AU116">
        <v>2016</v>
      </c>
      <c r="AV116">
        <v>8</v>
      </c>
      <c r="AW116">
        <v>10</v>
      </c>
      <c r="AX116" t="s">
        <v>74</v>
      </c>
      <c r="AY116" t="s">
        <v>74</v>
      </c>
      <c r="AZ116" t="s">
        <v>74</v>
      </c>
      <c r="BA116" t="s">
        <v>74</v>
      </c>
      <c r="BB116" t="s">
        <v>74</v>
      </c>
      <c r="BC116" t="s">
        <v>74</v>
      </c>
      <c r="BD116">
        <v>821</v>
      </c>
      <c r="BE116" t="s">
        <v>2592</v>
      </c>
      <c r="BF116" t="str">
        <f>HYPERLINK("http://dx.doi.org/10.3390/rs8100821","http://dx.doi.org/10.3390/rs8100821")</f>
        <v>http://dx.doi.org/10.3390/rs8100821</v>
      </c>
      <c r="BG116" t="s">
        <v>74</v>
      </c>
      <c r="BH116" t="s">
        <v>74</v>
      </c>
      <c r="BI116">
        <v>17</v>
      </c>
      <c r="BJ116" t="s">
        <v>2573</v>
      </c>
      <c r="BK116" t="s">
        <v>156</v>
      </c>
      <c r="BL116" t="s">
        <v>2574</v>
      </c>
      <c r="BM116" t="s">
        <v>2575</v>
      </c>
      <c r="BN116" t="s">
        <v>74</v>
      </c>
      <c r="BO116" t="s">
        <v>722</v>
      </c>
      <c r="BP116" t="s">
        <v>74</v>
      </c>
      <c r="BQ116" t="s">
        <v>74</v>
      </c>
      <c r="BR116" t="s">
        <v>105</v>
      </c>
      <c r="BS116" t="s">
        <v>2593</v>
      </c>
      <c r="BT116" t="str">
        <f>HYPERLINK("https%3A%2F%2Fwww.webofscience.com%2Fwos%2Fwoscc%2Ffull-record%2FWOS:000387357300035","View Full Record in Web of Science")</f>
        <v>View Full Record in Web of Science</v>
      </c>
    </row>
    <row r="117" spans="1:72" x14ac:dyDescent="0.15">
      <c r="A117" t="s">
        <v>72</v>
      </c>
      <c r="B117" t="s">
        <v>2594</v>
      </c>
      <c r="C117" t="s">
        <v>74</v>
      </c>
      <c r="D117" t="s">
        <v>74</v>
      </c>
      <c r="E117" t="s">
        <v>74</v>
      </c>
      <c r="F117" t="s">
        <v>2595</v>
      </c>
      <c r="G117" t="s">
        <v>74</v>
      </c>
      <c r="H117" t="s">
        <v>74</v>
      </c>
      <c r="I117" t="s">
        <v>2596</v>
      </c>
      <c r="J117" t="s">
        <v>2597</v>
      </c>
      <c r="K117" t="s">
        <v>74</v>
      </c>
      <c r="L117" t="s">
        <v>74</v>
      </c>
      <c r="M117" t="s">
        <v>78</v>
      </c>
      <c r="N117" t="s">
        <v>79</v>
      </c>
      <c r="O117" t="s">
        <v>74</v>
      </c>
      <c r="P117" t="s">
        <v>74</v>
      </c>
      <c r="Q117" t="s">
        <v>74</v>
      </c>
      <c r="R117" t="s">
        <v>74</v>
      </c>
      <c r="S117" t="s">
        <v>74</v>
      </c>
      <c r="T117" t="s">
        <v>2598</v>
      </c>
      <c r="U117" t="s">
        <v>2599</v>
      </c>
      <c r="V117" t="s">
        <v>2600</v>
      </c>
      <c r="W117" t="s">
        <v>2601</v>
      </c>
      <c r="X117" t="s">
        <v>2602</v>
      </c>
      <c r="Y117" t="s">
        <v>2603</v>
      </c>
      <c r="Z117" t="s">
        <v>2604</v>
      </c>
      <c r="AA117" t="s">
        <v>2605</v>
      </c>
      <c r="AB117" t="s">
        <v>2606</v>
      </c>
      <c r="AC117" t="s">
        <v>2607</v>
      </c>
      <c r="AD117" t="s">
        <v>2608</v>
      </c>
      <c r="AE117" t="s">
        <v>2609</v>
      </c>
      <c r="AF117" t="s">
        <v>74</v>
      </c>
      <c r="AG117">
        <v>70</v>
      </c>
      <c r="AH117">
        <v>27</v>
      </c>
      <c r="AI117">
        <v>29</v>
      </c>
      <c r="AJ117">
        <v>3</v>
      </c>
      <c r="AK117">
        <v>51</v>
      </c>
      <c r="AL117" t="s">
        <v>2501</v>
      </c>
      <c r="AM117" t="s">
        <v>304</v>
      </c>
      <c r="AN117" t="s">
        <v>2502</v>
      </c>
      <c r="AO117" t="s">
        <v>2610</v>
      </c>
      <c r="AP117" t="s">
        <v>2611</v>
      </c>
      <c r="AQ117" t="s">
        <v>74</v>
      </c>
      <c r="AR117" t="s">
        <v>2597</v>
      </c>
      <c r="AS117" t="s">
        <v>2612</v>
      </c>
      <c r="AT117" t="s">
        <v>2218</v>
      </c>
      <c r="AU117">
        <v>2016</v>
      </c>
      <c r="AV117">
        <v>66</v>
      </c>
      <c r="AW117">
        <v>10</v>
      </c>
      <c r="AX117" t="s">
        <v>74</v>
      </c>
      <c r="AY117" t="s">
        <v>74</v>
      </c>
      <c r="AZ117" t="s">
        <v>74</v>
      </c>
      <c r="BA117" t="s">
        <v>74</v>
      </c>
      <c r="BB117">
        <v>829</v>
      </c>
      <c r="BC117">
        <v>847</v>
      </c>
      <c r="BD117" t="s">
        <v>74</v>
      </c>
      <c r="BE117" t="s">
        <v>2613</v>
      </c>
      <c r="BF117" t="str">
        <f>HYPERLINK("http://dx.doi.org/10.1093/biosci/biw103","http://dx.doi.org/10.1093/biosci/biw103")</f>
        <v>http://dx.doi.org/10.1093/biosci/biw103</v>
      </c>
      <c r="BG117" t="s">
        <v>74</v>
      </c>
      <c r="BH117" t="s">
        <v>74</v>
      </c>
      <c r="BI117">
        <v>19</v>
      </c>
      <c r="BJ117" t="s">
        <v>2614</v>
      </c>
      <c r="BK117" t="s">
        <v>156</v>
      </c>
      <c r="BL117" t="s">
        <v>2615</v>
      </c>
      <c r="BM117" t="s">
        <v>2616</v>
      </c>
      <c r="BN117" t="s">
        <v>74</v>
      </c>
      <c r="BO117" t="s">
        <v>2617</v>
      </c>
      <c r="BP117" t="s">
        <v>74</v>
      </c>
      <c r="BQ117" t="s">
        <v>74</v>
      </c>
      <c r="BR117" t="s">
        <v>105</v>
      </c>
      <c r="BS117" t="s">
        <v>2618</v>
      </c>
      <c r="BT117" t="str">
        <f>HYPERLINK("https%3A%2F%2Fwww.webofscience.com%2Fwos%2Fwoscc%2Ffull-record%2FWOS:000386485900005","View Full Record in Web of Science")</f>
        <v>View Full Record in Web of Science</v>
      </c>
    </row>
    <row r="118" spans="1:72" x14ac:dyDescent="0.15">
      <c r="A118" t="s">
        <v>72</v>
      </c>
      <c r="B118" t="s">
        <v>2619</v>
      </c>
      <c r="C118" t="s">
        <v>74</v>
      </c>
      <c r="D118" t="s">
        <v>74</v>
      </c>
      <c r="E118" t="s">
        <v>74</v>
      </c>
      <c r="F118" t="s">
        <v>2620</v>
      </c>
      <c r="G118" t="s">
        <v>74</v>
      </c>
      <c r="H118" t="s">
        <v>74</v>
      </c>
      <c r="I118" t="s">
        <v>2621</v>
      </c>
      <c r="J118" t="s">
        <v>2597</v>
      </c>
      <c r="K118" t="s">
        <v>74</v>
      </c>
      <c r="L118" t="s">
        <v>74</v>
      </c>
      <c r="M118" t="s">
        <v>78</v>
      </c>
      <c r="N118" t="s">
        <v>79</v>
      </c>
      <c r="O118" t="s">
        <v>74</v>
      </c>
      <c r="P118" t="s">
        <v>74</v>
      </c>
      <c r="Q118" t="s">
        <v>74</v>
      </c>
      <c r="R118" t="s">
        <v>74</v>
      </c>
      <c r="S118" t="s">
        <v>74</v>
      </c>
      <c r="T118" t="s">
        <v>2622</v>
      </c>
      <c r="U118" t="s">
        <v>2623</v>
      </c>
      <c r="V118" t="s">
        <v>2624</v>
      </c>
      <c r="W118" t="s">
        <v>2625</v>
      </c>
      <c r="X118" t="s">
        <v>2626</v>
      </c>
      <c r="Y118" t="s">
        <v>2627</v>
      </c>
      <c r="Z118" t="s">
        <v>2628</v>
      </c>
      <c r="AA118" t="s">
        <v>2629</v>
      </c>
      <c r="AB118" t="s">
        <v>2630</v>
      </c>
      <c r="AC118" t="s">
        <v>2631</v>
      </c>
      <c r="AD118" t="s">
        <v>2632</v>
      </c>
      <c r="AE118" t="s">
        <v>2633</v>
      </c>
      <c r="AF118" t="s">
        <v>74</v>
      </c>
      <c r="AG118">
        <v>71</v>
      </c>
      <c r="AH118">
        <v>42</v>
      </c>
      <c r="AI118">
        <v>51</v>
      </c>
      <c r="AJ118">
        <v>1</v>
      </c>
      <c r="AK118">
        <v>63</v>
      </c>
      <c r="AL118" t="s">
        <v>2501</v>
      </c>
      <c r="AM118" t="s">
        <v>304</v>
      </c>
      <c r="AN118" t="s">
        <v>2502</v>
      </c>
      <c r="AO118" t="s">
        <v>2610</v>
      </c>
      <c r="AP118" t="s">
        <v>2611</v>
      </c>
      <c r="AQ118" t="s">
        <v>74</v>
      </c>
      <c r="AR118" t="s">
        <v>2597</v>
      </c>
      <c r="AS118" t="s">
        <v>2612</v>
      </c>
      <c r="AT118" t="s">
        <v>2218</v>
      </c>
      <c r="AU118">
        <v>2016</v>
      </c>
      <c r="AV118">
        <v>66</v>
      </c>
      <c r="AW118">
        <v>10</v>
      </c>
      <c r="AX118" t="s">
        <v>74</v>
      </c>
      <c r="AY118" t="s">
        <v>74</v>
      </c>
      <c r="AZ118" t="s">
        <v>74</v>
      </c>
      <c r="BA118" t="s">
        <v>74</v>
      </c>
      <c r="BB118">
        <v>848</v>
      </c>
      <c r="BC118">
        <v>863</v>
      </c>
      <c r="BD118" t="s">
        <v>74</v>
      </c>
      <c r="BE118" t="s">
        <v>2634</v>
      </c>
      <c r="BF118" t="str">
        <f>HYPERLINK("http://dx.doi.org/10.1093/biosci/biw110","http://dx.doi.org/10.1093/biosci/biw110")</f>
        <v>http://dx.doi.org/10.1093/biosci/biw110</v>
      </c>
      <c r="BG118" t="s">
        <v>74</v>
      </c>
      <c r="BH118" t="s">
        <v>74</v>
      </c>
      <c r="BI118">
        <v>16</v>
      </c>
      <c r="BJ118" t="s">
        <v>2614</v>
      </c>
      <c r="BK118" t="s">
        <v>156</v>
      </c>
      <c r="BL118" t="s">
        <v>2615</v>
      </c>
      <c r="BM118" t="s">
        <v>2616</v>
      </c>
      <c r="BN118" t="s">
        <v>74</v>
      </c>
      <c r="BO118" t="s">
        <v>2635</v>
      </c>
      <c r="BP118" t="s">
        <v>74</v>
      </c>
      <c r="BQ118" t="s">
        <v>74</v>
      </c>
      <c r="BR118" t="s">
        <v>105</v>
      </c>
      <c r="BS118" t="s">
        <v>2636</v>
      </c>
      <c r="BT118" t="str">
        <f>HYPERLINK("https%3A%2F%2Fwww.webofscience.com%2Fwos%2Fwoscc%2Ffull-record%2FWOS:000386485900006","View Full Record in Web of Science")</f>
        <v>View Full Record in Web of Science</v>
      </c>
    </row>
    <row r="119" spans="1:72" x14ac:dyDescent="0.15">
      <c r="A119" t="s">
        <v>72</v>
      </c>
      <c r="B119" t="s">
        <v>2637</v>
      </c>
      <c r="C119" t="s">
        <v>74</v>
      </c>
      <c r="D119" t="s">
        <v>74</v>
      </c>
      <c r="E119" t="s">
        <v>74</v>
      </c>
      <c r="F119" t="s">
        <v>2638</v>
      </c>
      <c r="G119" t="s">
        <v>74</v>
      </c>
      <c r="H119" t="s">
        <v>74</v>
      </c>
      <c r="I119" t="s">
        <v>2639</v>
      </c>
      <c r="J119" t="s">
        <v>2597</v>
      </c>
      <c r="K119" t="s">
        <v>74</v>
      </c>
      <c r="L119" t="s">
        <v>74</v>
      </c>
      <c r="M119" t="s">
        <v>78</v>
      </c>
      <c r="N119" t="s">
        <v>79</v>
      </c>
      <c r="O119" t="s">
        <v>74</v>
      </c>
      <c r="P119" t="s">
        <v>74</v>
      </c>
      <c r="Q119" t="s">
        <v>74</v>
      </c>
      <c r="R119" t="s">
        <v>74</v>
      </c>
      <c r="S119" t="s">
        <v>74</v>
      </c>
      <c r="T119" t="s">
        <v>2640</v>
      </c>
      <c r="U119" t="s">
        <v>2641</v>
      </c>
      <c r="V119" t="s">
        <v>2642</v>
      </c>
      <c r="W119" t="s">
        <v>2643</v>
      </c>
      <c r="X119" t="s">
        <v>2644</v>
      </c>
      <c r="Y119" t="s">
        <v>2645</v>
      </c>
      <c r="Z119" t="s">
        <v>2646</v>
      </c>
      <c r="AA119" t="s">
        <v>2647</v>
      </c>
      <c r="AB119" t="s">
        <v>2648</v>
      </c>
      <c r="AC119" t="s">
        <v>2649</v>
      </c>
      <c r="AD119" t="s">
        <v>2650</v>
      </c>
      <c r="AE119" t="s">
        <v>2651</v>
      </c>
      <c r="AF119" t="s">
        <v>74</v>
      </c>
      <c r="AG119">
        <v>71</v>
      </c>
      <c r="AH119">
        <v>33</v>
      </c>
      <c r="AI119">
        <v>35</v>
      </c>
      <c r="AJ119">
        <v>1</v>
      </c>
      <c r="AK119">
        <v>64</v>
      </c>
      <c r="AL119" t="s">
        <v>2501</v>
      </c>
      <c r="AM119" t="s">
        <v>304</v>
      </c>
      <c r="AN119" t="s">
        <v>2502</v>
      </c>
      <c r="AO119" t="s">
        <v>2610</v>
      </c>
      <c r="AP119" t="s">
        <v>2611</v>
      </c>
      <c r="AQ119" t="s">
        <v>74</v>
      </c>
      <c r="AR119" t="s">
        <v>2597</v>
      </c>
      <c r="AS119" t="s">
        <v>2612</v>
      </c>
      <c r="AT119" t="s">
        <v>2218</v>
      </c>
      <c r="AU119">
        <v>2016</v>
      </c>
      <c r="AV119">
        <v>66</v>
      </c>
      <c r="AW119">
        <v>10</v>
      </c>
      <c r="AX119" t="s">
        <v>74</v>
      </c>
      <c r="AY119" t="s">
        <v>74</v>
      </c>
      <c r="AZ119" t="s">
        <v>74</v>
      </c>
      <c r="BA119" t="s">
        <v>74</v>
      </c>
      <c r="BB119">
        <v>864</v>
      </c>
      <c r="BC119">
        <v>879</v>
      </c>
      <c r="BD119" t="s">
        <v>74</v>
      </c>
      <c r="BE119" t="s">
        <v>2652</v>
      </c>
      <c r="BF119" t="str">
        <f>HYPERLINK("http://dx.doi.org/10.1093/biosci/biw109","http://dx.doi.org/10.1093/biosci/biw109")</f>
        <v>http://dx.doi.org/10.1093/biosci/biw109</v>
      </c>
      <c r="BG119" t="s">
        <v>74</v>
      </c>
      <c r="BH119" t="s">
        <v>74</v>
      </c>
      <c r="BI119">
        <v>16</v>
      </c>
      <c r="BJ119" t="s">
        <v>2614</v>
      </c>
      <c r="BK119" t="s">
        <v>156</v>
      </c>
      <c r="BL119" t="s">
        <v>2615</v>
      </c>
      <c r="BM119" t="s">
        <v>2616</v>
      </c>
      <c r="BN119" t="s">
        <v>74</v>
      </c>
      <c r="BO119" t="s">
        <v>2653</v>
      </c>
      <c r="BP119" t="s">
        <v>74</v>
      </c>
      <c r="BQ119" t="s">
        <v>74</v>
      </c>
      <c r="BR119" t="s">
        <v>105</v>
      </c>
      <c r="BS119" t="s">
        <v>2654</v>
      </c>
      <c r="BT119" t="str">
        <f>HYPERLINK("https%3A%2F%2Fwww.webofscience.com%2Fwos%2Fwoscc%2Ffull-record%2FWOS:000386485900007","View Full Record in Web of Science")</f>
        <v>View Full Record in Web of Science</v>
      </c>
    </row>
    <row r="120" spans="1:72" x14ac:dyDescent="0.15">
      <c r="A120" t="s">
        <v>72</v>
      </c>
      <c r="B120" t="s">
        <v>2655</v>
      </c>
      <c r="C120" t="s">
        <v>74</v>
      </c>
      <c r="D120" t="s">
        <v>74</v>
      </c>
      <c r="E120" t="s">
        <v>74</v>
      </c>
      <c r="F120" t="s">
        <v>2656</v>
      </c>
      <c r="G120" t="s">
        <v>74</v>
      </c>
      <c r="H120" t="s">
        <v>74</v>
      </c>
      <c r="I120" t="s">
        <v>2657</v>
      </c>
      <c r="J120" t="s">
        <v>2658</v>
      </c>
      <c r="K120" t="s">
        <v>74</v>
      </c>
      <c r="L120" t="s">
        <v>74</v>
      </c>
      <c r="M120" t="s">
        <v>78</v>
      </c>
      <c r="N120" t="s">
        <v>79</v>
      </c>
      <c r="O120" t="s">
        <v>74</v>
      </c>
      <c r="P120" t="s">
        <v>74</v>
      </c>
      <c r="Q120" t="s">
        <v>74</v>
      </c>
      <c r="R120" t="s">
        <v>74</v>
      </c>
      <c r="S120" t="s">
        <v>74</v>
      </c>
      <c r="T120" t="s">
        <v>2659</v>
      </c>
      <c r="U120" t="s">
        <v>2660</v>
      </c>
      <c r="V120" t="s">
        <v>2661</v>
      </c>
      <c r="W120" t="s">
        <v>2662</v>
      </c>
      <c r="X120" t="s">
        <v>2663</v>
      </c>
      <c r="Y120" t="s">
        <v>2664</v>
      </c>
      <c r="Z120" t="s">
        <v>2665</v>
      </c>
      <c r="AA120" t="s">
        <v>74</v>
      </c>
      <c r="AB120" t="s">
        <v>2666</v>
      </c>
      <c r="AC120" t="s">
        <v>2667</v>
      </c>
      <c r="AD120" t="s">
        <v>2668</v>
      </c>
      <c r="AE120" t="s">
        <v>2669</v>
      </c>
      <c r="AF120" t="s">
        <v>74</v>
      </c>
      <c r="AG120">
        <v>39</v>
      </c>
      <c r="AH120">
        <v>10</v>
      </c>
      <c r="AI120">
        <v>12</v>
      </c>
      <c r="AJ120">
        <v>0</v>
      </c>
      <c r="AK120">
        <v>10</v>
      </c>
      <c r="AL120" t="s">
        <v>2670</v>
      </c>
      <c r="AM120" t="s">
        <v>2026</v>
      </c>
      <c r="AN120" t="s">
        <v>2671</v>
      </c>
      <c r="AO120" t="s">
        <v>2672</v>
      </c>
      <c r="AP120" t="s">
        <v>2673</v>
      </c>
      <c r="AQ120" t="s">
        <v>74</v>
      </c>
      <c r="AR120" t="s">
        <v>2674</v>
      </c>
      <c r="AS120" t="s">
        <v>2675</v>
      </c>
      <c r="AT120" t="s">
        <v>2218</v>
      </c>
      <c r="AU120">
        <v>2016</v>
      </c>
      <c r="AV120">
        <v>62</v>
      </c>
      <c r="AW120">
        <v>235</v>
      </c>
      <c r="AX120" t="s">
        <v>74</v>
      </c>
      <c r="AY120" t="s">
        <v>74</v>
      </c>
      <c r="AZ120" t="s">
        <v>74</v>
      </c>
      <c r="BA120" t="s">
        <v>74</v>
      </c>
      <c r="BB120">
        <v>825</v>
      </c>
      <c r="BC120">
        <v>834</v>
      </c>
      <c r="BD120" t="s">
        <v>74</v>
      </c>
      <c r="BE120" t="s">
        <v>2676</v>
      </c>
      <c r="BF120" t="str">
        <f>HYPERLINK("http://dx.doi.org/10.1017/jog.2016.69","http://dx.doi.org/10.1017/jog.2016.69")</f>
        <v>http://dx.doi.org/10.1017/jog.2016.69</v>
      </c>
      <c r="BG120" t="s">
        <v>74</v>
      </c>
      <c r="BH120" t="s">
        <v>74</v>
      </c>
      <c r="BI120">
        <v>10</v>
      </c>
      <c r="BJ120" t="s">
        <v>203</v>
      </c>
      <c r="BK120" t="s">
        <v>156</v>
      </c>
      <c r="BL120" t="s">
        <v>204</v>
      </c>
      <c r="BM120" t="s">
        <v>2677</v>
      </c>
      <c r="BN120" t="s">
        <v>74</v>
      </c>
      <c r="BO120" t="s">
        <v>133</v>
      </c>
      <c r="BP120" t="s">
        <v>74</v>
      </c>
      <c r="BQ120" t="s">
        <v>74</v>
      </c>
      <c r="BR120" t="s">
        <v>105</v>
      </c>
      <c r="BS120" t="s">
        <v>2678</v>
      </c>
      <c r="BT120" t="str">
        <f>HYPERLINK("https%3A%2F%2Fwww.webofscience.com%2Fwos%2Fwoscc%2Ffull-record%2FWOS:000386673900003","View Full Record in Web of Science")</f>
        <v>View Full Record in Web of Science</v>
      </c>
    </row>
    <row r="121" spans="1:72" x14ac:dyDescent="0.15">
      <c r="A121" t="s">
        <v>72</v>
      </c>
      <c r="B121" t="s">
        <v>2679</v>
      </c>
      <c r="C121" t="s">
        <v>74</v>
      </c>
      <c r="D121" t="s">
        <v>74</v>
      </c>
      <c r="E121" t="s">
        <v>74</v>
      </c>
      <c r="F121" t="s">
        <v>2680</v>
      </c>
      <c r="G121" t="s">
        <v>74</v>
      </c>
      <c r="H121" t="s">
        <v>74</v>
      </c>
      <c r="I121" t="s">
        <v>2681</v>
      </c>
      <c r="J121" t="s">
        <v>2658</v>
      </c>
      <c r="K121" t="s">
        <v>74</v>
      </c>
      <c r="L121" t="s">
        <v>74</v>
      </c>
      <c r="M121" t="s">
        <v>78</v>
      </c>
      <c r="N121" t="s">
        <v>79</v>
      </c>
      <c r="O121" t="s">
        <v>74</v>
      </c>
      <c r="P121" t="s">
        <v>74</v>
      </c>
      <c r="Q121" t="s">
        <v>74</v>
      </c>
      <c r="R121" t="s">
        <v>74</v>
      </c>
      <c r="S121" t="s">
        <v>74</v>
      </c>
      <c r="T121" t="s">
        <v>2682</v>
      </c>
      <c r="U121" t="s">
        <v>2683</v>
      </c>
      <c r="V121" t="s">
        <v>2684</v>
      </c>
      <c r="W121" t="s">
        <v>2685</v>
      </c>
      <c r="X121" t="s">
        <v>2686</v>
      </c>
      <c r="Y121" t="s">
        <v>2687</v>
      </c>
      <c r="Z121" t="s">
        <v>2688</v>
      </c>
      <c r="AA121" t="s">
        <v>2689</v>
      </c>
      <c r="AB121" t="s">
        <v>2690</v>
      </c>
      <c r="AC121" t="s">
        <v>2691</v>
      </c>
      <c r="AD121" t="s">
        <v>2692</v>
      </c>
      <c r="AE121" t="s">
        <v>2693</v>
      </c>
      <c r="AF121" t="s">
        <v>74</v>
      </c>
      <c r="AG121">
        <v>57</v>
      </c>
      <c r="AH121">
        <v>22</v>
      </c>
      <c r="AI121">
        <v>22</v>
      </c>
      <c r="AJ121">
        <v>0</v>
      </c>
      <c r="AK121">
        <v>18</v>
      </c>
      <c r="AL121" t="s">
        <v>2670</v>
      </c>
      <c r="AM121" t="s">
        <v>2026</v>
      </c>
      <c r="AN121" t="s">
        <v>2671</v>
      </c>
      <c r="AO121" t="s">
        <v>2672</v>
      </c>
      <c r="AP121" t="s">
        <v>2673</v>
      </c>
      <c r="AQ121" t="s">
        <v>74</v>
      </c>
      <c r="AR121" t="s">
        <v>2674</v>
      </c>
      <c r="AS121" t="s">
        <v>2675</v>
      </c>
      <c r="AT121" t="s">
        <v>2218</v>
      </c>
      <c r="AU121">
        <v>2016</v>
      </c>
      <c r="AV121">
        <v>62</v>
      </c>
      <c r="AW121">
        <v>235</v>
      </c>
      <c r="AX121" t="s">
        <v>74</v>
      </c>
      <c r="AY121" t="s">
        <v>74</v>
      </c>
      <c r="AZ121" t="s">
        <v>74</v>
      </c>
      <c r="BA121" t="s">
        <v>74</v>
      </c>
      <c r="BB121">
        <v>835</v>
      </c>
      <c r="BC121">
        <v>846</v>
      </c>
      <c r="BD121" t="s">
        <v>74</v>
      </c>
      <c r="BE121" t="s">
        <v>2694</v>
      </c>
      <c r="BF121" t="str">
        <f>HYPERLINK("http://dx.doi.org/10.1017/jog.2016.72","http://dx.doi.org/10.1017/jog.2016.72")</f>
        <v>http://dx.doi.org/10.1017/jog.2016.72</v>
      </c>
      <c r="BG121" t="s">
        <v>74</v>
      </c>
      <c r="BH121" t="s">
        <v>74</v>
      </c>
      <c r="BI121">
        <v>12</v>
      </c>
      <c r="BJ121" t="s">
        <v>203</v>
      </c>
      <c r="BK121" t="s">
        <v>156</v>
      </c>
      <c r="BL121" t="s">
        <v>204</v>
      </c>
      <c r="BM121" t="s">
        <v>2677</v>
      </c>
      <c r="BN121" t="s">
        <v>74</v>
      </c>
      <c r="BO121" t="s">
        <v>777</v>
      </c>
      <c r="BP121" t="s">
        <v>74</v>
      </c>
      <c r="BQ121" t="s">
        <v>74</v>
      </c>
      <c r="BR121" t="s">
        <v>105</v>
      </c>
      <c r="BS121" t="s">
        <v>2695</v>
      </c>
      <c r="BT121" t="str">
        <f>HYPERLINK("https%3A%2F%2Fwww.webofscience.com%2Fwos%2Fwoscc%2Ffull-record%2FWOS:000386673900004","View Full Record in Web of Science")</f>
        <v>View Full Record in Web of Science</v>
      </c>
    </row>
    <row r="122" spans="1:72" x14ac:dyDescent="0.15">
      <c r="A122" t="s">
        <v>72</v>
      </c>
      <c r="B122" t="s">
        <v>2696</v>
      </c>
      <c r="C122" t="s">
        <v>74</v>
      </c>
      <c r="D122" t="s">
        <v>74</v>
      </c>
      <c r="E122" t="s">
        <v>74</v>
      </c>
      <c r="F122" t="s">
        <v>2697</v>
      </c>
      <c r="G122" t="s">
        <v>74</v>
      </c>
      <c r="H122" t="s">
        <v>74</v>
      </c>
      <c r="I122" t="s">
        <v>2698</v>
      </c>
      <c r="J122" t="s">
        <v>2658</v>
      </c>
      <c r="K122" t="s">
        <v>74</v>
      </c>
      <c r="L122" t="s">
        <v>74</v>
      </c>
      <c r="M122" t="s">
        <v>78</v>
      </c>
      <c r="N122" t="s">
        <v>79</v>
      </c>
      <c r="O122" t="s">
        <v>74</v>
      </c>
      <c r="P122" t="s">
        <v>74</v>
      </c>
      <c r="Q122" t="s">
        <v>74</v>
      </c>
      <c r="R122" t="s">
        <v>74</v>
      </c>
      <c r="S122" t="s">
        <v>74</v>
      </c>
      <c r="T122" t="s">
        <v>2699</v>
      </c>
      <c r="U122" t="s">
        <v>2700</v>
      </c>
      <c r="V122" t="s">
        <v>2701</v>
      </c>
      <c r="W122" t="s">
        <v>2702</v>
      </c>
      <c r="X122" t="s">
        <v>2703</v>
      </c>
      <c r="Y122" t="s">
        <v>2704</v>
      </c>
      <c r="Z122" t="s">
        <v>2628</v>
      </c>
      <c r="AA122" t="s">
        <v>74</v>
      </c>
      <c r="AB122" t="s">
        <v>74</v>
      </c>
      <c r="AC122" t="s">
        <v>2705</v>
      </c>
      <c r="AD122" t="s">
        <v>2706</v>
      </c>
      <c r="AE122" t="s">
        <v>2707</v>
      </c>
      <c r="AF122" t="s">
        <v>74</v>
      </c>
      <c r="AG122">
        <v>65</v>
      </c>
      <c r="AH122">
        <v>12</v>
      </c>
      <c r="AI122">
        <v>17</v>
      </c>
      <c r="AJ122">
        <v>0</v>
      </c>
      <c r="AK122">
        <v>10</v>
      </c>
      <c r="AL122" t="s">
        <v>2670</v>
      </c>
      <c r="AM122" t="s">
        <v>2026</v>
      </c>
      <c r="AN122" t="s">
        <v>2671</v>
      </c>
      <c r="AO122" t="s">
        <v>2672</v>
      </c>
      <c r="AP122" t="s">
        <v>2673</v>
      </c>
      <c r="AQ122" t="s">
        <v>74</v>
      </c>
      <c r="AR122" t="s">
        <v>2674</v>
      </c>
      <c r="AS122" t="s">
        <v>2675</v>
      </c>
      <c r="AT122" t="s">
        <v>2218</v>
      </c>
      <c r="AU122">
        <v>2016</v>
      </c>
      <c r="AV122">
        <v>62</v>
      </c>
      <c r="AW122">
        <v>235</v>
      </c>
      <c r="AX122" t="s">
        <v>74</v>
      </c>
      <c r="AY122" t="s">
        <v>74</v>
      </c>
      <c r="AZ122" t="s">
        <v>74</v>
      </c>
      <c r="BA122" t="s">
        <v>74</v>
      </c>
      <c r="BB122">
        <v>976</v>
      </c>
      <c r="BC122">
        <v>989</v>
      </c>
      <c r="BD122" t="s">
        <v>74</v>
      </c>
      <c r="BE122" t="s">
        <v>2708</v>
      </c>
      <c r="BF122" t="str">
        <f>HYPERLINK("http://dx.doi.org/10.1017/jog.2016.86","http://dx.doi.org/10.1017/jog.2016.86")</f>
        <v>http://dx.doi.org/10.1017/jog.2016.86</v>
      </c>
      <c r="BG122" t="s">
        <v>74</v>
      </c>
      <c r="BH122" t="s">
        <v>74</v>
      </c>
      <c r="BI122">
        <v>14</v>
      </c>
      <c r="BJ122" t="s">
        <v>203</v>
      </c>
      <c r="BK122" t="s">
        <v>156</v>
      </c>
      <c r="BL122" t="s">
        <v>204</v>
      </c>
      <c r="BM122" t="s">
        <v>2677</v>
      </c>
      <c r="BN122" t="s">
        <v>74</v>
      </c>
      <c r="BO122" t="s">
        <v>133</v>
      </c>
      <c r="BP122" t="s">
        <v>74</v>
      </c>
      <c r="BQ122" t="s">
        <v>74</v>
      </c>
      <c r="BR122" t="s">
        <v>105</v>
      </c>
      <c r="BS122" t="s">
        <v>2709</v>
      </c>
      <c r="BT122" t="str">
        <f>HYPERLINK("https%3A%2F%2Fwww.webofscience.com%2Fwos%2Fwoscc%2Ffull-record%2FWOS:000386673900015","View Full Record in Web of Science")</f>
        <v>View Full Record in Web of Science</v>
      </c>
    </row>
    <row r="123" spans="1:72" x14ac:dyDescent="0.15">
      <c r="A123" t="s">
        <v>72</v>
      </c>
      <c r="B123" t="s">
        <v>2710</v>
      </c>
      <c r="C123" t="s">
        <v>74</v>
      </c>
      <c r="D123" t="s">
        <v>74</v>
      </c>
      <c r="E123" t="s">
        <v>74</v>
      </c>
      <c r="F123" t="s">
        <v>2711</v>
      </c>
      <c r="G123" t="s">
        <v>74</v>
      </c>
      <c r="H123" t="s">
        <v>74</v>
      </c>
      <c r="I123" t="s">
        <v>2712</v>
      </c>
      <c r="J123" t="s">
        <v>2658</v>
      </c>
      <c r="K123" t="s">
        <v>74</v>
      </c>
      <c r="L123" t="s">
        <v>74</v>
      </c>
      <c r="M123" t="s">
        <v>78</v>
      </c>
      <c r="N123" t="s">
        <v>2713</v>
      </c>
      <c r="O123" t="s">
        <v>74</v>
      </c>
      <c r="P123" t="s">
        <v>74</v>
      </c>
      <c r="Q123" t="s">
        <v>74</v>
      </c>
      <c r="R123" t="s">
        <v>74</v>
      </c>
      <c r="S123" t="s">
        <v>74</v>
      </c>
      <c r="T123" t="s">
        <v>74</v>
      </c>
      <c r="U123" t="s">
        <v>2714</v>
      </c>
      <c r="V123" t="s">
        <v>74</v>
      </c>
      <c r="W123" t="s">
        <v>2715</v>
      </c>
      <c r="X123" t="s">
        <v>2716</v>
      </c>
      <c r="Y123" t="s">
        <v>2717</v>
      </c>
      <c r="Z123" t="s">
        <v>2718</v>
      </c>
      <c r="AA123" t="s">
        <v>74</v>
      </c>
      <c r="AB123" t="s">
        <v>74</v>
      </c>
      <c r="AC123" t="s">
        <v>74</v>
      </c>
      <c r="AD123" t="s">
        <v>74</v>
      </c>
      <c r="AE123" t="s">
        <v>74</v>
      </c>
      <c r="AF123" t="s">
        <v>74</v>
      </c>
      <c r="AG123">
        <v>14</v>
      </c>
      <c r="AH123">
        <v>4</v>
      </c>
      <c r="AI123">
        <v>4</v>
      </c>
      <c r="AJ123">
        <v>0</v>
      </c>
      <c r="AK123">
        <v>20</v>
      </c>
      <c r="AL123" t="s">
        <v>2670</v>
      </c>
      <c r="AM123" t="s">
        <v>2026</v>
      </c>
      <c r="AN123" t="s">
        <v>2671</v>
      </c>
      <c r="AO123" t="s">
        <v>2672</v>
      </c>
      <c r="AP123" t="s">
        <v>2673</v>
      </c>
      <c r="AQ123" t="s">
        <v>74</v>
      </c>
      <c r="AR123" t="s">
        <v>2674</v>
      </c>
      <c r="AS123" t="s">
        <v>2675</v>
      </c>
      <c r="AT123" t="s">
        <v>2218</v>
      </c>
      <c r="AU123">
        <v>2016</v>
      </c>
      <c r="AV123">
        <v>62</v>
      </c>
      <c r="AW123">
        <v>235</v>
      </c>
      <c r="AX123" t="s">
        <v>74</v>
      </c>
      <c r="AY123" t="s">
        <v>74</v>
      </c>
      <c r="AZ123" t="s">
        <v>74</v>
      </c>
      <c r="BA123" t="s">
        <v>74</v>
      </c>
      <c r="BB123">
        <v>990</v>
      </c>
      <c r="BC123">
        <v>992</v>
      </c>
      <c r="BD123" t="s">
        <v>74</v>
      </c>
      <c r="BE123" t="s">
        <v>2719</v>
      </c>
      <c r="BF123" t="str">
        <f>HYPERLINK("http://dx.doi.org/10.1017/jog.2016.91","http://dx.doi.org/10.1017/jog.2016.91")</f>
        <v>http://dx.doi.org/10.1017/jog.2016.91</v>
      </c>
      <c r="BG123" t="s">
        <v>74</v>
      </c>
      <c r="BH123" t="s">
        <v>74</v>
      </c>
      <c r="BI123">
        <v>3</v>
      </c>
      <c r="BJ123" t="s">
        <v>203</v>
      </c>
      <c r="BK123" t="s">
        <v>156</v>
      </c>
      <c r="BL123" t="s">
        <v>204</v>
      </c>
      <c r="BM123" t="s">
        <v>2677</v>
      </c>
      <c r="BN123" t="s">
        <v>74</v>
      </c>
      <c r="BO123" t="s">
        <v>777</v>
      </c>
      <c r="BP123" t="s">
        <v>74</v>
      </c>
      <c r="BQ123" t="s">
        <v>74</v>
      </c>
      <c r="BR123" t="s">
        <v>105</v>
      </c>
      <c r="BS123" t="s">
        <v>2720</v>
      </c>
      <c r="BT123" t="str">
        <f>HYPERLINK("https%3A%2F%2Fwww.webofscience.com%2Fwos%2Fwoscc%2Ffull-record%2FWOS:000386673900016","View Full Record in Web of Science")</f>
        <v>View Full Record in Web of Science</v>
      </c>
    </row>
    <row r="124" spans="1:72" x14ac:dyDescent="0.15">
      <c r="A124" t="s">
        <v>72</v>
      </c>
      <c r="B124" t="s">
        <v>2710</v>
      </c>
      <c r="C124" t="s">
        <v>74</v>
      </c>
      <c r="D124" t="s">
        <v>74</v>
      </c>
      <c r="E124" t="s">
        <v>74</v>
      </c>
      <c r="F124" t="s">
        <v>2711</v>
      </c>
      <c r="G124" t="s">
        <v>74</v>
      </c>
      <c r="H124" t="s">
        <v>74</v>
      </c>
      <c r="I124" t="s">
        <v>2721</v>
      </c>
      <c r="J124" t="s">
        <v>2658</v>
      </c>
      <c r="K124" t="s">
        <v>74</v>
      </c>
      <c r="L124" t="s">
        <v>74</v>
      </c>
      <c r="M124" t="s">
        <v>78</v>
      </c>
      <c r="N124" t="s">
        <v>2713</v>
      </c>
      <c r="O124" t="s">
        <v>74</v>
      </c>
      <c r="P124" t="s">
        <v>74</v>
      </c>
      <c r="Q124" t="s">
        <v>74</v>
      </c>
      <c r="R124" t="s">
        <v>74</v>
      </c>
      <c r="S124" t="s">
        <v>74</v>
      </c>
      <c r="T124" t="s">
        <v>74</v>
      </c>
      <c r="U124" t="s">
        <v>2722</v>
      </c>
      <c r="V124" t="s">
        <v>74</v>
      </c>
      <c r="W124" t="s">
        <v>2715</v>
      </c>
      <c r="X124" t="s">
        <v>2723</v>
      </c>
      <c r="Y124" t="s">
        <v>2717</v>
      </c>
      <c r="Z124" t="s">
        <v>2718</v>
      </c>
      <c r="AA124" t="s">
        <v>74</v>
      </c>
      <c r="AB124" t="s">
        <v>74</v>
      </c>
      <c r="AC124" t="s">
        <v>74</v>
      </c>
      <c r="AD124" t="s">
        <v>74</v>
      </c>
      <c r="AE124" t="s">
        <v>74</v>
      </c>
      <c r="AF124" t="s">
        <v>74</v>
      </c>
      <c r="AG124">
        <v>12</v>
      </c>
      <c r="AH124">
        <v>1</v>
      </c>
      <c r="AI124">
        <v>1</v>
      </c>
      <c r="AJ124">
        <v>0</v>
      </c>
      <c r="AK124">
        <v>12</v>
      </c>
      <c r="AL124" t="s">
        <v>2670</v>
      </c>
      <c r="AM124" t="s">
        <v>2026</v>
      </c>
      <c r="AN124" t="s">
        <v>2671</v>
      </c>
      <c r="AO124" t="s">
        <v>2672</v>
      </c>
      <c r="AP124" t="s">
        <v>2673</v>
      </c>
      <c r="AQ124" t="s">
        <v>74</v>
      </c>
      <c r="AR124" t="s">
        <v>2674</v>
      </c>
      <c r="AS124" t="s">
        <v>2675</v>
      </c>
      <c r="AT124" t="s">
        <v>2218</v>
      </c>
      <c r="AU124">
        <v>2016</v>
      </c>
      <c r="AV124">
        <v>62</v>
      </c>
      <c r="AW124">
        <v>235</v>
      </c>
      <c r="AX124" t="s">
        <v>74</v>
      </c>
      <c r="AY124" t="s">
        <v>74</v>
      </c>
      <c r="AZ124" t="s">
        <v>74</v>
      </c>
      <c r="BA124" t="s">
        <v>74</v>
      </c>
      <c r="BB124">
        <v>993</v>
      </c>
      <c r="BC124">
        <v>995</v>
      </c>
      <c r="BD124" t="s">
        <v>74</v>
      </c>
      <c r="BE124" t="s">
        <v>2724</v>
      </c>
      <c r="BF124" t="str">
        <f>HYPERLINK("http://dx.doi.org/10.1017/jog.2016.92","http://dx.doi.org/10.1017/jog.2016.92")</f>
        <v>http://dx.doi.org/10.1017/jog.2016.92</v>
      </c>
      <c r="BG124" t="s">
        <v>74</v>
      </c>
      <c r="BH124" t="s">
        <v>74</v>
      </c>
      <c r="BI124">
        <v>3</v>
      </c>
      <c r="BJ124" t="s">
        <v>203</v>
      </c>
      <c r="BK124" t="s">
        <v>156</v>
      </c>
      <c r="BL124" t="s">
        <v>204</v>
      </c>
      <c r="BM124" t="s">
        <v>2677</v>
      </c>
      <c r="BN124" t="s">
        <v>74</v>
      </c>
      <c r="BO124" t="s">
        <v>777</v>
      </c>
      <c r="BP124" t="s">
        <v>74</v>
      </c>
      <c r="BQ124" t="s">
        <v>74</v>
      </c>
      <c r="BR124" t="s">
        <v>105</v>
      </c>
      <c r="BS124" t="s">
        <v>2725</v>
      </c>
      <c r="BT124" t="str">
        <f>HYPERLINK("https%3A%2F%2Fwww.webofscience.com%2Fwos%2Fwoscc%2Ffull-record%2FWOS:000386673900017","View Full Record in Web of Science")</f>
        <v>View Full Record in Web of Science</v>
      </c>
    </row>
    <row r="125" spans="1:72" x14ac:dyDescent="0.15">
      <c r="A125" t="s">
        <v>72</v>
      </c>
      <c r="B125" t="s">
        <v>2726</v>
      </c>
      <c r="C125" t="s">
        <v>74</v>
      </c>
      <c r="D125" t="s">
        <v>74</v>
      </c>
      <c r="E125" t="s">
        <v>74</v>
      </c>
      <c r="F125" t="s">
        <v>2727</v>
      </c>
      <c r="G125" t="s">
        <v>74</v>
      </c>
      <c r="H125" t="s">
        <v>74</v>
      </c>
      <c r="I125" t="s">
        <v>2728</v>
      </c>
      <c r="J125" t="s">
        <v>2729</v>
      </c>
      <c r="K125" t="s">
        <v>74</v>
      </c>
      <c r="L125" t="s">
        <v>74</v>
      </c>
      <c r="M125" t="s">
        <v>78</v>
      </c>
      <c r="N125" t="s">
        <v>2730</v>
      </c>
      <c r="O125" t="s">
        <v>2731</v>
      </c>
      <c r="P125" t="s">
        <v>2732</v>
      </c>
      <c r="Q125" t="s">
        <v>2733</v>
      </c>
      <c r="R125" t="s">
        <v>74</v>
      </c>
      <c r="S125" t="s">
        <v>74</v>
      </c>
      <c r="T125" t="s">
        <v>2734</v>
      </c>
      <c r="U125" t="s">
        <v>2735</v>
      </c>
      <c r="V125" t="s">
        <v>2736</v>
      </c>
      <c r="W125" t="s">
        <v>2737</v>
      </c>
      <c r="X125" t="s">
        <v>2738</v>
      </c>
      <c r="Y125" t="s">
        <v>2739</v>
      </c>
      <c r="Z125" t="s">
        <v>2740</v>
      </c>
      <c r="AA125" t="s">
        <v>2741</v>
      </c>
      <c r="AB125" t="s">
        <v>2742</v>
      </c>
      <c r="AC125" t="s">
        <v>74</v>
      </c>
      <c r="AD125" t="s">
        <v>74</v>
      </c>
      <c r="AE125" t="s">
        <v>74</v>
      </c>
      <c r="AF125" t="s">
        <v>74</v>
      </c>
      <c r="AG125">
        <v>32</v>
      </c>
      <c r="AH125">
        <v>4</v>
      </c>
      <c r="AI125">
        <v>4</v>
      </c>
      <c r="AJ125">
        <v>0</v>
      </c>
      <c r="AK125">
        <v>14</v>
      </c>
      <c r="AL125" t="s">
        <v>2743</v>
      </c>
      <c r="AM125" t="s">
        <v>2744</v>
      </c>
      <c r="AN125" t="s">
        <v>2745</v>
      </c>
      <c r="AO125" t="s">
        <v>2746</v>
      </c>
      <c r="AP125" t="s">
        <v>2747</v>
      </c>
      <c r="AQ125" t="s">
        <v>74</v>
      </c>
      <c r="AR125" t="s">
        <v>2748</v>
      </c>
      <c r="AS125" t="s">
        <v>2749</v>
      </c>
      <c r="AT125" t="s">
        <v>2218</v>
      </c>
      <c r="AU125">
        <v>2016</v>
      </c>
      <c r="AV125">
        <v>35</v>
      </c>
      <c r="AW125">
        <v>3</v>
      </c>
      <c r="AX125" t="s">
        <v>74</v>
      </c>
      <c r="AY125" t="s">
        <v>74</v>
      </c>
      <c r="AZ125" t="s">
        <v>74</v>
      </c>
      <c r="BA125" t="s">
        <v>74</v>
      </c>
      <c r="BB125">
        <v>585</v>
      </c>
      <c r="BC125">
        <v>591</v>
      </c>
      <c r="BD125" t="s">
        <v>74</v>
      </c>
      <c r="BE125" t="s">
        <v>2750</v>
      </c>
      <c r="BF125" t="str">
        <f>HYPERLINK("http://dx.doi.org/10.2983/035.035.0303","http://dx.doi.org/10.2983/035.035.0303")</f>
        <v>http://dx.doi.org/10.2983/035.035.0303</v>
      </c>
      <c r="BG125" t="s">
        <v>74</v>
      </c>
      <c r="BH125" t="s">
        <v>74</v>
      </c>
      <c r="BI125">
        <v>7</v>
      </c>
      <c r="BJ125" t="s">
        <v>2751</v>
      </c>
      <c r="BK125" t="s">
        <v>2548</v>
      </c>
      <c r="BL125" t="s">
        <v>2751</v>
      </c>
      <c r="BM125" t="s">
        <v>2752</v>
      </c>
      <c r="BN125" t="s">
        <v>74</v>
      </c>
      <c r="BO125" t="s">
        <v>74</v>
      </c>
      <c r="BP125" t="s">
        <v>74</v>
      </c>
      <c r="BQ125" t="s">
        <v>74</v>
      </c>
      <c r="BR125" t="s">
        <v>105</v>
      </c>
      <c r="BS125" t="s">
        <v>2753</v>
      </c>
      <c r="BT125" t="str">
        <f>HYPERLINK("https%3A%2F%2Fwww.webofscience.com%2Fwos%2Fwoscc%2Ffull-record%2FWOS:000386496100003","View Full Record in Web of Science")</f>
        <v>View Full Record in Web of Science</v>
      </c>
    </row>
    <row r="126" spans="1:72" x14ac:dyDescent="0.15">
      <c r="A126" t="s">
        <v>72</v>
      </c>
      <c r="B126" t="s">
        <v>2754</v>
      </c>
      <c r="C126" t="s">
        <v>74</v>
      </c>
      <c r="D126" t="s">
        <v>74</v>
      </c>
      <c r="E126" t="s">
        <v>74</v>
      </c>
      <c r="F126" t="s">
        <v>2755</v>
      </c>
      <c r="G126" t="s">
        <v>74</v>
      </c>
      <c r="H126" t="s">
        <v>74</v>
      </c>
      <c r="I126" t="s">
        <v>2756</v>
      </c>
      <c r="J126" t="s">
        <v>2757</v>
      </c>
      <c r="K126" t="s">
        <v>74</v>
      </c>
      <c r="L126" t="s">
        <v>74</v>
      </c>
      <c r="M126" t="s">
        <v>78</v>
      </c>
      <c r="N126" t="s">
        <v>79</v>
      </c>
      <c r="O126" t="s">
        <v>74</v>
      </c>
      <c r="P126" t="s">
        <v>74</v>
      </c>
      <c r="Q126" t="s">
        <v>74</v>
      </c>
      <c r="R126" t="s">
        <v>74</v>
      </c>
      <c r="S126" t="s">
        <v>74</v>
      </c>
      <c r="T126" t="s">
        <v>2758</v>
      </c>
      <c r="U126" t="s">
        <v>2759</v>
      </c>
      <c r="V126" t="s">
        <v>2760</v>
      </c>
      <c r="W126" t="s">
        <v>2761</v>
      </c>
      <c r="X126" t="s">
        <v>2762</v>
      </c>
      <c r="Y126" t="s">
        <v>2763</v>
      </c>
      <c r="Z126" t="s">
        <v>2764</v>
      </c>
      <c r="AA126" t="s">
        <v>2765</v>
      </c>
      <c r="AB126" t="s">
        <v>2766</v>
      </c>
      <c r="AC126" t="s">
        <v>2767</v>
      </c>
      <c r="AD126" t="s">
        <v>2767</v>
      </c>
      <c r="AE126" t="s">
        <v>2768</v>
      </c>
      <c r="AF126" t="s">
        <v>74</v>
      </c>
      <c r="AG126">
        <v>27</v>
      </c>
      <c r="AH126">
        <v>8</v>
      </c>
      <c r="AI126">
        <v>8</v>
      </c>
      <c r="AJ126">
        <v>0</v>
      </c>
      <c r="AK126">
        <v>3</v>
      </c>
      <c r="AL126" t="s">
        <v>2769</v>
      </c>
      <c r="AM126" t="s">
        <v>2770</v>
      </c>
      <c r="AN126" t="s">
        <v>2771</v>
      </c>
      <c r="AO126" t="s">
        <v>2772</v>
      </c>
      <c r="AP126" t="s">
        <v>2773</v>
      </c>
      <c r="AQ126" t="s">
        <v>74</v>
      </c>
      <c r="AR126" t="s">
        <v>2774</v>
      </c>
      <c r="AS126" t="s">
        <v>2775</v>
      </c>
      <c r="AT126" t="s">
        <v>2218</v>
      </c>
      <c r="AU126">
        <v>2016</v>
      </c>
      <c r="AV126">
        <v>13</v>
      </c>
      <c r="AW126">
        <v>10</v>
      </c>
      <c r="AX126" t="s">
        <v>74</v>
      </c>
      <c r="AY126" t="s">
        <v>74</v>
      </c>
      <c r="AZ126" t="s">
        <v>74</v>
      </c>
      <c r="BA126" t="s">
        <v>74</v>
      </c>
      <c r="BB126">
        <v>1542</v>
      </c>
      <c r="BC126">
        <v>1546</v>
      </c>
      <c r="BD126" t="s">
        <v>74</v>
      </c>
      <c r="BE126" t="s">
        <v>2776</v>
      </c>
      <c r="BF126" t="str">
        <f>HYPERLINK("http://dx.doi.org/10.1109/LGRS.2016.2595628","http://dx.doi.org/10.1109/LGRS.2016.2595628")</f>
        <v>http://dx.doi.org/10.1109/LGRS.2016.2595628</v>
      </c>
      <c r="BG126" t="s">
        <v>74</v>
      </c>
      <c r="BH126" t="s">
        <v>74</v>
      </c>
      <c r="BI126">
        <v>5</v>
      </c>
      <c r="BJ126" t="s">
        <v>2777</v>
      </c>
      <c r="BK126" t="s">
        <v>156</v>
      </c>
      <c r="BL126" t="s">
        <v>2778</v>
      </c>
      <c r="BM126" t="s">
        <v>2779</v>
      </c>
      <c r="BN126" t="s">
        <v>74</v>
      </c>
      <c r="BO126" t="s">
        <v>74</v>
      </c>
      <c r="BP126" t="s">
        <v>74</v>
      </c>
      <c r="BQ126" t="s">
        <v>74</v>
      </c>
      <c r="BR126" t="s">
        <v>105</v>
      </c>
      <c r="BS126" t="s">
        <v>2780</v>
      </c>
      <c r="BT126" t="str">
        <f>HYPERLINK("https%3A%2F%2Fwww.webofscience.com%2Fwos%2Fwoscc%2Ffull-record%2FWOS:000386253500031","View Full Record in Web of Science")</f>
        <v>View Full Record in Web of Science</v>
      </c>
    </row>
    <row r="127" spans="1:72" x14ac:dyDescent="0.15">
      <c r="A127" t="s">
        <v>72</v>
      </c>
      <c r="B127" t="s">
        <v>2781</v>
      </c>
      <c r="C127" t="s">
        <v>74</v>
      </c>
      <c r="D127" t="s">
        <v>74</v>
      </c>
      <c r="E127" t="s">
        <v>74</v>
      </c>
      <c r="F127" t="s">
        <v>2782</v>
      </c>
      <c r="G127" t="s">
        <v>74</v>
      </c>
      <c r="H127" t="s">
        <v>74</v>
      </c>
      <c r="I127" t="s">
        <v>2783</v>
      </c>
      <c r="J127" t="s">
        <v>2784</v>
      </c>
      <c r="K127" t="s">
        <v>74</v>
      </c>
      <c r="L127" t="s">
        <v>74</v>
      </c>
      <c r="M127" t="s">
        <v>78</v>
      </c>
      <c r="N127" t="s">
        <v>79</v>
      </c>
      <c r="O127" t="s">
        <v>74</v>
      </c>
      <c r="P127" t="s">
        <v>74</v>
      </c>
      <c r="Q127" t="s">
        <v>74</v>
      </c>
      <c r="R127" t="s">
        <v>74</v>
      </c>
      <c r="S127" t="s">
        <v>74</v>
      </c>
      <c r="T127" t="s">
        <v>2785</v>
      </c>
      <c r="U127" t="s">
        <v>2786</v>
      </c>
      <c r="V127" t="s">
        <v>2787</v>
      </c>
      <c r="W127" t="s">
        <v>2788</v>
      </c>
      <c r="X127" t="s">
        <v>2789</v>
      </c>
      <c r="Y127" t="s">
        <v>2790</v>
      </c>
      <c r="Z127" t="s">
        <v>2791</v>
      </c>
      <c r="AA127" t="s">
        <v>2792</v>
      </c>
      <c r="AB127" t="s">
        <v>2793</v>
      </c>
      <c r="AC127" t="s">
        <v>2794</v>
      </c>
      <c r="AD127" t="s">
        <v>2795</v>
      </c>
      <c r="AE127" t="s">
        <v>2796</v>
      </c>
      <c r="AF127" t="s">
        <v>74</v>
      </c>
      <c r="AG127">
        <v>29</v>
      </c>
      <c r="AH127">
        <v>31</v>
      </c>
      <c r="AI127">
        <v>32</v>
      </c>
      <c r="AJ127">
        <v>2</v>
      </c>
      <c r="AK127">
        <v>59</v>
      </c>
      <c r="AL127" t="s">
        <v>952</v>
      </c>
      <c r="AM127" t="s">
        <v>953</v>
      </c>
      <c r="AN127" t="s">
        <v>954</v>
      </c>
      <c r="AO127" t="s">
        <v>2797</v>
      </c>
      <c r="AP127" t="s">
        <v>2798</v>
      </c>
      <c r="AQ127" t="s">
        <v>74</v>
      </c>
      <c r="AR127" t="s">
        <v>2799</v>
      </c>
      <c r="AS127" t="s">
        <v>2800</v>
      </c>
      <c r="AT127" t="s">
        <v>2218</v>
      </c>
      <c r="AU127">
        <v>2016</v>
      </c>
      <c r="AV127">
        <v>53</v>
      </c>
      <c r="AW127" t="s">
        <v>74</v>
      </c>
      <c r="AX127" t="s">
        <v>74</v>
      </c>
      <c r="AY127" t="s">
        <v>74</v>
      </c>
      <c r="AZ127" t="s">
        <v>74</v>
      </c>
      <c r="BA127" t="s">
        <v>74</v>
      </c>
      <c r="BB127">
        <v>77</v>
      </c>
      <c r="BC127">
        <v>84</v>
      </c>
      <c r="BD127" t="s">
        <v>74</v>
      </c>
      <c r="BE127" t="s">
        <v>2801</v>
      </c>
      <c r="BF127" t="str">
        <f>HYPERLINK("http://dx.doi.org/10.1016/j.jfca.2016.09.004","http://dx.doi.org/10.1016/j.jfca.2016.09.004")</f>
        <v>http://dx.doi.org/10.1016/j.jfca.2016.09.004</v>
      </c>
      <c r="BG127" t="s">
        <v>74</v>
      </c>
      <c r="BH127" t="s">
        <v>74</v>
      </c>
      <c r="BI127">
        <v>8</v>
      </c>
      <c r="BJ127" t="s">
        <v>2802</v>
      </c>
      <c r="BK127" t="s">
        <v>156</v>
      </c>
      <c r="BL127" t="s">
        <v>2803</v>
      </c>
      <c r="BM127" t="s">
        <v>2804</v>
      </c>
      <c r="BN127" t="s">
        <v>74</v>
      </c>
      <c r="BO127" t="s">
        <v>74</v>
      </c>
      <c r="BP127" t="s">
        <v>74</v>
      </c>
      <c r="BQ127" t="s">
        <v>74</v>
      </c>
      <c r="BR127" t="s">
        <v>105</v>
      </c>
      <c r="BS127" t="s">
        <v>2805</v>
      </c>
      <c r="BT127" t="str">
        <f>HYPERLINK("https%3A%2F%2Fwww.webofscience.com%2Fwos%2Fwoscc%2Ffull-record%2FWOS:000386407400010","View Full Record in Web of Science")</f>
        <v>View Full Record in Web of Science</v>
      </c>
    </row>
    <row r="128" spans="1:72" x14ac:dyDescent="0.15">
      <c r="A128" t="s">
        <v>72</v>
      </c>
      <c r="B128" t="s">
        <v>2806</v>
      </c>
      <c r="C128" t="s">
        <v>74</v>
      </c>
      <c r="D128" t="s">
        <v>74</v>
      </c>
      <c r="E128" t="s">
        <v>74</v>
      </c>
      <c r="F128" t="s">
        <v>2807</v>
      </c>
      <c r="G128" t="s">
        <v>74</v>
      </c>
      <c r="H128" t="s">
        <v>74</v>
      </c>
      <c r="I128" t="s">
        <v>2808</v>
      </c>
      <c r="J128" t="s">
        <v>489</v>
      </c>
      <c r="K128" t="s">
        <v>74</v>
      </c>
      <c r="L128" t="s">
        <v>74</v>
      </c>
      <c r="M128" t="s">
        <v>78</v>
      </c>
      <c r="N128" t="s">
        <v>79</v>
      </c>
      <c r="O128" t="s">
        <v>74</v>
      </c>
      <c r="P128" t="s">
        <v>74</v>
      </c>
      <c r="Q128" t="s">
        <v>74</v>
      </c>
      <c r="R128" t="s">
        <v>74</v>
      </c>
      <c r="S128" t="s">
        <v>74</v>
      </c>
      <c r="T128" t="s">
        <v>74</v>
      </c>
      <c r="U128" t="s">
        <v>2809</v>
      </c>
      <c r="V128" t="s">
        <v>2810</v>
      </c>
      <c r="W128" t="s">
        <v>2811</v>
      </c>
      <c r="X128" t="s">
        <v>2812</v>
      </c>
      <c r="Y128" t="s">
        <v>2813</v>
      </c>
      <c r="Z128" t="s">
        <v>2814</v>
      </c>
      <c r="AA128" t="s">
        <v>2815</v>
      </c>
      <c r="AB128" t="s">
        <v>2816</v>
      </c>
      <c r="AC128" t="s">
        <v>2817</v>
      </c>
      <c r="AD128" t="s">
        <v>2818</v>
      </c>
      <c r="AE128" t="s">
        <v>2819</v>
      </c>
      <c r="AF128" t="s">
        <v>74</v>
      </c>
      <c r="AG128">
        <v>86</v>
      </c>
      <c r="AH128">
        <v>8</v>
      </c>
      <c r="AI128">
        <v>10</v>
      </c>
      <c r="AJ128">
        <v>0</v>
      </c>
      <c r="AK128">
        <v>8</v>
      </c>
      <c r="AL128" t="s">
        <v>501</v>
      </c>
      <c r="AM128" t="s">
        <v>502</v>
      </c>
      <c r="AN128" t="s">
        <v>503</v>
      </c>
      <c r="AO128" t="s">
        <v>504</v>
      </c>
      <c r="AP128" t="s">
        <v>505</v>
      </c>
      <c r="AQ128" t="s">
        <v>74</v>
      </c>
      <c r="AR128" t="s">
        <v>506</v>
      </c>
      <c r="AS128" t="s">
        <v>507</v>
      </c>
      <c r="AT128" t="s">
        <v>2218</v>
      </c>
      <c r="AU128">
        <v>2016</v>
      </c>
      <c r="AV128">
        <v>51</v>
      </c>
      <c r="AW128">
        <v>10</v>
      </c>
      <c r="AX128" t="s">
        <v>74</v>
      </c>
      <c r="AY128" t="s">
        <v>74</v>
      </c>
      <c r="AZ128" t="s">
        <v>74</v>
      </c>
      <c r="BA128" t="s">
        <v>74</v>
      </c>
      <c r="BB128">
        <v>1795</v>
      </c>
      <c r="BC128">
        <v>1812</v>
      </c>
      <c r="BD128" t="s">
        <v>74</v>
      </c>
      <c r="BE128" t="s">
        <v>2820</v>
      </c>
      <c r="BF128" t="str">
        <f>HYPERLINK("http://dx.doi.org/10.1111/maps.12703","http://dx.doi.org/10.1111/maps.12703")</f>
        <v>http://dx.doi.org/10.1111/maps.12703</v>
      </c>
      <c r="BG128" t="s">
        <v>74</v>
      </c>
      <c r="BH128" t="s">
        <v>74</v>
      </c>
      <c r="BI128">
        <v>18</v>
      </c>
      <c r="BJ128" t="s">
        <v>155</v>
      </c>
      <c r="BK128" t="s">
        <v>156</v>
      </c>
      <c r="BL128" t="s">
        <v>155</v>
      </c>
      <c r="BM128" t="s">
        <v>2821</v>
      </c>
      <c r="BN128" t="s">
        <v>74</v>
      </c>
      <c r="BO128" t="s">
        <v>2822</v>
      </c>
      <c r="BP128" t="s">
        <v>74</v>
      </c>
      <c r="BQ128" t="s">
        <v>74</v>
      </c>
      <c r="BR128" t="s">
        <v>105</v>
      </c>
      <c r="BS128" t="s">
        <v>2823</v>
      </c>
      <c r="BT128" t="str">
        <f>HYPERLINK("https%3A%2F%2Fwww.webofscience.com%2Fwos%2Fwoscc%2Ffull-record%2FWOS:000385960400003","View Full Record in Web of Science")</f>
        <v>View Full Record in Web of Science</v>
      </c>
    </row>
    <row r="129" spans="1:72" x14ac:dyDescent="0.15">
      <c r="A129" t="s">
        <v>72</v>
      </c>
      <c r="B129" t="s">
        <v>2824</v>
      </c>
      <c r="C129" t="s">
        <v>74</v>
      </c>
      <c r="D129" t="s">
        <v>74</v>
      </c>
      <c r="E129" t="s">
        <v>74</v>
      </c>
      <c r="F129" t="s">
        <v>2825</v>
      </c>
      <c r="G129" t="s">
        <v>74</v>
      </c>
      <c r="H129" t="s">
        <v>74</v>
      </c>
      <c r="I129" t="s">
        <v>2826</v>
      </c>
      <c r="J129" t="s">
        <v>2827</v>
      </c>
      <c r="K129" t="s">
        <v>74</v>
      </c>
      <c r="L129" t="s">
        <v>74</v>
      </c>
      <c r="M129" t="s">
        <v>78</v>
      </c>
      <c r="N129" t="s">
        <v>79</v>
      </c>
      <c r="O129" t="s">
        <v>74</v>
      </c>
      <c r="P129" t="s">
        <v>74</v>
      </c>
      <c r="Q129" t="s">
        <v>74</v>
      </c>
      <c r="R129" t="s">
        <v>74</v>
      </c>
      <c r="S129" t="s">
        <v>74</v>
      </c>
      <c r="T129" t="s">
        <v>2828</v>
      </c>
      <c r="U129" t="s">
        <v>74</v>
      </c>
      <c r="V129" t="s">
        <v>2829</v>
      </c>
      <c r="W129" t="s">
        <v>2830</v>
      </c>
      <c r="X129" t="s">
        <v>2831</v>
      </c>
      <c r="Y129" t="s">
        <v>2832</v>
      </c>
      <c r="Z129" t="s">
        <v>2833</v>
      </c>
      <c r="AA129" t="s">
        <v>2834</v>
      </c>
      <c r="AB129" t="s">
        <v>2835</v>
      </c>
      <c r="AC129" t="s">
        <v>2836</v>
      </c>
      <c r="AD129" t="s">
        <v>2837</v>
      </c>
      <c r="AE129" t="s">
        <v>2838</v>
      </c>
      <c r="AF129" t="s">
        <v>74</v>
      </c>
      <c r="AG129">
        <v>33</v>
      </c>
      <c r="AH129">
        <v>8</v>
      </c>
      <c r="AI129">
        <v>11</v>
      </c>
      <c r="AJ129">
        <v>0</v>
      </c>
      <c r="AK129">
        <v>12</v>
      </c>
      <c r="AL129" t="s">
        <v>1059</v>
      </c>
      <c r="AM129" t="s">
        <v>1060</v>
      </c>
      <c r="AN129" t="s">
        <v>1061</v>
      </c>
      <c r="AO129" t="s">
        <v>2839</v>
      </c>
      <c r="AP129" t="s">
        <v>2840</v>
      </c>
      <c r="AQ129" t="s">
        <v>74</v>
      </c>
      <c r="AR129" t="s">
        <v>2841</v>
      </c>
      <c r="AS129" t="s">
        <v>2842</v>
      </c>
      <c r="AT129" t="s">
        <v>2218</v>
      </c>
      <c r="AU129">
        <v>2016</v>
      </c>
      <c r="AV129">
        <v>196</v>
      </c>
      <c r="AW129">
        <v>1</v>
      </c>
      <c r="AX129" t="s">
        <v>74</v>
      </c>
      <c r="AY129" t="s">
        <v>74</v>
      </c>
      <c r="AZ129" t="s">
        <v>74</v>
      </c>
      <c r="BA129" t="s">
        <v>74</v>
      </c>
      <c r="BB129">
        <v>34</v>
      </c>
      <c r="BC129">
        <v>52</v>
      </c>
      <c r="BD129" t="s">
        <v>74</v>
      </c>
      <c r="BE129" t="s">
        <v>2843</v>
      </c>
      <c r="BF129" t="str">
        <f>HYPERLINK("http://dx.doi.org/10.13182/NT15-42","http://dx.doi.org/10.13182/NT15-42")</f>
        <v>http://dx.doi.org/10.13182/NT15-42</v>
      </c>
      <c r="BG129" t="s">
        <v>74</v>
      </c>
      <c r="BH129" t="s">
        <v>74</v>
      </c>
      <c r="BI129">
        <v>19</v>
      </c>
      <c r="BJ129" t="s">
        <v>2844</v>
      </c>
      <c r="BK129" t="s">
        <v>156</v>
      </c>
      <c r="BL129" t="s">
        <v>2844</v>
      </c>
      <c r="BM129" t="s">
        <v>2845</v>
      </c>
      <c r="BN129" t="s">
        <v>74</v>
      </c>
      <c r="BO129" t="s">
        <v>74</v>
      </c>
      <c r="BP129" t="s">
        <v>74</v>
      </c>
      <c r="BQ129" t="s">
        <v>74</v>
      </c>
      <c r="BR129" t="s">
        <v>105</v>
      </c>
      <c r="BS129" t="s">
        <v>2846</v>
      </c>
      <c r="BT129" t="str">
        <f>HYPERLINK("https%3A%2F%2Fwww.webofscience.com%2Fwos%2Fwoscc%2Ffull-record%2FWOS:000386412600003","View Full Record in Web of Science")</f>
        <v>View Full Record in Web of Science</v>
      </c>
    </row>
    <row r="130" spans="1:72" x14ac:dyDescent="0.15">
      <c r="A130" t="s">
        <v>72</v>
      </c>
      <c r="B130" t="s">
        <v>2847</v>
      </c>
      <c r="C130" t="s">
        <v>74</v>
      </c>
      <c r="D130" t="s">
        <v>74</v>
      </c>
      <c r="E130" t="s">
        <v>74</v>
      </c>
      <c r="F130" t="s">
        <v>2848</v>
      </c>
      <c r="G130" t="s">
        <v>74</v>
      </c>
      <c r="H130" t="s">
        <v>74</v>
      </c>
      <c r="I130" t="s">
        <v>2849</v>
      </c>
      <c r="J130" t="s">
        <v>2850</v>
      </c>
      <c r="K130" t="s">
        <v>74</v>
      </c>
      <c r="L130" t="s">
        <v>74</v>
      </c>
      <c r="M130" t="s">
        <v>78</v>
      </c>
      <c r="N130" t="s">
        <v>79</v>
      </c>
      <c r="O130" t="s">
        <v>74</v>
      </c>
      <c r="P130" t="s">
        <v>74</v>
      </c>
      <c r="Q130" t="s">
        <v>74</v>
      </c>
      <c r="R130" t="s">
        <v>74</v>
      </c>
      <c r="S130" t="s">
        <v>74</v>
      </c>
      <c r="T130" t="s">
        <v>2851</v>
      </c>
      <c r="U130" t="s">
        <v>2852</v>
      </c>
      <c r="V130" t="s">
        <v>2853</v>
      </c>
      <c r="W130" t="s">
        <v>2854</v>
      </c>
      <c r="X130" t="s">
        <v>2855</v>
      </c>
      <c r="Y130" t="s">
        <v>2856</v>
      </c>
      <c r="Z130" t="s">
        <v>2857</v>
      </c>
      <c r="AA130" t="s">
        <v>2858</v>
      </c>
      <c r="AB130" t="s">
        <v>2859</v>
      </c>
      <c r="AC130" t="s">
        <v>2860</v>
      </c>
      <c r="AD130" t="s">
        <v>2861</v>
      </c>
      <c r="AE130" t="s">
        <v>2862</v>
      </c>
      <c r="AF130" t="s">
        <v>74</v>
      </c>
      <c r="AG130">
        <v>134</v>
      </c>
      <c r="AH130">
        <v>45</v>
      </c>
      <c r="AI130">
        <v>53</v>
      </c>
      <c r="AJ130">
        <v>0</v>
      </c>
      <c r="AK130">
        <v>12</v>
      </c>
      <c r="AL130" t="s">
        <v>196</v>
      </c>
      <c r="AM130" t="s">
        <v>93</v>
      </c>
      <c r="AN130" t="s">
        <v>197</v>
      </c>
      <c r="AO130" t="s">
        <v>2863</v>
      </c>
      <c r="AP130" t="s">
        <v>2864</v>
      </c>
      <c r="AQ130" t="s">
        <v>74</v>
      </c>
      <c r="AR130" t="s">
        <v>2865</v>
      </c>
      <c r="AS130" t="s">
        <v>2866</v>
      </c>
      <c r="AT130" t="s">
        <v>2218</v>
      </c>
      <c r="AU130">
        <v>2016</v>
      </c>
      <c r="AV130">
        <v>285</v>
      </c>
      <c r="AW130" t="s">
        <v>74</v>
      </c>
      <c r="AX130" t="s">
        <v>74</v>
      </c>
      <c r="AY130" t="s">
        <v>74</v>
      </c>
      <c r="AZ130" t="s">
        <v>74</v>
      </c>
      <c r="BA130" t="s">
        <v>74</v>
      </c>
      <c r="BB130">
        <v>242</v>
      </c>
      <c r="BC130">
        <v>271</v>
      </c>
      <c r="BD130" t="s">
        <v>74</v>
      </c>
      <c r="BE130" t="s">
        <v>2867</v>
      </c>
      <c r="BF130" t="str">
        <f>HYPERLINK("http://dx.doi.org/10.1016/j.precamres.2016.09.001","http://dx.doi.org/10.1016/j.precamres.2016.09.001")</f>
        <v>http://dx.doi.org/10.1016/j.precamres.2016.09.001</v>
      </c>
      <c r="BG130" t="s">
        <v>74</v>
      </c>
      <c r="BH130" t="s">
        <v>74</v>
      </c>
      <c r="BI130">
        <v>30</v>
      </c>
      <c r="BJ130" t="s">
        <v>352</v>
      </c>
      <c r="BK130" t="s">
        <v>156</v>
      </c>
      <c r="BL130" t="s">
        <v>177</v>
      </c>
      <c r="BM130" t="s">
        <v>2868</v>
      </c>
      <c r="BN130" t="s">
        <v>74</v>
      </c>
      <c r="BO130" t="s">
        <v>104</v>
      </c>
      <c r="BP130" t="s">
        <v>74</v>
      </c>
      <c r="BQ130" t="s">
        <v>74</v>
      </c>
      <c r="BR130" t="s">
        <v>105</v>
      </c>
      <c r="BS130" t="s">
        <v>2869</v>
      </c>
      <c r="BT130" t="str">
        <f>HYPERLINK("https%3A%2F%2Fwww.webofscience.com%2Fwos%2Fwoscc%2Ffull-record%2FWOS:000386404500015","View Full Record in Web of Science")</f>
        <v>View Full Record in Web of Science</v>
      </c>
    </row>
    <row r="131" spans="1:72" x14ac:dyDescent="0.15">
      <c r="A131" t="s">
        <v>72</v>
      </c>
      <c r="B131" t="s">
        <v>2870</v>
      </c>
      <c r="C131" t="s">
        <v>74</v>
      </c>
      <c r="D131" t="s">
        <v>74</v>
      </c>
      <c r="E131" t="s">
        <v>74</v>
      </c>
      <c r="F131" t="s">
        <v>2871</v>
      </c>
      <c r="G131" t="s">
        <v>74</v>
      </c>
      <c r="H131" t="s">
        <v>74</v>
      </c>
      <c r="I131" t="s">
        <v>2872</v>
      </c>
      <c r="J131" t="s">
        <v>2873</v>
      </c>
      <c r="K131" t="s">
        <v>74</v>
      </c>
      <c r="L131" t="s">
        <v>74</v>
      </c>
      <c r="M131" t="s">
        <v>78</v>
      </c>
      <c r="N131" t="s">
        <v>79</v>
      </c>
      <c r="O131" t="s">
        <v>74</v>
      </c>
      <c r="P131" t="s">
        <v>74</v>
      </c>
      <c r="Q131" t="s">
        <v>74</v>
      </c>
      <c r="R131" t="s">
        <v>74</v>
      </c>
      <c r="S131" t="s">
        <v>74</v>
      </c>
      <c r="T131" t="s">
        <v>2874</v>
      </c>
      <c r="U131" t="s">
        <v>2875</v>
      </c>
      <c r="V131" t="s">
        <v>2876</v>
      </c>
      <c r="W131" t="s">
        <v>2877</v>
      </c>
      <c r="X131" t="s">
        <v>2878</v>
      </c>
      <c r="Y131" t="s">
        <v>2879</v>
      </c>
      <c r="Z131" t="s">
        <v>2880</v>
      </c>
      <c r="AA131" t="s">
        <v>2881</v>
      </c>
      <c r="AB131" t="s">
        <v>2882</v>
      </c>
      <c r="AC131" t="s">
        <v>2883</v>
      </c>
      <c r="AD131" t="s">
        <v>2883</v>
      </c>
      <c r="AE131" t="s">
        <v>2884</v>
      </c>
      <c r="AF131" t="s">
        <v>74</v>
      </c>
      <c r="AG131">
        <v>50</v>
      </c>
      <c r="AH131">
        <v>19</v>
      </c>
      <c r="AI131">
        <v>21</v>
      </c>
      <c r="AJ131">
        <v>0</v>
      </c>
      <c r="AK131">
        <v>28</v>
      </c>
      <c r="AL131" t="s">
        <v>644</v>
      </c>
      <c r="AM131" t="s">
        <v>594</v>
      </c>
      <c r="AN131" t="s">
        <v>645</v>
      </c>
      <c r="AO131" t="s">
        <v>2885</v>
      </c>
      <c r="AP131" t="s">
        <v>2886</v>
      </c>
      <c r="AQ131" t="s">
        <v>74</v>
      </c>
      <c r="AR131" t="s">
        <v>2887</v>
      </c>
      <c r="AS131" t="s">
        <v>2888</v>
      </c>
      <c r="AT131" t="s">
        <v>2218</v>
      </c>
      <c r="AU131">
        <v>2016</v>
      </c>
      <c r="AV131">
        <v>180</v>
      </c>
      <c r="AW131">
        <v>3</v>
      </c>
      <c r="AX131" t="s">
        <v>74</v>
      </c>
      <c r="AY131" t="s">
        <v>74</v>
      </c>
      <c r="AZ131" t="s">
        <v>74</v>
      </c>
      <c r="BA131" t="s">
        <v>74</v>
      </c>
      <c r="BB131">
        <v>477</v>
      </c>
      <c r="BC131">
        <v>490</v>
      </c>
      <c r="BD131" t="s">
        <v>74</v>
      </c>
      <c r="BE131" t="s">
        <v>2889</v>
      </c>
      <c r="BF131" t="str">
        <f>HYPERLINK("http://dx.doi.org/10.1007/s12010-016-2111-y","http://dx.doi.org/10.1007/s12010-016-2111-y")</f>
        <v>http://dx.doi.org/10.1007/s12010-016-2111-y</v>
      </c>
      <c r="BG131" t="s">
        <v>74</v>
      </c>
      <c r="BH131" t="s">
        <v>74</v>
      </c>
      <c r="BI131">
        <v>14</v>
      </c>
      <c r="BJ131" t="s">
        <v>2890</v>
      </c>
      <c r="BK131" t="s">
        <v>156</v>
      </c>
      <c r="BL131" t="s">
        <v>2890</v>
      </c>
      <c r="BM131" t="s">
        <v>2891</v>
      </c>
      <c r="BN131">
        <v>27188973</v>
      </c>
      <c r="BO131" t="s">
        <v>74</v>
      </c>
      <c r="BP131" t="s">
        <v>74</v>
      </c>
      <c r="BQ131" t="s">
        <v>74</v>
      </c>
      <c r="BR131" t="s">
        <v>105</v>
      </c>
      <c r="BS131" t="s">
        <v>2892</v>
      </c>
      <c r="BT131" t="str">
        <f>HYPERLINK("https%3A%2F%2Fwww.webofscience.com%2Fwos%2Fwoscc%2Ffull-record%2FWOS:000385135900007","View Full Record in Web of Science")</f>
        <v>View Full Record in Web of Science</v>
      </c>
    </row>
    <row r="132" spans="1:72" x14ac:dyDescent="0.15">
      <c r="A132" t="s">
        <v>72</v>
      </c>
      <c r="B132" t="s">
        <v>2893</v>
      </c>
      <c r="C132" t="s">
        <v>74</v>
      </c>
      <c r="D132" t="s">
        <v>74</v>
      </c>
      <c r="E132" t="s">
        <v>74</v>
      </c>
      <c r="F132" t="s">
        <v>2894</v>
      </c>
      <c r="G132" t="s">
        <v>74</v>
      </c>
      <c r="H132" t="s">
        <v>74</v>
      </c>
      <c r="I132" t="s">
        <v>2895</v>
      </c>
      <c r="J132" t="s">
        <v>2896</v>
      </c>
      <c r="K132" t="s">
        <v>74</v>
      </c>
      <c r="L132" t="s">
        <v>74</v>
      </c>
      <c r="M132" t="s">
        <v>78</v>
      </c>
      <c r="N132" t="s">
        <v>79</v>
      </c>
      <c r="O132" t="s">
        <v>74</v>
      </c>
      <c r="P132" t="s">
        <v>74</v>
      </c>
      <c r="Q132" t="s">
        <v>74</v>
      </c>
      <c r="R132" t="s">
        <v>74</v>
      </c>
      <c r="S132" t="s">
        <v>74</v>
      </c>
      <c r="T132" t="s">
        <v>74</v>
      </c>
      <c r="U132" t="s">
        <v>2897</v>
      </c>
      <c r="V132" t="s">
        <v>2898</v>
      </c>
      <c r="W132" t="s">
        <v>2899</v>
      </c>
      <c r="X132" t="s">
        <v>2900</v>
      </c>
      <c r="Y132" t="s">
        <v>2901</v>
      </c>
      <c r="Z132" t="s">
        <v>2902</v>
      </c>
      <c r="AA132" t="s">
        <v>2903</v>
      </c>
      <c r="AB132" t="s">
        <v>2904</v>
      </c>
      <c r="AC132" t="s">
        <v>2905</v>
      </c>
      <c r="AD132" t="s">
        <v>2905</v>
      </c>
      <c r="AE132" t="s">
        <v>2906</v>
      </c>
      <c r="AF132" t="s">
        <v>74</v>
      </c>
      <c r="AG132">
        <v>77</v>
      </c>
      <c r="AH132">
        <v>18</v>
      </c>
      <c r="AI132">
        <v>18</v>
      </c>
      <c r="AJ132">
        <v>0</v>
      </c>
      <c r="AK132">
        <v>5</v>
      </c>
      <c r="AL132" t="s">
        <v>501</v>
      </c>
      <c r="AM132" t="s">
        <v>502</v>
      </c>
      <c r="AN132" t="s">
        <v>503</v>
      </c>
      <c r="AO132" t="s">
        <v>2907</v>
      </c>
      <c r="AP132" t="s">
        <v>2908</v>
      </c>
      <c r="AQ132" t="s">
        <v>74</v>
      </c>
      <c r="AR132" t="s">
        <v>2896</v>
      </c>
      <c r="AS132" t="s">
        <v>2909</v>
      </c>
      <c r="AT132" t="s">
        <v>2218</v>
      </c>
      <c r="AU132">
        <v>2016</v>
      </c>
      <c r="AV132">
        <v>45</v>
      </c>
      <c r="AW132">
        <v>4</v>
      </c>
      <c r="AX132" t="s">
        <v>74</v>
      </c>
      <c r="AY132" t="s">
        <v>74</v>
      </c>
      <c r="AZ132" t="s">
        <v>74</v>
      </c>
      <c r="BA132" t="s">
        <v>74</v>
      </c>
      <c r="BB132">
        <v>629</v>
      </c>
      <c r="BC132">
        <v>643</v>
      </c>
      <c r="BD132" t="s">
        <v>74</v>
      </c>
      <c r="BE132" t="s">
        <v>2910</v>
      </c>
      <c r="BF132" t="str">
        <f>HYPERLINK("http://dx.doi.org/10.1111/bor.12176","http://dx.doi.org/10.1111/bor.12176")</f>
        <v>http://dx.doi.org/10.1111/bor.12176</v>
      </c>
      <c r="BG132" t="s">
        <v>74</v>
      </c>
      <c r="BH132" t="s">
        <v>74</v>
      </c>
      <c r="BI132">
        <v>15</v>
      </c>
      <c r="BJ132" t="s">
        <v>203</v>
      </c>
      <c r="BK132" t="s">
        <v>156</v>
      </c>
      <c r="BL132" t="s">
        <v>204</v>
      </c>
      <c r="BM132" t="s">
        <v>2911</v>
      </c>
      <c r="BN132" t="s">
        <v>74</v>
      </c>
      <c r="BO132" t="s">
        <v>74</v>
      </c>
      <c r="BP132" t="s">
        <v>74</v>
      </c>
      <c r="BQ132" t="s">
        <v>74</v>
      </c>
      <c r="BR132" t="s">
        <v>105</v>
      </c>
      <c r="BS132" t="s">
        <v>2912</v>
      </c>
      <c r="BT132" t="str">
        <f>HYPERLINK("https%3A%2F%2Fwww.webofscience.com%2Fwos%2Fwoscc%2Ffull-record%2FWOS:000385405900004","View Full Record in Web of Science")</f>
        <v>View Full Record in Web of Science</v>
      </c>
    </row>
    <row r="133" spans="1:72" x14ac:dyDescent="0.15">
      <c r="A133" t="s">
        <v>72</v>
      </c>
      <c r="B133" t="s">
        <v>2913</v>
      </c>
      <c r="C133" t="s">
        <v>74</v>
      </c>
      <c r="D133" t="s">
        <v>74</v>
      </c>
      <c r="E133" t="s">
        <v>74</v>
      </c>
      <c r="F133" t="s">
        <v>2914</v>
      </c>
      <c r="G133" t="s">
        <v>74</v>
      </c>
      <c r="H133" t="s">
        <v>74</v>
      </c>
      <c r="I133" t="s">
        <v>2915</v>
      </c>
      <c r="J133" t="s">
        <v>2916</v>
      </c>
      <c r="K133" t="s">
        <v>74</v>
      </c>
      <c r="L133" t="s">
        <v>74</v>
      </c>
      <c r="M133" t="s">
        <v>78</v>
      </c>
      <c r="N133" t="s">
        <v>79</v>
      </c>
      <c r="O133" t="s">
        <v>74</v>
      </c>
      <c r="P133" t="s">
        <v>74</v>
      </c>
      <c r="Q133" t="s">
        <v>74</v>
      </c>
      <c r="R133" t="s">
        <v>74</v>
      </c>
      <c r="S133" t="s">
        <v>74</v>
      </c>
      <c r="T133" t="s">
        <v>2917</v>
      </c>
      <c r="U133" t="s">
        <v>2918</v>
      </c>
      <c r="V133" t="s">
        <v>2919</v>
      </c>
      <c r="W133" t="s">
        <v>2920</v>
      </c>
      <c r="X133" t="s">
        <v>2921</v>
      </c>
      <c r="Y133" t="s">
        <v>2922</v>
      </c>
      <c r="Z133" t="s">
        <v>2923</v>
      </c>
      <c r="AA133" t="s">
        <v>2924</v>
      </c>
      <c r="AB133" t="s">
        <v>2925</v>
      </c>
      <c r="AC133" t="s">
        <v>2926</v>
      </c>
      <c r="AD133" t="s">
        <v>2927</v>
      </c>
      <c r="AE133" t="s">
        <v>2928</v>
      </c>
      <c r="AF133" t="s">
        <v>74</v>
      </c>
      <c r="AG133">
        <v>56</v>
      </c>
      <c r="AH133">
        <v>1</v>
      </c>
      <c r="AI133">
        <v>1</v>
      </c>
      <c r="AJ133">
        <v>0</v>
      </c>
      <c r="AK133">
        <v>15</v>
      </c>
      <c r="AL133" t="s">
        <v>2929</v>
      </c>
      <c r="AM133" t="s">
        <v>575</v>
      </c>
      <c r="AN133" t="s">
        <v>2930</v>
      </c>
      <c r="AO133" t="s">
        <v>2931</v>
      </c>
      <c r="AP133" t="s">
        <v>2932</v>
      </c>
      <c r="AQ133" t="s">
        <v>74</v>
      </c>
      <c r="AR133" t="s">
        <v>2933</v>
      </c>
      <c r="AS133" t="s">
        <v>2934</v>
      </c>
      <c r="AT133" t="s">
        <v>2218</v>
      </c>
      <c r="AU133">
        <v>2016</v>
      </c>
      <c r="AV133">
        <v>59</v>
      </c>
      <c r="AW133">
        <v>5</v>
      </c>
      <c r="AX133" t="s">
        <v>74</v>
      </c>
      <c r="AY133" t="s">
        <v>74</v>
      </c>
      <c r="AZ133" t="s">
        <v>74</v>
      </c>
      <c r="BA133" t="s">
        <v>74</v>
      </c>
      <c r="BB133">
        <v>373</v>
      </c>
      <c r="BC133">
        <v>385</v>
      </c>
      <c r="BD133" t="s">
        <v>74</v>
      </c>
      <c r="BE133" t="s">
        <v>2935</v>
      </c>
      <c r="BF133" t="str">
        <f>HYPERLINK("http://dx.doi.org/10.1515/bot-2016-0059","http://dx.doi.org/10.1515/bot-2016-0059")</f>
        <v>http://dx.doi.org/10.1515/bot-2016-0059</v>
      </c>
      <c r="BG133" t="s">
        <v>74</v>
      </c>
      <c r="BH133" t="s">
        <v>74</v>
      </c>
      <c r="BI133">
        <v>13</v>
      </c>
      <c r="BJ133" t="s">
        <v>2936</v>
      </c>
      <c r="BK133" t="s">
        <v>156</v>
      </c>
      <c r="BL133" t="s">
        <v>2936</v>
      </c>
      <c r="BM133" t="s">
        <v>2937</v>
      </c>
      <c r="BN133" t="s">
        <v>74</v>
      </c>
      <c r="BO133" t="s">
        <v>2822</v>
      </c>
      <c r="BP133" t="s">
        <v>74</v>
      </c>
      <c r="BQ133" t="s">
        <v>74</v>
      </c>
      <c r="BR133" t="s">
        <v>105</v>
      </c>
      <c r="BS133" t="s">
        <v>2938</v>
      </c>
      <c r="BT133" t="str">
        <f>HYPERLINK("https%3A%2F%2Fwww.webofscience.com%2Fwos%2Fwoscc%2Ffull-record%2FWOS:000385380000007","View Full Record in Web of Science")</f>
        <v>View Full Record in Web of Science</v>
      </c>
    </row>
    <row r="134" spans="1:72" x14ac:dyDescent="0.15">
      <c r="A134" t="s">
        <v>72</v>
      </c>
      <c r="B134" t="s">
        <v>2939</v>
      </c>
      <c r="C134" t="s">
        <v>74</v>
      </c>
      <c r="D134" t="s">
        <v>74</v>
      </c>
      <c r="E134" t="s">
        <v>74</v>
      </c>
      <c r="F134" t="s">
        <v>2940</v>
      </c>
      <c r="G134" t="s">
        <v>74</v>
      </c>
      <c r="H134" t="s">
        <v>74</v>
      </c>
      <c r="I134" t="s">
        <v>2941</v>
      </c>
      <c r="J134" t="s">
        <v>2942</v>
      </c>
      <c r="K134" t="s">
        <v>74</v>
      </c>
      <c r="L134" t="s">
        <v>74</v>
      </c>
      <c r="M134" t="s">
        <v>78</v>
      </c>
      <c r="N134" t="s">
        <v>79</v>
      </c>
      <c r="O134" t="s">
        <v>74</v>
      </c>
      <c r="P134" t="s">
        <v>74</v>
      </c>
      <c r="Q134" t="s">
        <v>74</v>
      </c>
      <c r="R134" t="s">
        <v>74</v>
      </c>
      <c r="S134" t="s">
        <v>74</v>
      </c>
      <c r="T134" t="s">
        <v>2943</v>
      </c>
      <c r="U134" t="s">
        <v>2944</v>
      </c>
      <c r="V134" t="s">
        <v>2945</v>
      </c>
      <c r="W134" t="s">
        <v>2946</v>
      </c>
      <c r="X134" t="s">
        <v>2947</v>
      </c>
      <c r="Y134" t="s">
        <v>2948</v>
      </c>
      <c r="Z134" t="s">
        <v>2949</v>
      </c>
      <c r="AA134" t="s">
        <v>2950</v>
      </c>
      <c r="AB134" t="s">
        <v>2951</v>
      </c>
      <c r="AC134" t="s">
        <v>2952</v>
      </c>
      <c r="AD134" t="s">
        <v>2953</v>
      </c>
      <c r="AE134" t="s">
        <v>2954</v>
      </c>
      <c r="AF134" t="s">
        <v>74</v>
      </c>
      <c r="AG134">
        <v>85</v>
      </c>
      <c r="AH134">
        <v>21</v>
      </c>
      <c r="AI134">
        <v>23</v>
      </c>
      <c r="AJ134">
        <v>2</v>
      </c>
      <c r="AK134">
        <v>53</v>
      </c>
      <c r="AL134" t="s">
        <v>501</v>
      </c>
      <c r="AM134" t="s">
        <v>502</v>
      </c>
      <c r="AN134" t="s">
        <v>503</v>
      </c>
      <c r="AO134" t="s">
        <v>2955</v>
      </c>
      <c r="AP134" t="s">
        <v>2956</v>
      </c>
      <c r="AQ134" t="s">
        <v>74</v>
      </c>
      <c r="AR134" t="s">
        <v>2957</v>
      </c>
      <c r="AS134" t="s">
        <v>2958</v>
      </c>
      <c r="AT134" t="s">
        <v>2218</v>
      </c>
      <c r="AU134">
        <v>2016</v>
      </c>
      <c r="AV134">
        <v>30</v>
      </c>
      <c r="AW134">
        <v>10</v>
      </c>
      <c r="AX134" t="s">
        <v>74</v>
      </c>
      <c r="AY134" t="s">
        <v>74</v>
      </c>
      <c r="AZ134" t="s">
        <v>74</v>
      </c>
      <c r="BA134" t="s">
        <v>74</v>
      </c>
      <c r="BB134">
        <v>1623</v>
      </c>
      <c r="BC134">
        <v>1637</v>
      </c>
      <c r="BD134" t="s">
        <v>74</v>
      </c>
      <c r="BE134" t="s">
        <v>2959</v>
      </c>
      <c r="BF134" t="str">
        <f>HYPERLINK("http://dx.doi.org/10.1111/1365-2435.12636","http://dx.doi.org/10.1111/1365-2435.12636")</f>
        <v>http://dx.doi.org/10.1111/1365-2435.12636</v>
      </c>
      <c r="BG134" t="s">
        <v>74</v>
      </c>
      <c r="BH134" t="s">
        <v>74</v>
      </c>
      <c r="BI134">
        <v>15</v>
      </c>
      <c r="BJ134" t="s">
        <v>531</v>
      </c>
      <c r="BK134" t="s">
        <v>156</v>
      </c>
      <c r="BL134" t="s">
        <v>532</v>
      </c>
      <c r="BM134" t="s">
        <v>2960</v>
      </c>
      <c r="BN134" t="s">
        <v>74</v>
      </c>
      <c r="BO134" t="s">
        <v>258</v>
      </c>
      <c r="BP134" t="s">
        <v>74</v>
      </c>
      <c r="BQ134" t="s">
        <v>74</v>
      </c>
      <c r="BR134" t="s">
        <v>105</v>
      </c>
      <c r="BS134" t="s">
        <v>2961</v>
      </c>
      <c r="BT134" t="str">
        <f>HYPERLINK("https%3A%2F%2Fwww.webofscience.com%2Fwos%2Fwoscc%2Ffull-record%2FWOS:000385511500002","View Full Record in Web of Science")</f>
        <v>View Full Record in Web of Science</v>
      </c>
    </row>
    <row r="135" spans="1:72" x14ac:dyDescent="0.15">
      <c r="A135" t="s">
        <v>72</v>
      </c>
      <c r="B135" t="s">
        <v>2962</v>
      </c>
      <c r="C135" t="s">
        <v>74</v>
      </c>
      <c r="D135" t="s">
        <v>74</v>
      </c>
      <c r="E135" t="s">
        <v>74</v>
      </c>
      <c r="F135" t="s">
        <v>2963</v>
      </c>
      <c r="G135" t="s">
        <v>74</v>
      </c>
      <c r="H135" t="s">
        <v>74</v>
      </c>
      <c r="I135" t="s">
        <v>2964</v>
      </c>
      <c r="J135" t="s">
        <v>2965</v>
      </c>
      <c r="K135" t="s">
        <v>74</v>
      </c>
      <c r="L135" t="s">
        <v>74</v>
      </c>
      <c r="M135" t="s">
        <v>78</v>
      </c>
      <c r="N135" t="s">
        <v>79</v>
      </c>
      <c r="O135" t="s">
        <v>74</v>
      </c>
      <c r="P135" t="s">
        <v>74</v>
      </c>
      <c r="Q135" t="s">
        <v>74</v>
      </c>
      <c r="R135" t="s">
        <v>74</v>
      </c>
      <c r="S135" t="s">
        <v>74</v>
      </c>
      <c r="T135" t="s">
        <v>2966</v>
      </c>
      <c r="U135" t="s">
        <v>2967</v>
      </c>
      <c r="V135" t="s">
        <v>2968</v>
      </c>
      <c r="W135" t="s">
        <v>2969</v>
      </c>
      <c r="X135" t="s">
        <v>2970</v>
      </c>
      <c r="Y135" t="s">
        <v>2971</v>
      </c>
      <c r="Z135" t="s">
        <v>2972</v>
      </c>
      <c r="AA135" t="s">
        <v>2973</v>
      </c>
      <c r="AB135" t="s">
        <v>2974</v>
      </c>
      <c r="AC135" t="s">
        <v>2975</v>
      </c>
      <c r="AD135" t="s">
        <v>2976</v>
      </c>
      <c r="AE135" t="s">
        <v>2977</v>
      </c>
      <c r="AF135" t="s">
        <v>74</v>
      </c>
      <c r="AG135">
        <v>81</v>
      </c>
      <c r="AH135">
        <v>24</v>
      </c>
      <c r="AI135">
        <v>28</v>
      </c>
      <c r="AJ135">
        <v>2</v>
      </c>
      <c r="AK135">
        <v>41</v>
      </c>
      <c r="AL135" t="s">
        <v>303</v>
      </c>
      <c r="AM135" t="s">
        <v>304</v>
      </c>
      <c r="AN135" t="s">
        <v>305</v>
      </c>
      <c r="AO135" t="s">
        <v>2978</v>
      </c>
      <c r="AP135" t="s">
        <v>2979</v>
      </c>
      <c r="AQ135" t="s">
        <v>74</v>
      </c>
      <c r="AR135" t="s">
        <v>2980</v>
      </c>
      <c r="AS135" t="s">
        <v>2981</v>
      </c>
      <c r="AT135" t="s">
        <v>2218</v>
      </c>
      <c r="AU135">
        <v>2016</v>
      </c>
      <c r="AV135">
        <v>77</v>
      </c>
      <c r="AW135" t="s">
        <v>74</v>
      </c>
      <c r="AX135" t="s">
        <v>74</v>
      </c>
      <c r="AY135" t="s">
        <v>74</v>
      </c>
      <c r="AZ135" t="s">
        <v>74</v>
      </c>
      <c r="BA135" t="s">
        <v>74</v>
      </c>
      <c r="BB135">
        <v>39</v>
      </c>
      <c r="BC135">
        <v>51</v>
      </c>
      <c r="BD135" t="s">
        <v>74</v>
      </c>
      <c r="BE135" t="s">
        <v>2982</v>
      </c>
      <c r="BF135" t="str">
        <f>HYPERLINK("http://dx.doi.org/10.1016/j.ibmb.2016.07.010","http://dx.doi.org/10.1016/j.ibmb.2016.07.010")</f>
        <v>http://dx.doi.org/10.1016/j.ibmb.2016.07.010</v>
      </c>
      <c r="BG135" t="s">
        <v>74</v>
      </c>
      <c r="BH135" t="s">
        <v>74</v>
      </c>
      <c r="BI135">
        <v>13</v>
      </c>
      <c r="BJ135" t="s">
        <v>2983</v>
      </c>
      <c r="BK135" t="s">
        <v>156</v>
      </c>
      <c r="BL135" t="s">
        <v>2983</v>
      </c>
      <c r="BM135" t="s">
        <v>2984</v>
      </c>
      <c r="BN135">
        <v>27491441</v>
      </c>
      <c r="BO135" t="s">
        <v>104</v>
      </c>
      <c r="BP135" t="s">
        <v>74</v>
      </c>
      <c r="BQ135" t="s">
        <v>74</v>
      </c>
      <c r="BR135" t="s">
        <v>105</v>
      </c>
      <c r="BS135" t="s">
        <v>2985</v>
      </c>
      <c r="BT135" t="str">
        <f>HYPERLINK("https%3A%2F%2Fwww.webofscience.com%2Fwos%2Fwoscc%2Ffull-record%2FWOS:000385321700005","View Full Record in Web of Science")</f>
        <v>View Full Record in Web of Science</v>
      </c>
    </row>
    <row r="136" spans="1:72" x14ac:dyDescent="0.15">
      <c r="A136" t="s">
        <v>72</v>
      </c>
      <c r="B136" t="s">
        <v>2986</v>
      </c>
      <c r="C136" t="s">
        <v>74</v>
      </c>
      <c r="D136" t="s">
        <v>74</v>
      </c>
      <c r="E136" t="s">
        <v>74</v>
      </c>
      <c r="F136" t="s">
        <v>2987</v>
      </c>
      <c r="G136" t="s">
        <v>74</v>
      </c>
      <c r="H136" t="s">
        <v>74</v>
      </c>
      <c r="I136" t="s">
        <v>2988</v>
      </c>
      <c r="J136" t="s">
        <v>2989</v>
      </c>
      <c r="K136" t="s">
        <v>74</v>
      </c>
      <c r="L136" t="s">
        <v>74</v>
      </c>
      <c r="M136" t="s">
        <v>78</v>
      </c>
      <c r="N136" t="s">
        <v>79</v>
      </c>
      <c r="O136" t="s">
        <v>74</v>
      </c>
      <c r="P136" t="s">
        <v>74</v>
      </c>
      <c r="Q136" t="s">
        <v>74</v>
      </c>
      <c r="R136" t="s">
        <v>74</v>
      </c>
      <c r="S136" t="s">
        <v>74</v>
      </c>
      <c r="T136" t="s">
        <v>2990</v>
      </c>
      <c r="U136" t="s">
        <v>2991</v>
      </c>
      <c r="V136" t="s">
        <v>2992</v>
      </c>
      <c r="W136" t="s">
        <v>2993</v>
      </c>
      <c r="X136" t="s">
        <v>2994</v>
      </c>
      <c r="Y136" t="s">
        <v>2995</v>
      </c>
      <c r="Z136" t="s">
        <v>2996</v>
      </c>
      <c r="AA136" t="s">
        <v>74</v>
      </c>
      <c r="AB136" t="s">
        <v>2997</v>
      </c>
      <c r="AC136" t="s">
        <v>2998</v>
      </c>
      <c r="AD136" t="s">
        <v>2998</v>
      </c>
      <c r="AE136" t="s">
        <v>2999</v>
      </c>
      <c r="AF136" t="s">
        <v>74</v>
      </c>
      <c r="AG136">
        <v>28</v>
      </c>
      <c r="AH136">
        <v>5</v>
      </c>
      <c r="AI136">
        <v>5</v>
      </c>
      <c r="AJ136">
        <v>3</v>
      </c>
      <c r="AK136">
        <v>22</v>
      </c>
      <c r="AL136" t="s">
        <v>3000</v>
      </c>
      <c r="AM136" t="s">
        <v>3001</v>
      </c>
      <c r="AN136" t="s">
        <v>3002</v>
      </c>
      <c r="AO136" t="s">
        <v>3003</v>
      </c>
      <c r="AP136" t="s">
        <v>3004</v>
      </c>
      <c r="AQ136" t="s">
        <v>74</v>
      </c>
      <c r="AR136" t="s">
        <v>3005</v>
      </c>
      <c r="AS136" t="s">
        <v>3006</v>
      </c>
      <c r="AT136" t="s">
        <v>2218</v>
      </c>
      <c r="AU136">
        <v>2016</v>
      </c>
      <c r="AV136">
        <v>52</v>
      </c>
      <c r="AW136">
        <v>4</v>
      </c>
      <c r="AX136" t="s">
        <v>74</v>
      </c>
      <c r="AY136" t="s">
        <v>74</v>
      </c>
      <c r="AZ136" t="s">
        <v>74</v>
      </c>
      <c r="BA136" t="s">
        <v>74</v>
      </c>
      <c r="BB136">
        <v>809</v>
      </c>
      <c r="BC136">
        <v>816</v>
      </c>
      <c r="BD136" t="s">
        <v>74</v>
      </c>
      <c r="BE136" t="s">
        <v>3007</v>
      </c>
      <c r="BF136" t="str">
        <f>HYPERLINK("http://dx.doi.org/10.7589/2015-11-305","http://dx.doi.org/10.7589/2015-11-305")</f>
        <v>http://dx.doi.org/10.7589/2015-11-305</v>
      </c>
      <c r="BG136" t="s">
        <v>74</v>
      </c>
      <c r="BH136" t="s">
        <v>74</v>
      </c>
      <c r="BI136">
        <v>8</v>
      </c>
      <c r="BJ136" t="s">
        <v>3008</v>
      </c>
      <c r="BK136" t="s">
        <v>156</v>
      </c>
      <c r="BL136" t="s">
        <v>3008</v>
      </c>
      <c r="BM136" t="s">
        <v>3009</v>
      </c>
      <c r="BN136">
        <v>27505039</v>
      </c>
      <c r="BO136" t="s">
        <v>74</v>
      </c>
      <c r="BP136" t="s">
        <v>74</v>
      </c>
      <c r="BQ136" t="s">
        <v>74</v>
      </c>
      <c r="BR136" t="s">
        <v>105</v>
      </c>
      <c r="BS136" t="s">
        <v>3010</v>
      </c>
      <c r="BT136" t="str">
        <f>HYPERLINK("https%3A%2F%2Fwww.webofscience.com%2Fwos%2Fwoscc%2Ffull-record%2FWOS:000385846300005","View Full Record in Web of Science")</f>
        <v>View Full Record in Web of Science</v>
      </c>
    </row>
    <row r="137" spans="1:72" x14ac:dyDescent="0.15">
      <c r="A137" t="s">
        <v>72</v>
      </c>
      <c r="B137" t="s">
        <v>3011</v>
      </c>
      <c r="C137" t="s">
        <v>74</v>
      </c>
      <c r="D137" t="s">
        <v>74</v>
      </c>
      <c r="E137" t="s">
        <v>74</v>
      </c>
      <c r="F137" t="s">
        <v>3012</v>
      </c>
      <c r="G137" t="s">
        <v>74</v>
      </c>
      <c r="H137" t="s">
        <v>74</v>
      </c>
      <c r="I137" t="s">
        <v>3013</v>
      </c>
      <c r="J137" t="s">
        <v>3014</v>
      </c>
      <c r="K137" t="s">
        <v>74</v>
      </c>
      <c r="L137" t="s">
        <v>74</v>
      </c>
      <c r="M137" t="s">
        <v>78</v>
      </c>
      <c r="N137" t="s">
        <v>79</v>
      </c>
      <c r="O137" t="s">
        <v>74</v>
      </c>
      <c r="P137" t="s">
        <v>74</v>
      </c>
      <c r="Q137" t="s">
        <v>74</v>
      </c>
      <c r="R137" t="s">
        <v>74</v>
      </c>
      <c r="S137" t="s">
        <v>74</v>
      </c>
      <c r="T137" t="s">
        <v>3015</v>
      </c>
      <c r="U137" t="s">
        <v>3016</v>
      </c>
      <c r="V137" t="s">
        <v>3017</v>
      </c>
      <c r="W137" t="s">
        <v>3018</v>
      </c>
      <c r="X137" t="s">
        <v>3019</v>
      </c>
      <c r="Y137" t="s">
        <v>3020</v>
      </c>
      <c r="Z137" t="s">
        <v>3021</v>
      </c>
      <c r="AA137" t="s">
        <v>74</v>
      </c>
      <c r="AB137" t="s">
        <v>74</v>
      </c>
      <c r="AC137" t="s">
        <v>3022</v>
      </c>
      <c r="AD137" t="s">
        <v>3023</v>
      </c>
      <c r="AE137" t="s">
        <v>3024</v>
      </c>
      <c r="AF137" t="s">
        <v>74</v>
      </c>
      <c r="AG137">
        <v>74</v>
      </c>
      <c r="AH137">
        <v>18</v>
      </c>
      <c r="AI137">
        <v>18</v>
      </c>
      <c r="AJ137">
        <v>1</v>
      </c>
      <c r="AK137">
        <v>39</v>
      </c>
      <c r="AL137" t="s">
        <v>644</v>
      </c>
      <c r="AM137" t="s">
        <v>594</v>
      </c>
      <c r="AN137" t="s">
        <v>3025</v>
      </c>
      <c r="AO137" t="s">
        <v>3026</v>
      </c>
      <c r="AP137" t="s">
        <v>3027</v>
      </c>
      <c r="AQ137" t="s">
        <v>74</v>
      </c>
      <c r="AR137" t="s">
        <v>3028</v>
      </c>
      <c r="AS137" t="s">
        <v>3029</v>
      </c>
      <c r="AT137" t="s">
        <v>2218</v>
      </c>
      <c r="AU137">
        <v>2016</v>
      </c>
      <c r="AV137">
        <v>171</v>
      </c>
      <c r="AW137">
        <v>10</v>
      </c>
      <c r="AX137" t="s">
        <v>74</v>
      </c>
      <c r="AY137" t="s">
        <v>74</v>
      </c>
      <c r="AZ137" t="s">
        <v>74</v>
      </c>
      <c r="BA137" t="s">
        <v>74</v>
      </c>
      <c r="BB137" t="s">
        <v>74</v>
      </c>
      <c r="BC137" t="s">
        <v>74</v>
      </c>
      <c r="BD137">
        <v>83</v>
      </c>
      <c r="BE137" t="s">
        <v>3030</v>
      </c>
      <c r="BF137" t="str">
        <f>HYPERLINK("http://dx.doi.org/10.1007/s00410-016-1294-0","http://dx.doi.org/10.1007/s00410-016-1294-0")</f>
        <v>http://dx.doi.org/10.1007/s00410-016-1294-0</v>
      </c>
      <c r="BG137" t="s">
        <v>74</v>
      </c>
      <c r="BH137" t="s">
        <v>74</v>
      </c>
      <c r="BI137">
        <v>22</v>
      </c>
      <c r="BJ137" t="s">
        <v>430</v>
      </c>
      <c r="BK137" t="s">
        <v>156</v>
      </c>
      <c r="BL137" t="s">
        <v>430</v>
      </c>
      <c r="BM137" t="s">
        <v>3031</v>
      </c>
      <c r="BN137" t="s">
        <v>74</v>
      </c>
      <c r="BO137" t="s">
        <v>74</v>
      </c>
      <c r="BP137" t="s">
        <v>74</v>
      </c>
      <c r="BQ137" t="s">
        <v>74</v>
      </c>
      <c r="BR137" t="s">
        <v>105</v>
      </c>
      <c r="BS137" t="s">
        <v>3032</v>
      </c>
      <c r="BT137" t="str">
        <f>HYPERLINK("https%3A%2F%2Fwww.webofscience.com%2Fwos%2Fwoscc%2Ffull-record%2FWOS:000385158300006","View Full Record in Web of Science")</f>
        <v>View Full Record in Web of Science</v>
      </c>
    </row>
    <row r="138" spans="1:72" x14ac:dyDescent="0.15">
      <c r="A138" t="s">
        <v>72</v>
      </c>
      <c r="B138" t="s">
        <v>3033</v>
      </c>
      <c r="C138" t="s">
        <v>74</v>
      </c>
      <c r="D138" t="s">
        <v>74</v>
      </c>
      <c r="E138" t="s">
        <v>74</v>
      </c>
      <c r="F138" t="s">
        <v>3034</v>
      </c>
      <c r="G138" t="s">
        <v>74</v>
      </c>
      <c r="H138" t="s">
        <v>74</v>
      </c>
      <c r="I138" t="s">
        <v>3035</v>
      </c>
      <c r="J138" t="s">
        <v>3036</v>
      </c>
      <c r="K138" t="s">
        <v>74</v>
      </c>
      <c r="L138" t="s">
        <v>74</v>
      </c>
      <c r="M138" t="s">
        <v>78</v>
      </c>
      <c r="N138" t="s">
        <v>79</v>
      </c>
      <c r="O138" t="s">
        <v>74</v>
      </c>
      <c r="P138" t="s">
        <v>74</v>
      </c>
      <c r="Q138" t="s">
        <v>74</v>
      </c>
      <c r="R138" t="s">
        <v>74</v>
      </c>
      <c r="S138" t="s">
        <v>74</v>
      </c>
      <c r="T138" t="s">
        <v>74</v>
      </c>
      <c r="U138" t="s">
        <v>3037</v>
      </c>
      <c r="V138" t="s">
        <v>3038</v>
      </c>
      <c r="W138" t="s">
        <v>3039</v>
      </c>
      <c r="X138" t="s">
        <v>3040</v>
      </c>
      <c r="Y138" t="s">
        <v>3041</v>
      </c>
      <c r="Z138" t="s">
        <v>3042</v>
      </c>
      <c r="AA138" t="s">
        <v>3043</v>
      </c>
      <c r="AB138" t="s">
        <v>3044</v>
      </c>
      <c r="AC138" t="s">
        <v>3045</v>
      </c>
      <c r="AD138" t="s">
        <v>3046</v>
      </c>
      <c r="AE138" t="s">
        <v>3047</v>
      </c>
      <c r="AF138" t="s">
        <v>74</v>
      </c>
      <c r="AG138">
        <v>47</v>
      </c>
      <c r="AH138">
        <v>24</v>
      </c>
      <c r="AI138">
        <v>26</v>
      </c>
      <c r="AJ138">
        <v>0</v>
      </c>
      <c r="AK138">
        <v>20</v>
      </c>
      <c r="AL138" t="s">
        <v>397</v>
      </c>
      <c r="AM138" t="s">
        <v>398</v>
      </c>
      <c r="AN138" t="s">
        <v>399</v>
      </c>
      <c r="AO138" t="s">
        <v>3048</v>
      </c>
      <c r="AP138" t="s">
        <v>3049</v>
      </c>
      <c r="AQ138" t="s">
        <v>74</v>
      </c>
      <c r="AR138" t="s">
        <v>3050</v>
      </c>
      <c r="AS138" t="s">
        <v>3051</v>
      </c>
      <c r="AT138" t="s">
        <v>2218</v>
      </c>
      <c r="AU138">
        <v>2016</v>
      </c>
      <c r="AV138">
        <v>29</v>
      </c>
      <c r="AW138">
        <v>20</v>
      </c>
      <c r="AX138" t="s">
        <v>74</v>
      </c>
      <c r="AY138" t="s">
        <v>74</v>
      </c>
      <c r="AZ138" t="s">
        <v>74</v>
      </c>
      <c r="BA138" t="s">
        <v>74</v>
      </c>
      <c r="BB138">
        <v>7383</v>
      </c>
      <c r="BC138">
        <v>7396</v>
      </c>
      <c r="BD138" t="s">
        <v>74</v>
      </c>
      <c r="BE138" t="s">
        <v>3052</v>
      </c>
      <c r="BF138" t="str">
        <f>HYPERLINK("http://dx.doi.org/10.1175/JCLI-D-16-0198.1","http://dx.doi.org/10.1175/JCLI-D-16-0198.1")</f>
        <v>http://dx.doi.org/10.1175/JCLI-D-16-0198.1</v>
      </c>
      <c r="BG138" t="s">
        <v>74</v>
      </c>
      <c r="BH138" t="s">
        <v>74</v>
      </c>
      <c r="BI138">
        <v>14</v>
      </c>
      <c r="BJ138" t="s">
        <v>2482</v>
      </c>
      <c r="BK138" t="s">
        <v>156</v>
      </c>
      <c r="BL138" t="s">
        <v>2482</v>
      </c>
      <c r="BM138" t="s">
        <v>3053</v>
      </c>
      <c r="BN138" t="s">
        <v>74</v>
      </c>
      <c r="BO138" t="s">
        <v>3054</v>
      </c>
      <c r="BP138" t="s">
        <v>74</v>
      </c>
      <c r="BQ138" t="s">
        <v>74</v>
      </c>
      <c r="BR138" t="s">
        <v>105</v>
      </c>
      <c r="BS138" t="s">
        <v>3055</v>
      </c>
      <c r="BT138" t="str">
        <f>HYPERLINK("https%3A%2F%2Fwww.webofscience.com%2Fwos%2Fwoscc%2Ffull-record%2FWOS:000384149700014","View Full Record in Web of Science")</f>
        <v>View Full Record in Web of Science</v>
      </c>
    </row>
    <row r="139" spans="1:72" x14ac:dyDescent="0.15">
      <c r="A139" t="s">
        <v>72</v>
      </c>
      <c r="B139" t="s">
        <v>3056</v>
      </c>
      <c r="C139" t="s">
        <v>74</v>
      </c>
      <c r="D139" t="s">
        <v>74</v>
      </c>
      <c r="E139" t="s">
        <v>74</v>
      </c>
      <c r="F139" t="s">
        <v>3057</v>
      </c>
      <c r="G139" t="s">
        <v>74</v>
      </c>
      <c r="H139" t="s">
        <v>74</v>
      </c>
      <c r="I139" t="s">
        <v>3058</v>
      </c>
      <c r="J139" t="s">
        <v>2850</v>
      </c>
      <c r="K139" t="s">
        <v>74</v>
      </c>
      <c r="L139" t="s">
        <v>74</v>
      </c>
      <c r="M139" t="s">
        <v>78</v>
      </c>
      <c r="N139" t="s">
        <v>79</v>
      </c>
      <c r="O139" t="s">
        <v>74</v>
      </c>
      <c r="P139" t="s">
        <v>74</v>
      </c>
      <c r="Q139" t="s">
        <v>74</v>
      </c>
      <c r="R139" t="s">
        <v>74</v>
      </c>
      <c r="S139" t="s">
        <v>74</v>
      </c>
      <c r="T139" t="s">
        <v>3059</v>
      </c>
      <c r="U139" t="s">
        <v>3060</v>
      </c>
      <c r="V139" t="s">
        <v>3061</v>
      </c>
      <c r="W139" t="s">
        <v>3062</v>
      </c>
      <c r="X139" t="s">
        <v>3063</v>
      </c>
      <c r="Y139" t="s">
        <v>3064</v>
      </c>
      <c r="Z139" t="s">
        <v>3065</v>
      </c>
      <c r="AA139" t="s">
        <v>3066</v>
      </c>
      <c r="AB139" t="s">
        <v>3067</v>
      </c>
      <c r="AC139" t="s">
        <v>3068</v>
      </c>
      <c r="AD139" t="s">
        <v>3069</v>
      </c>
      <c r="AE139" t="s">
        <v>3070</v>
      </c>
      <c r="AF139" t="s">
        <v>74</v>
      </c>
      <c r="AG139">
        <v>92</v>
      </c>
      <c r="AH139">
        <v>27</v>
      </c>
      <c r="AI139">
        <v>31</v>
      </c>
      <c r="AJ139">
        <v>2</v>
      </c>
      <c r="AK139">
        <v>16</v>
      </c>
      <c r="AL139" t="s">
        <v>196</v>
      </c>
      <c r="AM139" t="s">
        <v>93</v>
      </c>
      <c r="AN139" t="s">
        <v>197</v>
      </c>
      <c r="AO139" t="s">
        <v>2863</v>
      </c>
      <c r="AP139" t="s">
        <v>2864</v>
      </c>
      <c r="AQ139" t="s">
        <v>74</v>
      </c>
      <c r="AR139" t="s">
        <v>2865</v>
      </c>
      <c r="AS139" t="s">
        <v>2866</v>
      </c>
      <c r="AT139" t="s">
        <v>2218</v>
      </c>
      <c r="AU139">
        <v>2016</v>
      </c>
      <c r="AV139">
        <v>284</v>
      </c>
      <c r="AW139" t="s">
        <v>74</v>
      </c>
      <c r="AX139" t="s">
        <v>74</v>
      </c>
      <c r="AY139" t="s">
        <v>74</v>
      </c>
      <c r="AZ139" t="s">
        <v>74</v>
      </c>
      <c r="BA139" t="s">
        <v>74</v>
      </c>
      <c r="BB139">
        <v>30</v>
      </c>
      <c r="BC139">
        <v>48</v>
      </c>
      <c r="BD139" t="s">
        <v>74</v>
      </c>
      <c r="BE139" t="s">
        <v>3071</v>
      </c>
      <c r="BF139" t="str">
        <f>HYPERLINK("http://dx.doi.org/10.1016/j.precamres.2016.08.003","http://dx.doi.org/10.1016/j.precamres.2016.08.003")</f>
        <v>http://dx.doi.org/10.1016/j.precamres.2016.08.003</v>
      </c>
      <c r="BG139" t="s">
        <v>74</v>
      </c>
      <c r="BH139" t="s">
        <v>74</v>
      </c>
      <c r="BI139">
        <v>19</v>
      </c>
      <c r="BJ139" t="s">
        <v>352</v>
      </c>
      <c r="BK139" t="s">
        <v>156</v>
      </c>
      <c r="BL139" t="s">
        <v>177</v>
      </c>
      <c r="BM139" t="s">
        <v>3072</v>
      </c>
      <c r="BN139" t="s">
        <v>74</v>
      </c>
      <c r="BO139" t="s">
        <v>74</v>
      </c>
      <c r="BP139" t="s">
        <v>74</v>
      </c>
      <c r="BQ139" t="s">
        <v>74</v>
      </c>
      <c r="BR139" t="s">
        <v>105</v>
      </c>
      <c r="BS139" t="s">
        <v>3073</v>
      </c>
      <c r="BT139" t="str">
        <f>HYPERLINK("https%3A%2F%2Fwww.webofscience.com%2Fwos%2Fwoscc%2Ffull-record%2FWOS:000384864900003","View Full Record in Web of Science")</f>
        <v>View Full Record in Web of Science</v>
      </c>
    </row>
    <row r="140" spans="1:72" x14ac:dyDescent="0.15">
      <c r="A140" t="s">
        <v>72</v>
      </c>
      <c r="B140" t="s">
        <v>3074</v>
      </c>
      <c r="C140" t="s">
        <v>74</v>
      </c>
      <c r="D140" t="s">
        <v>74</v>
      </c>
      <c r="E140" t="s">
        <v>74</v>
      </c>
      <c r="F140" t="s">
        <v>3075</v>
      </c>
      <c r="G140" t="s">
        <v>74</v>
      </c>
      <c r="H140" t="s">
        <v>74</v>
      </c>
      <c r="I140" t="s">
        <v>3076</v>
      </c>
      <c r="J140" t="s">
        <v>3077</v>
      </c>
      <c r="K140" t="s">
        <v>74</v>
      </c>
      <c r="L140" t="s">
        <v>74</v>
      </c>
      <c r="M140" t="s">
        <v>78</v>
      </c>
      <c r="N140" t="s">
        <v>79</v>
      </c>
      <c r="O140" t="s">
        <v>74</v>
      </c>
      <c r="P140" t="s">
        <v>74</v>
      </c>
      <c r="Q140" t="s">
        <v>74</v>
      </c>
      <c r="R140" t="s">
        <v>74</v>
      </c>
      <c r="S140" t="s">
        <v>74</v>
      </c>
      <c r="T140" t="s">
        <v>3078</v>
      </c>
      <c r="U140" t="s">
        <v>3079</v>
      </c>
      <c r="V140" t="s">
        <v>3080</v>
      </c>
      <c r="W140" t="s">
        <v>3081</v>
      </c>
      <c r="X140" t="s">
        <v>3082</v>
      </c>
      <c r="Y140" t="s">
        <v>3083</v>
      </c>
      <c r="Z140" t="s">
        <v>3084</v>
      </c>
      <c r="AA140" t="s">
        <v>3085</v>
      </c>
      <c r="AB140" t="s">
        <v>3086</v>
      </c>
      <c r="AC140" t="s">
        <v>3087</v>
      </c>
      <c r="AD140" t="s">
        <v>3088</v>
      </c>
      <c r="AE140" t="s">
        <v>3089</v>
      </c>
      <c r="AF140" t="s">
        <v>74</v>
      </c>
      <c r="AG140">
        <v>109</v>
      </c>
      <c r="AH140">
        <v>20</v>
      </c>
      <c r="AI140">
        <v>20</v>
      </c>
      <c r="AJ140">
        <v>0</v>
      </c>
      <c r="AK140">
        <v>60</v>
      </c>
      <c r="AL140" t="s">
        <v>644</v>
      </c>
      <c r="AM140" t="s">
        <v>740</v>
      </c>
      <c r="AN140" t="s">
        <v>741</v>
      </c>
      <c r="AO140" t="s">
        <v>3090</v>
      </c>
      <c r="AP140" t="s">
        <v>3091</v>
      </c>
      <c r="AQ140" t="s">
        <v>74</v>
      </c>
      <c r="AR140" t="s">
        <v>3092</v>
      </c>
      <c r="AS140" t="s">
        <v>3093</v>
      </c>
      <c r="AT140" t="s">
        <v>2218</v>
      </c>
      <c r="AU140">
        <v>2016</v>
      </c>
      <c r="AV140">
        <v>161</v>
      </c>
      <c r="AW140">
        <v>1</v>
      </c>
      <c r="AX140" t="s">
        <v>74</v>
      </c>
      <c r="AY140" t="s">
        <v>74</v>
      </c>
      <c r="AZ140" t="s">
        <v>74</v>
      </c>
      <c r="BA140" t="s">
        <v>74</v>
      </c>
      <c r="BB140">
        <v>145</v>
      </c>
      <c r="BC140">
        <v>163</v>
      </c>
      <c r="BD140" t="s">
        <v>74</v>
      </c>
      <c r="BE140" t="s">
        <v>3094</v>
      </c>
      <c r="BF140" t="str">
        <f>HYPERLINK("http://dx.doi.org/10.1007/s10546-016-0159-4","http://dx.doi.org/10.1007/s10546-016-0159-4")</f>
        <v>http://dx.doi.org/10.1007/s10546-016-0159-4</v>
      </c>
      <c r="BG140" t="s">
        <v>74</v>
      </c>
      <c r="BH140" t="s">
        <v>74</v>
      </c>
      <c r="BI140">
        <v>19</v>
      </c>
      <c r="BJ140" t="s">
        <v>2482</v>
      </c>
      <c r="BK140" t="s">
        <v>156</v>
      </c>
      <c r="BL140" t="s">
        <v>2482</v>
      </c>
      <c r="BM140" t="s">
        <v>3095</v>
      </c>
      <c r="BN140" t="s">
        <v>74</v>
      </c>
      <c r="BO140" t="s">
        <v>74</v>
      </c>
      <c r="BP140" t="s">
        <v>74</v>
      </c>
      <c r="BQ140" t="s">
        <v>74</v>
      </c>
      <c r="BR140" t="s">
        <v>105</v>
      </c>
      <c r="BS140" t="s">
        <v>3096</v>
      </c>
      <c r="BT140" t="str">
        <f>HYPERLINK("https%3A%2F%2Fwww.webofscience.com%2Fwos%2Fwoscc%2Ffull-record%2FWOS:000384412900007","View Full Record in Web of Science")</f>
        <v>View Full Record in Web of Science</v>
      </c>
    </row>
    <row r="141" spans="1:72" x14ac:dyDescent="0.15">
      <c r="A141" t="s">
        <v>72</v>
      </c>
      <c r="B141" t="s">
        <v>3097</v>
      </c>
      <c r="C141" t="s">
        <v>74</v>
      </c>
      <c r="D141" t="s">
        <v>74</v>
      </c>
      <c r="E141" t="s">
        <v>74</v>
      </c>
      <c r="F141" t="s">
        <v>3098</v>
      </c>
      <c r="G141" t="s">
        <v>74</v>
      </c>
      <c r="H141" t="s">
        <v>74</v>
      </c>
      <c r="I141" t="s">
        <v>3099</v>
      </c>
      <c r="J141" t="s">
        <v>3100</v>
      </c>
      <c r="K141" t="s">
        <v>74</v>
      </c>
      <c r="L141" t="s">
        <v>74</v>
      </c>
      <c r="M141" t="s">
        <v>78</v>
      </c>
      <c r="N141" t="s">
        <v>79</v>
      </c>
      <c r="O141" t="s">
        <v>74</v>
      </c>
      <c r="P141" t="s">
        <v>74</v>
      </c>
      <c r="Q141" t="s">
        <v>74</v>
      </c>
      <c r="R141" t="s">
        <v>74</v>
      </c>
      <c r="S141" t="s">
        <v>74</v>
      </c>
      <c r="T141" t="s">
        <v>3101</v>
      </c>
      <c r="U141" t="s">
        <v>3102</v>
      </c>
      <c r="V141" t="s">
        <v>3103</v>
      </c>
      <c r="W141" t="s">
        <v>3104</v>
      </c>
      <c r="X141" t="s">
        <v>3105</v>
      </c>
      <c r="Y141" t="s">
        <v>3106</v>
      </c>
      <c r="Z141" t="s">
        <v>3107</v>
      </c>
      <c r="AA141" t="s">
        <v>3108</v>
      </c>
      <c r="AB141" t="s">
        <v>3109</v>
      </c>
      <c r="AC141" t="s">
        <v>3110</v>
      </c>
      <c r="AD141" t="s">
        <v>3111</v>
      </c>
      <c r="AE141" t="s">
        <v>3112</v>
      </c>
      <c r="AF141" t="s">
        <v>74</v>
      </c>
      <c r="AG141">
        <v>36</v>
      </c>
      <c r="AH141">
        <v>10</v>
      </c>
      <c r="AI141">
        <v>11</v>
      </c>
      <c r="AJ141">
        <v>2</v>
      </c>
      <c r="AK141">
        <v>36</v>
      </c>
      <c r="AL141" t="s">
        <v>644</v>
      </c>
      <c r="AM141" t="s">
        <v>594</v>
      </c>
      <c r="AN141" t="s">
        <v>3025</v>
      </c>
      <c r="AO141" t="s">
        <v>3113</v>
      </c>
      <c r="AP141" t="s">
        <v>3114</v>
      </c>
      <c r="AQ141" t="s">
        <v>74</v>
      </c>
      <c r="AR141" t="s">
        <v>3115</v>
      </c>
      <c r="AS141" t="s">
        <v>3116</v>
      </c>
      <c r="AT141" t="s">
        <v>2218</v>
      </c>
      <c r="AU141">
        <v>2016</v>
      </c>
      <c r="AV141">
        <v>47</v>
      </c>
      <c r="AW141" t="s">
        <v>3117</v>
      </c>
      <c r="AX141" t="s">
        <v>74</v>
      </c>
      <c r="AY141" t="s">
        <v>74</v>
      </c>
      <c r="AZ141" t="s">
        <v>74</v>
      </c>
      <c r="BA141" t="s">
        <v>74</v>
      </c>
      <c r="BB141">
        <v>2085</v>
      </c>
      <c r="BC141">
        <v>2104</v>
      </c>
      <c r="BD141" t="s">
        <v>74</v>
      </c>
      <c r="BE141" t="s">
        <v>3118</v>
      </c>
      <c r="BF141" t="str">
        <f>HYPERLINK("http://dx.doi.org/10.1007/s00382-015-2952-z","http://dx.doi.org/10.1007/s00382-015-2952-z")</f>
        <v>http://dx.doi.org/10.1007/s00382-015-2952-z</v>
      </c>
      <c r="BG141" t="s">
        <v>74</v>
      </c>
      <c r="BH141" t="s">
        <v>74</v>
      </c>
      <c r="BI141">
        <v>20</v>
      </c>
      <c r="BJ141" t="s">
        <v>2482</v>
      </c>
      <c r="BK141" t="s">
        <v>156</v>
      </c>
      <c r="BL141" t="s">
        <v>2482</v>
      </c>
      <c r="BM141" t="s">
        <v>3119</v>
      </c>
      <c r="BN141" t="s">
        <v>74</v>
      </c>
      <c r="BO141" t="s">
        <v>74</v>
      </c>
      <c r="BP141" t="s">
        <v>74</v>
      </c>
      <c r="BQ141" t="s">
        <v>74</v>
      </c>
      <c r="BR141" t="s">
        <v>105</v>
      </c>
      <c r="BS141" t="s">
        <v>3120</v>
      </c>
      <c r="BT141" t="str">
        <f>HYPERLINK("https%3A%2F%2Fwww.webofscience.com%2Fwos%2Fwoscc%2Ffull-record%2FWOS:000384549500005","View Full Record in Web of Science")</f>
        <v>View Full Record in Web of Science</v>
      </c>
    </row>
    <row r="142" spans="1:72" x14ac:dyDescent="0.15">
      <c r="A142" t="s">
        <v>72</v>
      </c>
      <c r="B142" t="s">
        <v>3121</v>
      </c>
      <c r="C142" t="s">
        <v>74</v>
      </c>
      <c r="D142" t="s">
        <v>74</v>
      </c>
      <c r="E142" t="s">
        <v>74</v>
      </c>
      <c r="F142" t="s">
        <v>3122</v>
      </c>
      <c r="G142" t="s">
        <v>74</v>
      </c>
      <c r="H142" t="s">
        <v>74</v>
      </c>
      <c r="I142" t="s">
        <v>3123</v>
      </c>
      <c r="J142" t="s">
        <v>3100</v>
      </c>
      <c r="K142" t="s">
        <v>74</v>
      </c>
      <c r="L142" t="s">
        <v>74</v>
      </c>
      <c r="M142" t="s">
        <v>78</v>
      </c>
      <c r="N142" t="s">
        <v>79</v>
      </c>
      <c r="O142" t="s">
        <v>74</v>
      </c>
      <c r="P142" t="s">
        <v>74</v>
      </c>
      <c r="Q142" t="s">
        <v>74</v>
      </c>
      <c r="R142" t="s">
        <v>74</v>
      </c>
      <c r="S142" t="s">
        <v>74</v>
      </c>
      <c r="T142" t="s">
        <v>3124</v>
      </c>
      <c r="U142" t="s">
        <v>3125</v>
      </c>
      <c r="V142" t="s">
        <v>3126</v>
      </c>
      <c r="W142" t="s">
        <v>3127</v>
      </c>
      <c r="X142" t="s">
        <v>3128</v>
      </c>
      <c r="Y142" t="s">
        <v>3129</v>
      </c>
      <c r="Z142" t="s">
        <v>3130</v>
      </c>
      <c r="AA142" t="s">
        <v>3131</v>
      </c>
      <c r="AB142" t="s">
        <v>3132</v>
      </c>
      <c r="AC142" t="s">
        <v>3133</v>
      </c>
      <c r="AD142" t="s">
        <v>3134</v>
      </c>
      <c r="AE142" t="s">
        <v>3135</v>
      </c>
      <c r="AF142" t="s">
        <v>74</v>
      </c>
      <c r="AG142">
        <v>71</v>
      </c>
      <c r="AH142">
        <v>7</v>
      </c>
      <c r="AI142">
        <v>7</v>
      </c>
      <c r="AJ142">
        <v>1</v>
      </c>
      <c r="AK142">
        <v>20</v>
      </c>
      <c r="AL142" t="s">
        <v>644</v>
      </c>
      <c r="AM142" t="s">
        <v>594</v>
      </c>
      <c r="AN142" t="s">
        <v>3025</v>
      </c>
      <c r="AO142" t="s">
        <v>3113</v>
      </c>
      <c r="AP142" t="s">
        <v>3114</v>
      </c>
      <c r="AQ142" t="s">
        <v>74</v>
      </c>
      <c r="AR142" t="s">
        <v>3115</v>
      </c>
      <c r="AS142" t="s">
        <v>3116</v>
      </c>
      <c r="AT142" t="s">
        <v>2218</v>
      </c>
      <c r="AU142">
        <v>2016</v>
      </c>
      <c r="AV142">
        <v>47</v>
      </c>
      <c r="AW142" t="s">
        <v>3117</v>
      </c>
      <c r="AX142" t="s">
        <v>74</v>
      </c>
      <c r="AY142" t="s">
        <v>74</v>
      </c>
      <c r="AZ142" t="s">
        <v>74</v>
      </c>
      <c r="BA142" t="s">
        <v>74</v>
      </c>
      <c r="BB142">
        <v>2121</v>
      </c>
      <c r="BC142">
        <v>2138</v>
      </c>
      <c r="BD142" t="s">
        <v>74</v>
      </c>
      <c r="BE142" t="s">
        <v>3136</v>
      </c>
      <c r="BF142" t="str">
        <f>HYPERLINK("http://dx.doi.org/10.1007/s00382-015-2954-x","http://dx.doi.org/10.1007/s00382-015-2954-x")</f>
        <v>http://dx.doi.org/10.1007/s00382-015-2954-x</v>
      </c>
      <c r="BG142" t="s">
        <v>74</v>
      </c>
      <c r="BH142" t="s">
        <v>74</v>
      </c>
      <c r="BI142">
        <v>18</v>
      </c>
      <c r="BJ142" t="s">
        <v>2482</v>
      </c>
      <c r="BK142" t="s">
        <v>156</v>
      </c>
      <c r="BL142" t="s">
        <v>2482</v>
      </c>
      <c r="BM142" t="s">
        <v>3119</v>
      </c>
      <c r="BN142" t="s">
        <v>74</v>
      </c>
      <c r="BO142" t="s">
        <v>805</v>
      </c>
      <c r="BP142" t="s">
        <v>74</v>
      </c>
      <c r="BQ142" t="s">
        <v>74</v>
      </c>
      <c r="BR142" t="s">
        <v>105</v>
      </c>
      <c r="BS142" t="s">
        <v>3137</v>
      </c>
      <c r="BT142" t="str">
        <f>HYPERLINK("https%3A%2F%2Fwww.webofscience.com%2Fwos%2Fwoscc%2Ffull-record%2FWOS:000384549500007","View Full Record in Web of Science")</f>
        <v>View Full Record in Web of Science</v>
      </c>
    </row>
    <row r="143" spans="1:72" x14ac:dyDescent="0.15">
      <c r="A143" t="s">
        <v>72</v>
      </c>
      <c r="B143" t="s">
        <v>3138</v>
      </c>
      <c r="C143" t="s">
        <v>74</v>
      </c>
      <c r="D143" t="s">
        <v>74</v>
      </c>
      <c r="E143" t="s">
        <v>74</v>
      </c>
      <c r="F143" t="s">
        <v>3139</v>
      </c>
      <c r="G143" t="s">
        <v>74</v>
      </c>
      <c r="H143" t="s">
        <v>74</v>
      </c>
      <c r="I143" t="s">
        <v>3140</v>
      </c>
      <c r="J143" t="s">
        <v>631</v>
      </c>
      <c r="K143" t="s">
        <v>74</v>
      </c>
      <c r="L143" t="s">
        <v>74</v>
      </c>
      <c r="M143" t="s">
        <v>78</v>
      </c>
      <c r="N143" t="s">
        <v>79</v>
      </c>
      <c r="O143" t="s">
        <v>74</v>
      </c>
      <c r="P143" t="s">
        <v>74</v>
      </c>
      <c r="Q143" t="s">
        <v>74</v>
      </c>
      <c r="R143" t="s">
        <v>74</v>
      </c>
      <c r="S143" t="s">
        <v>74</v>
      </c>
      <c r="T143" t="s">
        <v>3141</v>
      </c>
      <c r="U143" t="s">
        <v>3142</v>
      </c>
      <c r="V143" t="s">
        <v>3143</v>
      </c>
      <c r="W143" t="s">
        <v>3144</v>
      </c>
      <c r="X143" t="s">
        <v>3145</v>
      </c>
      <c r="Y143" t="s">
        <v>3146</v>
      </c>
      <c r="Z143" t="s">
        <v>3147</v>
      </c>
      <c r="AA143" t="s">
        <v>3148</v>
      </c>
      <c r="AB143" t="s">
        <v>3149</v>
      </c>
      <c r="AC143" t="s">
        <v>3150</v>
      </c>
      <c r="AD143" t="s">
        <v>3151</v>
      </c>
      <c r="AE143" t="s">
        <v>3152</v>
      </c>
      <c r="AF143" t="s">
        <v>74</v>
      </c>
      <c r="AG143">
        <v>80</v>
      </c>
      <c r="AH143">
        <v>19</v>
      </c>
      <c r="AI143">
        <v>22</v>
      </c>
      <c r="AJ143">
        <v>1</v>
      </c>
      <c r="AK143">
        <v>35</v>
      </c>
      <c r="AL143" t="s">
        <v>644</v>
      </c>
      <c r="AM143" t="s">
        <v>594</v>
      </c>
      <c r="AN143" t="s">
        <v>645</v>
      </c>
      <c r="AO143" t="s">
        <v>646</v>
      </c>
      <c r="AP143" t="s">
        <v>647</v>
      </c>
      <c r="AQ143" t="s">
        <v>74</v>
      </c>
      <c r="AR143" t="s">
        <v>648</v>
      </c>
      <c r="AS143" t="s">
        <v>649</v>
      </c>
      <c r="AT143" t="s">
        <v>2218</v>
      </c>
      <c r="AU143">
        <v>2016</v>
      </c>
      <c r="AV143">
        <v>39</v>
      </c>
      <c r="AW143">
        <v>10</v>
      </c>
      <c r="AX143">
        <v>1</v>
      </c>
      <c r="AY143" t="s">
        <v>74</v>
      </c>
      <c r="AZ143" t="s">
        <v>650</v>
      </c>
      <c r="BA143" t="s">
        <v>74</v>
      </c>
      <c r="BB143">
        <v>1803</v>
      </c>
      <c r="BC143">
        <v>1817</v>
      </c>
      <c r="BD143" t="s">
        <v>74</v>
      </c>
      <c r="BE143" t="s">
        <v>3153</v>
      </c>
      <c r="BF143" t="str">
        <f>HYPERLINK("http://dx.doi.org/10.1007/s00300-014-1607-6","http://dx.doi.org/10.1007/s00300-014-1607-6")</f>
        <v>http://dx.doi.org/10.1007/s00300-014-1607-6</v>
      </c>
      <c r="BG143" t="s">
        <v>74</v>
      </c>
      <c r="BH143" t="s">
        <v>74</v>
      </c>
      <c r="BI143">
        <v>15</v>
      </c>
      <c r="BJ143" t="s">
        <v>652</v>
      </c>
      <c r="BK143" t="s">
        <v>156</v>
      </c>
      <c r="BL143" t="s">
        <v>653</v>
      </c>
      <c r="BM143" t="s">
        <v>3154</v>
      </c>
      <c r="BN143" t="s">
        <v>74</v>
      </c>
      <c r="BO143" t="s">
        <v>74</v>
      </c>
      <c r="BP143" t="s">
        <v>74</v>
      </c>
      <c r="BQ143" t="s">
        <v>74</v>
      </c>
      <c r="BR143" t="s">
        <v>105</v>
      </c>
      <c r="BS143" t="s">
        <v>3155</v>
      </c>
      <c r="BT143" t="str">
        <f>HYPERLINK("https%3A%2F%2Fwww.webofscience.com%2Fwos%2Fwoscc%2Ffull-record%2FWOS:000384551800010","View Full Record in Web of Science")</f>
        <v>View Full Record in Web of Science</v>
      </c>
    </row>
    <row r="144" spans="1:72" x14ac:dyDescent="0.15">
      <c r="A144" t="s">
        <v>72</v>
      </c>
      <c r="B144" t="s">
        <v>3156</v>
      </c>
      <c r="C144" t="s">
        <v>74</v>
      </c>
      <c r="D144" t="s">
        <v>74</v>
      </c>
      <c r="E144" t="s">
        <v>74</v>
      </c>
      <c r="F144" t="s">
        <v>3157</v>
      </c>
      <c r="G144" t="s">
        <v>74</v>
      </c>
      <c r="H144" t="s">
        <v>74</v>
      </c>
      <c r="I144" t="s">
        <v>3158</v>
      </c>
      <c r="J144" t="s">
        <v>631</v>
      </c>
      <c r="K144" t="s">
        <v>74</v>
      </c>
      <c r="L144" t="s">
        <v>74</v>
      </c>
      <c r="M144" t="s">
        <v>78</v>
      </c>
      <c r="N144" t="s">
        <v>79</v>
      </c>
      <c r="O144" t="s">
        <v>74</v>
      </c>
      <c r="P144" t="s">
        <v>74</v>
      </c>
      <c r="Q144" t="s">
        <v>74</v>
      </c>
      <c r="R144" t="s">
        <v>74</v>
      </c>
      <c r="S144" t="s">
        <v>74</v>
      </c>
      <c r="T144" t="s">
        <v>3159</v>
      </c>
      <c r="U144" t="s">
        <v>3160</v>
      </c>
      <c r="V144" t="s">
        <v>3161</v>
      </c>
      <c r="W144" t="s">
        <v>3162</v>
      </c>
      <c r="X144" t="s">
        <v>3163</v>
      </c>
      <c r="Y144" t="s">
        <v>3164</v>
      </c>
      <c r="Z144" t="s">
        <v>3165</v>
      </c>
      <c r="AA144" t="s">
        <v>3166</v>
      </c>
      <c r="AB144" t="s">
        <v>3167</v>
      </c>
      <c r="AC144" t="s">
        <v>3168</v>
      </c>
      <c r="AD144" t="s">
        <v>3169</v>
      </c>
      <c r="AE144" t="s">
        <v>3170</v>
      </c>
      <c r="AF144" t="s">
        <v>74</v>
      </c>
      <c r="AG144">
        <v>55</v>
      </c>
      <c r="AH144">
        <v>8</v>
      </c>
      <c r="AI144">
        <v>8</v>
      </c>
      <c r="AJ144">
        <v>0</v>
      </c>
      <c r="AK144">
        <v>36</v>
      </c>
      <c r="AL144" t="s">
        <v>644</v>
      </c>
      <c r="AM144" t="s">
        <v>594</v>
      </c>
      <c r="AN144" t="s">
        <v>3025</v>
      </c>
      <c r="AO144" t="s">
        <v>646</v>
      </c>
      <c r="AP144" t="s">
        <v>647</v>
      </c>
      <c r="AQ144" t="s">
        <v>74</v>
      </c>
      <c r="AR144" t="s">
        <v>648</v>
      </c>
      <c r="AS144" t="s">
        <v>649</v>
      </c>
      <c r="AT144" t="s">
        <v>2218</v>
      </c>
      <c r="AU144">
        <v>2016</v>
      </c>
      <c r="AV144">
        <v>39</v>
      </c>
      <c r="AW144">
        <v>10</v>
      </c>
      <c r="AX144">
        <v>1</v>
      </c>
      <c r="AY144" t="s">
        <v>74</v>
      </c>
      <c r="AZ144" t="s">
        <v>650</v>
      </c>
      <c r="BA144" t="s">
        <v>74</v>
      </c>
      <c r="BB144">
        <v>1819</v>
      </c>
      <c r="BC144">
        <v>1839</v>
      </c>
      <c r="BD144" t="s">
        <v>74</v>
      </c>
      <c r="BE144" t="s">
        <v>3171</v>
      </c>
      <c r="BF144" t="str">
        <f>HYPERLINK("http://dx.doi.org/10.1007/s00300-015-1725-9","http://dx.doi.org/10.1007/s00300-015-1725-9")</f>
        <v>http://dx.doi.org/10.1007/s00300-015-1725-9</v>
      </c>
      <c r="BG144" t="s">
        <v>74</v>
      </c>
      <c r="BH144" t="s">
        <v>74</v>
      </c>
      <c r="BI144">
        <v>21</v>
      </c>
      <c r="BJ144" t="s">
        <v>652</v>
      </c>
      <c r="BK144" t="s">
        <v>156</v>
      </c>
      <c r="BL144" t="s">
        <v>653</v>
      </c>
      <c r="BM144" t="s">
        <v>3154</v>
      </c>
      <c r="BN144" t="s">
        <v>74</v>
      </c>
      <c r="BO144" t="s">
        <v>74</v>
      </c>
      <c r="BP144" t="s">
        <v>74</v>
      </c>
      <c r="BQ144" t="s">
        <v>74</v>
      </c>
      <c r="BR144" t="s">
        <v>105</v>
      </c>
      <c r="BS144" t="s">
        <v>3172</v>
      </c>
      <c r="BT144" t="str">
        <f>HYPERLINK("https%3A%2F%2Fwww.webofscience.com%2Fwos%2Fwoscc%2Ffull-record%2FWOS:000384551800011","View Full Record in Web of Science")</f>
        <v>View Full Record in Web of Science</v>
      </c>
    </row>
    <row r="145" spans="1:72" x14ac:dyDescent="0.15">
      <c r="A145" t="s">
        <v>72</v>
      </c>
      <c r="B145" t="s">
        <v>3173</v>
      </c>
      <c r="C145" t="s">
        <v>74</v>
      </c>
      <c r="D145" t="s">
        <v>74</v>
      </c>
      <c r="E145" t="s">
        <v>74</v>
      </c>
      <c r="F145" t="s">
        <v>3174</v>
      </c>
      <c r="G145" t="s">
        <v>74</v>
      </c>
      <c r="H145" t="s">
        <v>74</v>
      </c>
      <c r="I145" t="s">
        <v>3175</v>
      </c>
      <c r="J145" t="s">
        <v>3176</v>
      </c>
      <c r="K145" t="s">
        <v>74</v>
      </c>
      <c r="L145" t="s">
        <v>74</v>
      </c>
      <c r="M145" t="s">
        <v>78</v>
      </c>
      <c r="N145" t="s">
        <v>79</v>
      </c>
      <c r="O145" t="s">
        <v>74</v>
      </c>
      <c r="P145" t="s">
        <v>74</v>
      </c>
      <c r="Q145" t="s">
        <v>74</v>
      </c>
      <c r="R145" t="s">
        <v>74</v>
      </c>
      <c r="S145" t="s">
        <v>74</v>
      </c>
      <c r="T145" t="s">
        <v>3177</v>
      </c>
      <c r="U145" t="s">
        <v>3178</v>
      </c>
      <c r="V145" t="s">
        <v>3179</v>
      </c>
      <c r="W145" t="s">
        <v>3180</v>
      </c>
      <c r="X145" t="s">
        <v>3181</v>
      </c>
      <c r="Y145" t="s">
        <v>3182</v>
      </c>
      <c r="Z145" t="s">
        <v>3183</v>
      </c>
      <c r="AA145" t="s">
        <v>74</v>
      </c>
      <c r="AB145" t="s">
        <v>3184</v>
      </c>
      <c r="AC145" t="s">
        <v>3185</v>
      </c>
      <c r="AD145" t="s">
        <v>950</v>
      </c>
      <c r="AE145" t="s">
        <v>3186</v>
      </c>
      <c r="AF145" t="s">
        <v>74</v>
      </c>
      <c r="AG145">
        <v>40</v>
      </c>
      <c r="AH145">
        <v>12</v>
      </c>
      <c r="AI145">
        <v>13</v>
      </c>
      <c r="AJ145">
        <v>1</v>
      </c>
      <c r="AK145">
        <v>32</v>
      </c>
      <c r="AL145" t="s">
        <v>2670</v>
      </c>
      <c r="AM145" t="s">
        <v>594</v>
      </c>
      <c r="AN145" t="s">
        <v>3187</v>
      </c>
      <c r="AO145" t="s">
        <v>3188</v>
      </c>
      <c r="AP145" t="s">
        <v>3189</v>
      </c>
      <c r="AQ145" t="s">
        <v>74</v>
      </c>
      <c r="AR145" t="s">
        <v>3190</v>
      </c>
      <c r="AS145" t="s">
        <v>3191</v>
      </c>
      <c r="AT145" t="s">
        <v>2218</v>
      </c>
      <c r="AU145">
        <v>2016</v>
      </c>
      <c r="AV145">
        <v>28</v>
      </c>
      <c r="AW145">
        <v>5</v>
      </c>
      <c r="AX145" t="s">
        <v>74</v>
      </c>
      <c r="AY145" t="s">
        <v>74</v>
      </c>
      <c r="AZ145" t="s">
        <v>74</v>
      </c>
      <c r="BA145" t="s">
        <v>74</v>
      </c>
      <c r="BB145">
        <v>361</v>
      </c>
      <c r="BC145">
        <v>370</v>
      </c>
      <c r="BD145" t="s">
        <v>74</v>
      </c>
      <c r="BE145" t="s">
        <v>3192</v>
      </c>
      <c r="BF145" t="str">
        <f>HYPERLINK("http://dx.doi.org/10.1017/S0954102016000201","http://dx.doi.org/10.1017/S0954102016000201")</f>
        <v>http://dx.doi.org/10.1017/S0954102016000201</v>
      </c>
      <c r="BG145" t="s">
        <v>74</v>
      </c>
      <c r="BH145" t="s">
        <v>74</v>
      </c>
      <c r="BI145">
        <v>10</v>
      </c>
      <c r="BJ145" t="s">
        <v>3193</v>
      </c>
      <c r="BK145" t="s">
        <v>156</v>
      </c>
      <c r="BL145" t="s">
        <v>3194</v>
      </c>
      <c r="BM145" t="s">
        <v>3195</v>
      </c>
      <c r="BN145" t="s">
        <v>74</v>
      </c>
      <c r="BO145" t="s">
        <v>74</v>
      </c>
      <c r="BP145" t="s">
        <v>74</v>
      </c>
      <c r="BQ145" t="s">
        <v>74</v>
      </c>
      <c r="BR145" t="s">
        <v>105</v>
      </c>
      <c r="BS145" t="s">
        <v>3196</v>
      </c>
      <c r="BT145" t="str">
        <f>HYPERLINK("https%3A%2F%2Fwww.webofscience.com%2Fwos%2Fwoscc%2Ffull-record%2FWOS:000384240100004","View Full Record in Web of Science")</f>
        <v>View Full Record in Web of Science</v>
      </c>
    </row>
    <row r="146" spans="1:72" x14ac:dyDescent="0.15">
      <c r="A146" t="s">
        <v>72</v>
      </c>
      <c r="B146" t="s">
        <v>3197</v>
      </c>
      <c r="C146" t="s">
        <v>74</v>
      </c>
      <c r="D146" t="s">
        <v>74</v>
      </c>
      <c r="E146" t="s">
        <v>74</v>
      </c>
      <c r="F146" t="s">
        <v>3198</v>
      </c>
      <c r="G146" t="s">
        <v>74</v>
      </c>
      <c r="H146" t="s">
        <v>74</v>
      </c>
      <c r="I146" t="s">
        <v>3199</v>
      </c>
      <c r="J146" t="s">
        <v>3176</v>
      </c>
      <c r="K146" t="s">
        <v>74</v>
      </c>
      <c r="L146" t="s">
        <v>74</v>
      </c>
      <c r="M146" t="s">
        <v>78</v>
      </c>
      <c r="N146" t="s">
        <v>79</v>
      </c>
      <c r="O146" t="s">
        <v>74</v>
      </c>
      <c r="P146" t="s">
        <v>74</v>
      </c>
      <c r="Q146" t="s">
        <v>74</v>
      </c>
      <c r="R146" t="s">
        <v>74</v>
      </c>
      <c r="S146" t="s">
        <v>74</v>
      </c>
      <c r="T146" t="s">
        <v>3200</v>
      </c>
      <c r="U146" t="s">
        <v>3201</v>
      </c>
      <c r="V146" t="s">
        <v>3202</v>
      </c>
      <c r="W146" t="s">
        <v>3203</v>
      </c>
      <c r="X146" t="s">
        <v>3204</v>
      </c>
      <c r="Y146" t="s">
        <v>3205</v>
      </c>
      <c r="Z146" t="s">
        <v>3206</v>
      </c>
      <c r="AA146" t="s">
        <v>3207</v>
      </c>
      <c r="AB146" t="s">
        <v>3208</v>
      </c>
      <c r="AC146" t="s">
        <v>3209</v>
      </c>
      <c r="AD146" t="s">
        <v>3209</v>
      </c>
      <c r="AE146" t="s">
        <v>3210</v>
      </c>
      <c r="AF146" t="s">
        <v>74</v>
      </c>
      <c r="AG146">
        <v>38</v>
      </c>
      <c r="AH146">
        <v>5</v>
      </c>
      <c r="AI146">
        <v>5</v>
      </c>
      <c r="AJ146">
        <v>0</v>
      </c>
      <c r="AK146">
        <v>12</v>
      </c>
      <c r="AL146" t="s">
        <v>2670</v>
      </c>
      <c r="AM146" t="s">
        <v>594</v>
      </c>
      <c r="AN146" t="s">
        <v>3187</v>
      </c>
      <c r="AO146" t="s">
        <v>3188</v>
      </c>
      <c r="AP146" t="s">
        <v>3189</v>
      </c>
      <c r="AQ146" t="s">
        <v>74</v>
      </c>
      <c r="AR146" t="s">
        <v>3190</v>
      </c>
      <c r="AS146" t="s">
        <v>3191</v>
      </c>
      <c r="AT146" t="s">
        <v>2218</v>
      </c>
      <c r="AU146">
        <v>2016</v>
      </c>
      <c r="AV146">
        <v>28</v>
      </c>
      <c r="AW146">
        <v>5</v>
      </c>
      <c r="AX146" t="s">
        <v>74</v>
      </c>
      <c r="AY146" t="s">
        <v>74</v>
      </c>
      <c r="AZ146" t="s">
        <v>74</v>
      </c>
      <c r="BA146" t="s">
        <v>74</v>
      </c>
      <c r="BB146">
        <v>371</v>
      </c>
      <c r="BC146">
        <v>386</v>
      </c>
      <c r="BD146" t="s">
        <v>74</v>
      </c>
      <c r="BE146" t="s">
        <v>3211</v>
      </c>
      <c r="BF146" t="str">
        <f>HYPERLINK("http://dx.doi.org/10.1017/S0954102016000195","http://dx.doi.org/10.1017/S0954102016000195")</f>
        <v>http://dx.doi.org/10.1017/S0954102016000195</v>
      </c>
      <c r="BG146" t="s">
        <v>74</v>
      </c>
      <c r="BH146" t="s">
        <v>74</v>
      </c>
      <c r="BI146">
        <v>16</v>
      </c>
      <c r="BJ146" t="s">
        <v>3193</v>
      </c>
      <c r="BK146" t="s">
        <v>156</v>
      </c>
      <c r="BL146" t="s">
        <v>3194</v>
      </c>
      <c r="BM146" t="s">
        <v>3195</v>
      </c>
      <c r="BN146" t="s">
        <v>74</v>
      </c>
      <c r="BO146" t="s">
        <v>258</v>
      </c>
      <c r="BP146" t="s">
        <v>74</v>
      </c>
      <c r="BQ146" t="s">
        <v>74</v>
      </c>
      <c r="BR146" t="s">
        <v>105</v>
      </c>
      <c r="BS146" t="s">
        <v>3212</v>
      </c>
      <c r="BT146" t="str">
        <f>HYPERLINK("https%3A%2F%2Fwww.webofscience.com%2Fwos%2Fwoscc%2Ffull-record%2FWOS:000384240100005","View Full Record in Web of Science")</f>
        <v>View Full Record in Web of Science</v>
      </c>
    </row>
    <row r="147" spans="1:72" x14ac:dyDescent="0.15">
      <c r="A147" t="s">
        <v>72</v>
      </c>
      <c r="B147" t="s">
        <v>3213</v>
      </c>
      <c r="C147" t="s">
        <v>74</v>
      </c>
      <c r="D147" t="s">
        <v>74</v>
      </c>
      <c r="E147" t="s">
        <v>74</v>
      </c>
      <c r="F147" t="s">
        <v>3214</v>
      </c>
      <c r="G147" t="s">
        <v>74</v>
      </c>
      <c r="H147" t="s">
        <v>74</v>
      </c>
      <c r="I147" t="s">
        <v>3215</v>
      </c>
      <c r="J147" t="s">
        <v>3176</v>
      </c>
      <c r="K147" t="s">
        <v>74</v>
      </c>
      <c r="L147" t="s">
        <v>74</v>
      </c>
      <c r="M147" t="s">
        <v>78</v>
      </c>
      <c r="N147" t="s">
        <v>79</v>
      </c>
      <c r="O147" t="s">
        <v>74</v>
      </c>
      <c r="P147" t="s">
        <v>74</v>
      </c>
      <c r="Q147" t="s">
        <v>74</v>
      </c>
      <c r="R147" t="s">
        <v>74</v>
      </c>
      <c r="S147" t="s">
        <v>74</v>
      </c>
      <c r="T147" t="s">
        <v>3216</v>
      </c>
      <c r="U147" t="s">
        <v>3217</v>
      </c>
      <c r="V147" t="s">
        <v>3218</v>
      </c>
      <c r="W147" t="s">
        <v>3219</v>
      </c>
      <c r="X147" t="s">
        <v>3220</v>
      </c>
      <c r="Y147" t="s">
        <v>3221</v>
      </c>
      <c r="Z147" t="s">
        <v>3222</v>
      </c>
      <c r="AA147" t="s">
        <v>3223</v>
      </c>
      <c r="AB147" t="s">
        <v>3224</v>
      </c>
      <c r="AC147" t="s">
        <v>3225</v>
      </c>
      <c r="AD147" t="s">
        <v>3226</v>
      </c>
      <c r="AE147" t="s">
        <v>3227</v>
      </c>
      <c r="AF147" t="s">
        <v>74</v>
      </c>
      <c r="AG147">
        <v>36</v>
      </c>
      <c r="AH147">
        <v>4</v>
      </c>
      <c r="AI147">
        <v>4</v>
      </c>
      <c r="AJ147">
        <v>0</v>
      </c>
      <c r="AK147">
        <v>8</v>
      </c>
      <c r="AL147" t="s">
        <v>2670</v>
      </c>
      <c r="AM147" t="s">
        <v>594</v>
      </c>
      <c r="AN147" t="s">
        <v>3187</v>
      </c>
      <c r="AO147" t="s">
        <v>3188</v>
      </c>
      <c r="AP147" t="s">
        <v>3189</v>
      </c>
      <c r="AQ147" t="s">
        <v>74</v>
      </c>
      <c r="AR147" t="s">
        <v>3190</v>
      </c>
      <c r="AS147" t="s">
        <v>3191</v>
      </c>
      <c r="AT147" t="s">
        <v>2218</v>
      </c>
      <c r="AU147">
        <v>2016</v>
      </c>
      <c r="AV147">
        <v>28</v>
      </c>
      <c r="AW147">
        <v>5</v>
      </c>
      <c r="AX147" t="s">
        <v>74</v>
      </c>
      <c r="AY147" t="s">
        <v>74</v>
      </c>
      <c r="AZ147" t="s">
        <v>74</v>
      </c>
      <c r="BA147" t="s">
        <v>74</v>
      </c>
      <c r="BB147">
        <v>387</v>
      </c>
      <c r="BC147">
        <v>394</v>
      </c>
      <c r="BD147" t="s">
        <v>74</v>
      </c>
      <c r="BE147" t="s">
        <v>3228</v>
      </c>
      <c r="BF147" t="str">
        <f>HYPERLINK("http://dx.doi.org/10.1017/S0954102016000213","http://dx.doi.org/10.1017/S0954102016000213")</f>
        <v>http://dx.doi.org/10.1017/S0954102016000213</v>
      </c>
      <c r="BG147" t="s">
        <v>74</v>
      </c>
      <c r="BH147" t="s">
        <v>74</v>
      </c>
      <c r="BI147">
        <v>8</v>
      </c>
      <c r="BJ147" t="s">
        <v>3193</v>
      </c>
      <c r="BK147" t="s">
        <v>156</v>
      </c>
      <c r="BL147" t="s">
        <v>3194</v>
      </c>
      <c r="BM147" t="s">
        <v>3195</v>
      </c>
      <c r="BN147" t="s">
        <v>74</v>
      </c>
      <c r="BO147" t="s">
        <v>3229</v>
      </c>
      <c r="BP147" t="s">
        <v>74</v>
      </c>
      <c r="BQ147" t="s">
        <v>74</v>
      </c>
      <c r="BR147" t="s">
        <v>105</v>
      </c>
      <c r="BS147" t="s">
        <v>3230</v>
      </c>
      <c r="BT147" t="str">
        <f>HYPERLINK("https%3A%2F%2Fwww.webofscience.com%2Fwos%2Fwoscc%2Ffull-record%2FWOS:000384240100006","View Full Record in Web of Science")</f>
        <v>View Full Record in Web of Science</v>
      </c>
    </row>
    <row r="148" spans="1:72" x14ac:dyDescent="0.15">
      <c r="A148" t="s">
        <v>72</v>
      </c>
      <c r="B148" t="s">
        <v>3231</v>
      </c>
      <c r="C148" t="s">
        <v>74</v>
      </c>
      <c r="D148" t="s">
        <v>74</v>
      </c>
      <c r="E148" t="s">
        <v>74</v>
      </c>
      <c r="F148" t="s">
        <v>3232</v>
      </c>
      <c r="G148" t="s">
        <v>74</v>
      </c>
      <c r="H148" t="s">
        <v>74</v>
      </c>
      <c r="I148" t="s">
        <v>3233</v>
      </c>
      <c r="J148" t="s">
        <v>3176</v>
      </c>
      <c r="K148" t="s">
        <v>74</v>
      </c>
      <c r="L148" t="s">
        <v>74</v>
      </c>
      <c r="M148" t="s">
        <v>78</v>
      </c>
      <c r="N148" t="s">
        <v>79</v>
      </c>
      <c r="O148" t="s">
        <v>74</v>
      </c>
      <c r="P148" t="s">
        <v>74</v>
      </c>
      <c r="Q148" t="s">
        <v>74</v>
      </c>
      <c r="R148" t="s">
        <v>74</v>
      </c>
      <c r="S148" t="s">
        <v>74</v>
      </c>
      <c r="T148" t="s">
        <v>3234</v>
      </c>
      <c r="U148" t="s">
        <v>3235</v>
      </c>
      <c r="V148" t="s">
        <v>3236</v>
      </c>
      <c r="W148" t="s">
        <v>3237</v>
      </c>
      <c r="X148" t="s">
        <v>3238</v>
      </c>
      <c r="Y148" t="s">
        <v>3239</v>
      </c>
      <c r="Z148" t="s">
        <v>3240</v>
      </c>
      <c r="AA148" t="s">
        <v>74</v>
      </c>
      <c r="AB148" t="s">
        <v>3241</v>
      </c>
      <c r="AC148" t="s">
        <v>3242</v>
      </c>
      <c r="AD148" t="s">
        <v>3243</v>
      </c>
      <c r="AE148" t="s">
        <v>3244</v>
      </c>
      <c r="AF148" t="s">
        <v>74</v>
      </c>
      <c r="AG148">
        <v>34</v>
      </c>
      <c r="AH148">
        <v>9</v>
      </c>
      <c r="AI148">
        <v>11</v>
      </c>
      <c r="AJ148">
        <v>0</v>
      </c>
      <c r="AK148">
        <v>7</v>
      </c>
      <c r="AL148" t="s">
        <v>2670</v>
      </c>
      <c r="AM148" t="s">
        <v>594</v>
      </c>
      <c r="AN148" t="s">
        <v>3187</v>
      </c>
      <c r="AO148" t="s">
        <v>3188</v>
      </c>
      <c r="AP148" t="s">
        <v>3189</v>
      </c>
      <c r="AQ148" t="s">
        <v>74</v>
      </c>
      <c r="AR148" t="s">
        <v>3190</v>
      </c>
      <c r="AS148" t="s">
        <v>3191</v>
      </c>
      <c r="AT148" t="s">
        <v>2218</v>
      </c>
      <c r="AU148">
        <v>2016</v>
      </c>
      <c r="AV148">
        <v>28</v>
      </c>
      <c r="AW148">
        <v>5</v>
      </c>
      <c r="AX148" t="s">
        <v>74</v>
      </c>
      <c r="AY148" t="s">
        <v>74</v>
      </c>
      <c r="AZ148" t="s">
        <v>74</v>
      </c>
      <c r="BA148" t="s">
        <v>74</v>
      </c>
      <c r="BB148">
        <v>395</v>
      </c>
      <c r="BC148">
        <v>404</v>
      </c>
      <c r="BD148" t="s">
        <v>74</v>
      </c>
      <c r="BE148" t="s">
        <v>3245</v>
      </c>
      <c r="BF148" t="str">
        <f>HYPERLINK("http://dx.doi.org/10.1017/S0954102016000237","http://dx.doi.org/10.1017/S0954102016000237")</f>
        <v>http://dx.doi.org/10.1017/S0954102016000237</v>
      </c>
      <c r="BG148" t="s">
        <v>74</v>
      </c>
      <c r="BH148" t="s">
        <v>74</v>
      </c>
      <c r="BI148">
        <v>10</v>
      </c>
      <c r="BJ148" t="s">
        <v>3193</v>
      </c>
      <c r="BK148" t="s">
        <v>156</v>
      </c>
      <c r="BL148" t="s">
        <v>3194</v>
      </c>
      <c r="BM148" t="s">
        <v>3195</v>
      </c>
      <c r="BN148" t="s">
        <v>74</v>
      </c>
      <c r="BO148" t="s">
        <v>74</v>
      </c>
      <c r="BP148" t="s">
        <v>74</v>
      </c>
      <c r="BQ148" t="s">
        <v>74</v>
      </c>
      <c r="BR148" t="s">
        <v>105</v>
      </c>
      <c r="BS148" t="s">
        <v>3246</v>
      </c>
      <c r="BT148" t="str">
        <f>HYPERLINK("https%3A%2F%2Fwww.webofscience.com%2Fwos%2Fwoscc%2Ffull-record%2FWOS:000384240100007","View Full Record in Web of Science")</f>
        <v>View Full Record in Web of Science</v>
      </c>
    </row>
    <row r="149" spans="1:72" x14ac:dyDescent="0.15">
      <c r="A149" t="s">
        <v>72</v>
      </c>
      <c r="B149" t="s">
        <v>3247</v>
      </c>
      <c r="C149" t="s">
        <v>74</v>
      </c>
      <c r="D149" t="s">
        <v>74</v>
      </c>
      <c r="E149" t="s">
        <v>74</v>
      </c>
      <c r="F149" t="s">
        <v>3248</v>
      </c>
      <c r="G149" t="s">
        <v>74</v>
      </c>
      <c r="H149" t="s">
        <v>74</v>
      </c>
      <c r="I149" t="s">
        <v>3249</v>
      </c>
      <c r="J149" t="s">
        <v>3250</v>
      </c>
      <c r="K149" t="s">
        <v>74</v>
      </c>
      <c r="L149" t="s">
        <v>74</v>
      </c>
      <c r="M149" t="s">
        <v>78</v>
      </c>
      <c r="N149" t="s">
        <v>79</v>
      </c>
      <c r="O149" t="s">
        <v>74</v>
      </c>
      <c r="P149" t="s">
        <v>74</v>
      </c>
      <c r="Q149" t="s">
        <v>74</v>
      </c>
      <c r="R149" t="s">
        <v>74</v>
      </c>
      <c r="S149" t="s">
        <v>74</v>
      </c>
      <c r="T149" t="s">
        <v>74</v>
      </c>
      <c r="U149" t="s">
        <v>3251</v>
      </c>
      <c r="V149" t="s">
        <v>3252</v>
      </c>
      <c r="W149" t="s">
        <v>3253</v>
      </c>
      <c r="X149" t="s">
        <v>3254</v>
      </c>
      <c r="Y149" t="s">
        <v>3255</v>
      </c>
      <c r="Z149" t="s">
        <v>3256</v>
      </c>
      <c r="AA149" t="s">
        <v>3257</v>
      </c>
      <c r="AB149" t="s">
        <v>3258</v>
      </c>
      <c r="AC149" t="s">
        <v>3259</v>
      </c>
      <c r="AD149" t="s">
        <v>3260</v>
      </c>
      <c r="AE149" t="s">
        <v>3261</v>
      </c>
      <c r="AF149" t="s">
        <v>74</v>
      </c>
      <c r="AG149">
        <v>51</v>
      </c>
      <c r="AH149">
        <v>19</v>
      </c>
      <c r="AI149">
        <v>21</v>
      </c>
      <c r="AJ149">
        <v>0</v>
      </c>
      <c r="AK149">
        <v>33</v>
      </c>
      <c r="AL149" t="s">
        <v>3262</v>
      </c>
      <c r="AM149" t="s">
        <v>3263</v>
      </c>
      <c r="AN149" t="s">
        <v>3264</v>
      </c>
      <c r="AO149" t="s">
        <v>3265</v>
      </c>
      <c r="AP149" t="s">
        <v>3266</v>
      </c>
      <c r="AQ149" t="s">
        <v>74</v>
      </c>
      <c r="AR149" t="s">
        <v>3267</v>
      </c>
      <c r="AS149" t="s">
        <v>3268</v>
      </c>
      <c r="AT149" t="s">
        <v>2218</v>
      </c>
      <c r="AU149">
        <v>2016</v>
      </c>
      <c r="AV149">
        <v>73</v>
      </c>
      <c r="AW149">
        <v>10</v>
      </c>
      <c r="AX149" t="s">
        <v>74</v>
      </c>
      <c r="AY149" t="s">
        <v>74</v>
      </c>
      <c r="AZ149" t="s">
        <v>74</v>
      </c>
      <c r="BA149" t="s">
        <v>74</v>
      </c>
      <c r="BB149">
        <v>1547</v>
      </c>
      <c r="BC149">
        <v>1556</v>
      </c>
      <c r="BD149" t="s">
        <v>74</v>
      </c>
      <c r="BE149" t="s">
        <v>3269</v>
      </c>
      <c r="BF149" t="str">
        <f>HYPERLINK("http://dx.doi.org/10.1139/cjfas-2015-0516","http://dx.doi.org/10.1139/cjfas-2015-0516")</f>
        <v>http://dx.doi.org/10.1139/cjfas-2015-0516</v>
      </c>
      <c r="BG149" t="s">
        <v>74</v>
      </c>
      <c r="BH149" t="s">
        <v>74</v>
      </c>
      <c r="BI149">
        <v>10</v>
      </c>
      <c r="BJ149" t="s">
        <v>2751</v>
      </c>
      <c r="BK149" t="s">
        <v>156</v>
      </c>
      <c r="BL149" t="s">
        <v>2751</v>
      </c>
      <c r="BM149" t="s">
        <v>3270</v>
      </c>
      <c r="BN149" t="s">
        <v>74</v>
      </c>
      <c r="BO149" t="s">
        <v>74</v>
      </c>
      <c r="BP149" t="s">
        <v>74</v>
      </c>
      <c r="BQ149" t="s">
        <v>74</v>
      </c>
      <c r="BR149" t="s">
        <v>105</v>
      </c>
      <c r="BS149" t="s">
        <v>3271</v>
      </c>
      <c r="BT149" t="str">
        <f>HYPERLINK("https%3A%2F%2Fwww.webofscience.com%2Fwos%2Fwoscc%2Ffull-record%2FWOS:000383779500009","View Full Record in Web of Science")</f>
        <v>View Full Record in Web of Science</v>
      </c>
    </row>
    <row r="150" spans="1:72" x14ac:dyDescent="0.15">
      <c r="A150" t="s">
        <v>72</v>
      </c>
      <c r="B150" t="s">
        <v>3272</v>
      </c>
      <c r="C150" t="s">
        <v>74</v>
      </c>
      <c r="D150" t="s">
        <v>74</v>
      </c>
      <c r="E150" t="s">
        <v>74</v>
      </c>
      <c r="F150" t="s">
        <v>3273</v>
      </c>
      <c r="G150" t="s">
        <v>74</v>
      </c>
      <c r="H150" t="s">
        <v>74</v>
      </c>
      <c r="I150" t="s">
        <v>3274</v>
      </c>
      <c r="J150" t="s">
        <v>162</v>
      </c>
      <c r="K150" t="s">
        <v>74</v>
      </c>
      <c r="L150" t="s">
        <v>74</v>
      </c>
      <c r="M150" t="s">
        <v>78</v>
      </c>
      <c r="N150" t="s">
        <v>79</v>
      </c>
      <c r="O150" t="s">
        <v>74</v>
      </c>
      <c r="P150" t="s">
        <v>74</v>
      </c>
      <c r="Q150" t="s">
        <v>74</v>
      </c>
      <c r="R150" t="s">
        <v>74</v>
      </c>
      <c r="S150" t="s">
        <v>74</v>
      </c>
      <c r="T150" t="s">
        <v>74</v>
      </c>
      <c r="U150" t="s">
        <v>3275</v>
      </c>
      <c r="V150" t="s">
        <v>3276</v>
      </c>
      <c r="W150" t="s">
        <v>3277</v>
      </c>
      <c r="X150" t="s">
        <v>3278</v>
      </c>
      <c r="Y150" t="s">
        <v>3279</v>
      </c>
      <c r="Z150" t="s">
        <v>74</v>
      </c>
      <c r="AA150" t="s">
        <v>74</v>
      </c>
      <c r="AB150" t="s">
        <v>3280</v>
      </c>
      <c r="AC150" t="s">
        <v>3281</v>
      </c>
      <c r="AD150" t="s">
        <v>3282</v>
      </c>
      <c r="AE150" t="s">
        <v>3283</v>
      </c>
      <c r="AF150" t="s">
        <v>74</v>
      </c>
      <c r="AG150">
        <v>33</v>
      </c>
      <c r="AH150">
        <v>24</v>
      </c>
      <c r="AI150">
        <v>24</v>
      </c>
      <c r="AJ150">
        <v>0</v>
      </c>
      <c r="AK150">
        <v>35</v>
      </c>
      <c r="AL150" t="s">
        <v>172</v>
      </c>
      <c r="AM150" t="s">
        <v>173</v>
      </c>
      <c r="AN150" t="s">
        <v>174</v>
      </c>
      <c r="AO150" t="s">
        <v>175</v>
      </c>
      <c r="AP150" t="s">
        <v>176</v>
      </c>
      <c r="AQ150" t="s">
        <v>74</v>
      </c>
      <c r="AR150" t="s">
        <v>162</v>
      </c>
      <c r="AS150" t="s">
        <v>177</v>
      </c>
      <c r="AT150" t="s">
        <v>2218</v>
      </c>
      <c r="AU150">
        <v>2016</v>
      </c>
      <c r="AV150">
        <v>44</v>
      </c>
      <c r="AW150">
        <v>10</v>
      </c>
      <c r="AX150" t="s">
        <v>74</v>
      </c>
      <c r="AY150" t="s">
        <v>74</v>
      </c>
      <c r="AZ150" t="s">
        <v>74</v>
      </c>
      <c r="BA150" t="s">
        <v>74</v>
      </c>
      <c r="BB150">
        <v>827</v>
      </c>
      <c r="BC150">
        <v>830</v>
      </c>
      <c r="BD150" t="s">
        <v>74</v>
      </c>
      <c r="BE150" t="s">
        <v>3284</v>
      </c>
      <c r="BF150" t="str">
        <f>HYPERLINK("http://dx.doi.org/10.1130/G38104.1","http://dx.doi.org/10.1130/G38104.1")</f>
        <v>http://dx.doi.org/10.1130/G38104.1</v>
      </c>
      <c r="BG150" t="s">
        <v>74</v>
      </c>
      <c r="BH150" t="s">
        <v>74</v>
      </c>
      <c r="BI150">
        <v>4</v>
      </c>
      <c r="BJ150" t="s">
        <v>177</v>
      </c>
      <c r="BK150" t="s">
        <v>156</v>
      </c>
      <c r="BL150" t="s">
        <v>177</v>
      </c>
      <c r="BM150" t="s">
        <v>3285</v>
      </c>
      <c r="BN150" t="s">
        <v>74</v>
      </c>
      <c r="BO150" t="s">
        <v>459</v>
      </c>
      <c r="BP150" t="s">
        <v>74</v>
      </c>
      <c r="BQ150" t="s">
        <v>74</v>
      </c>
      <c r="BR150" t="s">
        <v>105</v>
      </c>
      <c r="BS150" t="s">
        <v>3286</v>
      </c>
      <c r="BT150" t="str">
        <f>HYPERLINK("https%3A%2F%2Fwww.webofscience.com%2Fwos%2Fwoscc%2Ffull-record%2FWOS:000384307200012","View Full Record in Web of Science")</f>
        <v>View Full Record in Web of Science</v>
      </c>
    </row>
    <row r="151" spans="1:72" x14ac:dyDescent="0.15">
      <c r="A151" t="s">
        <v>72</v>
      </c>
      <c r="B151" t="s">
        <v>3287</v>
      </c>
      <c r="C151" t="s">
        <v>74</v>
      </c>
      <c r="D151" t="s">
        <v>74</v>
      </c>
      <c r="E151" t="s">
        <v>74</v>
      </c>
      <c r="F151" t="s">
        <v>3288</v>
      </c>
      <c r="G151" t="s">
        <v>74</v>
      </c>
      <c r="H151" t="s">
        <v>74</v>
      </c>
      <c r="I151" t="s">
        <v>3289</v>
      </c>
      <c r="J151" t="s">
        <v>3290</v>
      </c>
      <c r="K151" t="s">
        <v>74</v>
      </c>
      <c r="L151" t="s">
        <v>74</v>
      </c>
      <c r="M151" t="s">
        <v>78</v>
      </c>
      <c r="N151" t="s">
        <v>79</v>
      </c>
      <c r="O151" t="s">
        <v>74</v>
      </c>
      <c r="P151" t="s">
        <v>74</v>
      </c>
      <c r="Q151" t="s">
        <v>74</v>
      </c>
      <c r="R151" t="s">
        <v>74</v>
      </c>
      <c r="S151" t="s">
        <v>74</v>
      </c>
      <c r="T151" t="s">
        <v>74</v>
      </c>
      <c r="U151" t="s">
        <v>3291</v>
      </c>
      <c r="V151" t="s">
        <v>3292</v>
      </c>
      <c r="W151" t="s">
        <v>3293</v>
      </c>
      <c r="X151" t="s">
        <v>3294</v>
      </c>
      <c r="Y151" t="s">
        <v>3295</v>
      </c>
      <c r="Z151" t="s">
        <v>3296</v>
      </c>
      <c r="AA151" t="s">
        <v>3297</v>
      </c>
      <c r="AB151" t="s">
        <v>3298</v>
      </c>
      <c r="AC151" t="s">
        <v>3299</v>
      </c>
      <c r="AD151" t="s">
        <v>3300</v>
      </c>
      <c r="AE151" t="s">
        <v>74</v>
      </c>
      <c r="AF151" t="s">
        <v>74</v>
      </c>
      <c r="AG151">
        <v>63</v>
      </c>
      <c r="AH151">
        <v>11</v>
      </c>
      <c r="AI151">
        <v>13</v>
      </c>
      <c r="AJ151">
        <v>1</v>
      </c>
      <c r="AK151">
        <v>84</v>
      </c>
      <c r="AL151" t="s">
        <v>371</v>
      </c>
      <c r="AM151" t="s">
        <v>372</v>
      </c>
      <c r="AN151" t="s">
        <v>373</v>
      </c>
      <c r="AO151" t="s">
        <v>3301</v>
      </c>
      <c r="AP151" t="s">
        <v>3302</v>
      </c>
      <c r="AQ151" t="s">
        <v>74</v>
      </c>
      <c r="AR151" t="s">
        <v>3303</v>
      </c>
      <c r="AS151" t="s">
        <v>3304</v>
      </c>
      <c r="AT151" t="s">
        <v>2218</v>
      </c>
      <c r="AU151">
        <v>2016</v>
      </c>
      <c r="AV151">
        <v>56</v>
      </c>
      <c r="AW151">
        <v>4</v>
      </c>
      <c r="AX151" t="s">
        <v>74</v>
      </c>
      <c r="AY151" t="s">
        <v>74</v>
      </c>
      <c r="AZ151" t="s">
        <v>74</v>
      </c>
      <c r="BA151" t="s">
        <v>74</v>
      </c>
      <c r="BB151">
        <v>493</v>
      </c>
      <c r="BC151">
        <v>499</v>
      </c>
      <c r="BD151" t="s">
        <v>74</v>
      </c>
      <c r="BE151" t="s">
        <v>3305</v>
      </c>
      <c r="BF151" t="str">
        <f>HYPERLINK("http://dx.doi.org/10.1093/icb/icw094","http://dx.doi.org/10.1093/icb/icw094")</f>
        <v>http://dx.doi.org/10.1093/icb/icw094</v>
      </c>
      <c r="BG151" t="s">
        <v>74</v>
      </c>
      <c r="BH151" t="s">
        <v>74</v>
      </c>
      <c r="BI151">
        <v>7</v>
      </c>
      <c r="BJ151" t="s">
        <v>3306</v>
      </c>
      <c r="BK151" t="s">
        <v>156</v>
      </c>
      <c r="BL151" t="s">
        <v>3306</v>
      </c>
      <c r="BM151" t="s">
        <v>3307</v>
      </c>
      <c r="BN151">
        <v>27471225</v>
      </c>
      <c r="BO151" t="s">
        <v>258</v>
      </c>
      <c r="BP151" t="s">
        <v>74</v>
      </c>
      <c r="BQ151" t="s">
        <v>74</v>
      </c>
      <c r="BR151" t="s">
        <v>105</v>
      </c>
      <c r="BS151" t="s">
        <v>3308</v>
      </c>
      <c r="BT151" t="str">
        <f>HYPERLINK("https%3A%2F%2Fwww.webofscience.com%2Fwos%2Fwoscc%2Ffull-record%2FWOS:000384303700001","View Full Record in Web of Science")</f>
        <v>View Full Record in Web of Science</v>
      </c>
    </row>
    <row r="152" spans="1:72" x14ac:dyDescent="0.15">
      <c r="A152" t="s">
        <v>72</v>
      </c>
      <c r="B152" t="s">
        <v>3309</v>
      </c>
      <c r="C152" t="s">
        <v>74</v>
      </c>
      <c r="D152" t="s">
        <v>74</v>
      </c>
      <c r="E152" t="s">
        <v>74</v>
      </c>
      <c r="F152" t="s">
        <v>3310</v>
      </c>
      <c r="G152" t="s">
        <v>74</v>
      </c>
      <c r="H152" t="s">
        <v>74</v>
      </c>
      <c r="I152" t="s">
        <v>3311</v>
      </c>
      <c r="J152" t="s">
        <v>3290</v>
      </c>
      <c r="K152" t="s">
        <v>74</v>
      </c>
      <c r="L152" t="s">
        <v>74</v>
      </c>
      <c r="M152" t="s">
        <v>78</v>
      </c>
      <c r="N152" t="s">
        <v>79</v>
      </c>
      <c r="O152" t="s">
        <v>74</v>
      </c>
      <c r="P152" t="s">
        <v>74</v>
      </c>
      <c r="Q152" t="s">
        <v>74</v>
      </c>
      <c r="R152" t="s">
        <v>74</v>
      </c>
      <c r="S152" t="s">
        <v>74</v>
      </c>
      <c r="T152" t="s">
        <v>74</v>
      </c>
      <c r="U152" t="s">
        <v>3312</v>
      </c>
      <c r="V152" t="s">
        <v>3313</v>
      </c>
      <c r="W152" t="s">
        <v>3314</v>
      </c>
      <c r="X152" t="s">
        <v>3315</v>
      </c>
      <c r="Y152" t="s">
        <v>3316</v>
      </c>
      <c r="Z152" t="s">
        <v>3317</v>
      </c>
      <c r="AA152" t="s">
        <v>74</v>
      </c>
      <c r="AB152" t="s">
        <v>74</v>
      </c>
      <c r="AC152" t="s">
        <v>3318</v>
      </c>
      <c r="AD152" t="s">
        <v>3319</v>
      </c>
      <c r="AE152" t="s">
        <v>74</v>
      </c>
      <c r="AF152" t="s">
        <v>74</v>
      </c>
      <c r="AG152">
        <v>102</v>
      </c>
      <c r="AH152">
        <v>8</v>
      </c>
      <c r="AI152">
        <v>9</v>
      </c>
      <c r="AJ152">
        <v>0</v>
      </c>
      <c r="AK152">
        <v>24</v>
      </c>
      <c r="AL152" t="s">
        <v>371</v>
      </c>
      <c r="AM152" t="s">
        <v>372</v>
      </c>
      <c r="AN152" t="s">
        <v>373</v>
      </c>
      <c r="AO152" t="s">
        <v>3301</v>
      </c>
      <c r="AP152" t="s">
        <v>3302</v>
      </c>
      <c r="AQ152" t="s">
        <v>74</v>
      </c>
      <c r="AR152" t="s">
        <v>3303</v>
      </c>
      <c r="AS152" t="s">
        <v>3304</v>
      </c>
      <c r="AT152" t="s">
        <v>2218</v>
      </c>
      <c r="AU152">
        <v>2016</v>
      </c>
      <c r="AV152">
        <v>56</v>
      </c>
      <c r="AW152">
        <v>4</v>
      </c>
      <c r="AX152" t="s">
        <v>74</v>
      </c>
      <c r="AY152" t="s">
        <v>74</v>
      </c>
      <c r="AZ152" t="s">
        <v>74</v>
      </c>
      <c r="BA152" t="s">
        <v>74</v>
      </c>
      <c r="BB152">
        <v>531</v>
      </c>
      <c r="BC152">
        <v>541</v>
      </c>
      <c r="BD152" t="s">
        <v>74</v>
      </c>
      <c r="BE152" t="s">
        <v>3320</v>
      </c>
      <c r="BF152" t="str">
        <f>HYPERLINK("http://dx.doi.org/10.1093/icb/icw062","http://dx.doi.org/10.1093/icb/icw062")</f>
        <v>http://dx.doi.org/10.1093/icb/icw062</v>
      </c>
      <c r="BG152" t="s">
        <v>74</v>
      </c>
      <c r="BH152" t="s">
        <v>74</v>
      </c>
      <c r="BI152">
        <v>11</v>
      </c>
      <c r="BJ152" t="s">
        <v>3306</v>
      </c>
      <c r="BK152" t="s">
        <v>156</v>
      </c>
      <c r="BL152" t="s">
        <v>3306</v>
      </c>
      <c r="BM152" t="s">
        <v>3307</v>
      </c>
      <c r="BN152">
        <v>27252192</v>
      </c>
      <c r="BO152" t="s">
        <v>258</v>
      </c>
      <c r="BP152" t="s">
        <v>74</v>
      </c>
      <c r="BQ152" t="s">
        <v>74</v>
      </c>
      <c r="BR152" t="s">
        <v>105</v>
      </c>
      <c r="BS152" t="s">
        <v>3321</v>
      </c>
      <c r="BT152" t="str">
        <f>HYPERLINK("https%3A%2F%2Fwww.webofscience.com%2Fwos%2Fwoscc%2Ffull-record%2FWOS:000384303700005","View Full Record in Web of Science")</f>
        <v>View Full Record in Web of Science</v>
      </c>
    </row>
    <row r="153" spans="1:72" x14ac:dyDescent="0.15">
      <c r="A153" t="s">
        <v>72</v>
      </c>
      <c r="B153" t="s">
        <v>3322</v>
      </c>
      <c r="C153" t="s">
        <v>74</v>
      </c>
      <c r="D153" t="s">
        <v>74</v>
      </c>
      <c r="E153" t="s">
        <v>74</v>
      </c>
      <c r="F153" t="s">
        <v>3323</v>
      </c>
      <c r="G153" t="s">
        <v>74</v>
      </c>
      <c r="H153" t="s">
        <v>74</v>
      </c>
      <c r="I153" t="s">
        <v>3324</v>
      </c>
      <c r="J153" t="s">
        <v>3325</v>
      </c>
      <c r="K153" t="s">
        <v>74</v>
      </c>
      <c r="L153" t="s">
        <v>74</v>
      </c>
      <c r="M153" t="s">
        <v>78</v>
      </c>
      <c r="N153" t="s">
        <v>79</v>
      </c>
      <c r="O153" t="s">
        <v>74</v>
      </c>
      <c r="P153" t="s">
        <v>74</v>
      </c>
      <c r="Q153" t="s">
        <v>74</v>
      </c>
      <c r="R153" t="s">
        <v>74</v>
      </c>
      <c r="S153" t="s">
        <v>74</v>
      </c>
      <c r="T153" t="s">
        <v>3326</v>
      </c>
      <c r="U153" t="s">
        <v>3327</v>
      </c>
      <c r="V153" t="s">
        <v>74</v>
      </c>
      <c r="W153" t="s">
        <v>3328</v>
      </c>
      <c r="X153" t="s">
        <v>3254</v>
      </c>
      <c r="Y153" t="s">
        <v>3329</v>
      </c>
      <c r="Z153" t="s">
        <v>3330</v>
      </c>
      <c r="AA153" t="s">
        <v>3331</v>
      </c>
      <c r="AB153" t="s">
        <v>3332</v>
      </c>
      <c r="AC153" t="s">
        <v>74</v>
      </c>
      <c r="AD153" t="s">
        <v>74</v>
      </c>
      <c r="AE153" t="s">
        <v>74</v>
      </c>
      <c r="AF153" t="s">
        <v>74</v>
      </c>
      <c r="AG153">
        <v>40</v>
      </c>
      <c r="AH153">
        <v>3</v>
      </c>
      <c r="AI153">
        <v>4</v>
      </c>
      <c r="AJ153">
        <v>0</v>
      </c>
      <c r="AK153">
        <v>24</v>
      </c>
      <c r="AL153" t="s">
        <v>501</v>
      </c>
      <c r="AM153" t="s">
        <v>502</v>
      </c>
      <c r="AN153" t="s">
        <v>503</v>
      </c>
      <c r="AO153" t="s">
        <v>3333</v>
      </c>
      <c r="AP153" t="s">
        <v>3334</v>
      </c>
      <c r="AQ153" t="s">
        <v>74</v>
      </c>
      <c r="AR153" t="s">
        <v>3335</v>
      </c>
      <c r="AS153" t="s">
        <v>3336</v>
      </c>
      <c r="AT153" t="s">
        <v>2218</v>
      </c>
      <c r="AU153">
        <v>2016</v>
      </c>
      <c r="AV153">
        <v>47</v>
      </c>
      <c r="AW153">
        <v>10</v>
      </c>
      <c r="AX153" t="s">
        <v>74</v>
      </c>
      <c r="AY153" t="s">
        <v>74</v>
      </c>
      <c r="AZ153" t="s">
        <v>74</v>
      </c>
      <c r="BA153" t="s">
        <v>74</v>
      </c>
      <c r="BB153">
        <v>3352</v>
      </c>
      <c r="BC153">
        <v>3358</v>
      </c>
      <c r="BD153" t="s">
        <v>74</v>
      </c>
      <c r="BE153" t="s">
        <v>3337</v>
      </c>
      <c r="BF153" t="str">
        <f>HYPERLINK("http://dx.doi.org/10.1111/are.12776","http://dx.doi.org/10.1111/are.12776")</f>
        <v>http://dx.doi.org/10.1111/are.12776</v>
      </c>
      <c r="BG153" t="s">
        <v>74</v>
      </c>
      <c r="BH153" t="s">
        <v>74</v>
      </c>
      <c r="BI153">
        <v>7</v>
      </c>
      <c r="BJ153" t="s">
        <v>101</v>
      </c>
      <c r="BK153" t="s">
        <v>156</v>
      </c>
      <c r="BL153" t="s">
        <v>101</v>
      </c>
      <c r="BM153" t="s">
        <v>3338</v>
      </c>
      <c r="BN153" t="s">
        <v>74</v>
      </c>
      <c r="BO153" t="s">
        <v>777</v>
      </c>
      <c r="BP153" t="s">
        <v>74</v>
      </c>
      <c r="BQ153" t="s">
        <v>74</v>
      </c>
      <c r="BR153" t="s">
        <v>105</v>
      </c>
      <c r="BS153" t="s">
        <v>3339</v>
      </c>
      <c r="BT153" t="str">
        <f>HYPERLINK("https%3A%2F%2Fwww.webofscience.com%2Fwos%2Fwoscc%2Ffull-record%2FWOS:000383348700033","View Full Record in Web of Science")</f>
        <v>View Full Record in Web of Science</v>
      </c>
    </row>
    <row r="154" spans="1:72" x14ac:dyDescent="0.15">
      <c r="A154" t="s">
        <v>72</v>
      </c>
      <c r="B154" t="s">
        <v>3340</v>
      </c>
      <c r="C154" t="s">
        <v>74</v>
      </c>
      <c r="D154" t="s">
        <v>74</v>
      </c>
      <c r="E154" t="s">
        <v>74</v>
      </c>
      <c r="F154" t="s">
        <v>3341</v>
      </c>
      <c r="G154" t="s">
        <v>74</v>
      </c>
      <c r="H154" t="s">
        <v>74</v>
      </c>
      <c r="I154" t="s">
        <v>3342</v>
      </c>
      <c r="J154" t="s">
        <v>3343</v>
      </c>
      <c r="K154" t="s">
        <v>74</v>
      </c>
      <c r="L154" t="s">
        <v>74</v>
      </c>
      <c r="M154" t="s">
        <v>78</v>
      </c>
      <c r="N154" t="s">
        <v>2730</v>
      </c>
      <c r="O154" t="s">
        <v>3344</v>
      </c>
      <c r="P154" t="s">
        <v>3345</v>
      </c>
      <c r="Q154" t="s">
        <v>3346</v>
      </c>
      <c r="R154" t="s">
        <v>74</v>
      </c>
      <c r="S154" t="s">
        <v>3347</v>
      </c>
      <c r="T154" t="s">
        <v>3348</v>
      </c>
      <c r="U154" t="s">
        <v>3349</v>
      </c>
      <c r="V154" t="s">
        <v>3350</v>
      </c>
      <c r="W154" t="s">
        <v>3351</v>
      </c>
      <c r="X154" t="s">
        <v>3352</v>
      </c>
      <c r="Y154" t="s">
        <v>3353</v>
      </c>
      <c r="Z154" t="s">
        <v>3354</v>
      </c>
      <c r="AA154" t="s">
        <v>3355</v>
      </c>
      <c r="AB154" t="s">
        <v>3356</v>
      </c>
      <c r="AC154" t="s">
        <v>74</v>
      </c>
      <c r="AD154" t="s">
        <v>74</v>
      </c>
      <c r="AE154" t="s">
        <v>74</v>
      </c>
      <c r="AF154" t="s">
        <v>74</v>
      </c>
      <c r="AG154">
        <v>75</v>
      </c>
      <c r="AH154">
        <v>4</v>
      </c>
      <c r="AI154">
        <v>4</v>
      </c>
      <c r="AJ154">
        <v>0</v>
      </c>
      <c r="AK154">
        <v>8</v>
      </c>
      <c r="AL154" t="s">
        <v>1437</v>
      </c>
      <c r="AM154" t="s">
        <v>594</v>
      </c>
      <c r="AN154" t="s">
        <v>1438</v>
      </c>
      <c r="AO154" t="s">
        <v>3357</v>
      </c>
      <c r="AP154" t="s">
        <v>3358</v>
      </c>
      <c r="AQ154" t="s">
        <v>74</v>
      </c>
      <c r="AR154" t="s">
        <v>3359</v>
      </c>
      <c r="AS154" t="s">
        <v>3360</v>
      </c>
      <c r="AT154" t="s">
        <v>2218</v>
      </c>
      <c r="AU154">
        <v>2016</v>
      </c>
      <c r="AV154">
        <v>200</v>
      </c>
      <c r="AW154" t="s">
        <v>74</v>
      </c>
      <c r="AX154" t="s">
        <v>74</v>
      </c>
      <c r="AY154" t="s">
        <v>74</v>
      </c>
      <c r="AZ154" t="s">
        <v>74</v>
      </c>
      <c r="BA154" t="s">
        <v>74</v>
      </c>
      <c r="BB154">
        <v>56</v>
      </c>
      <c r="BC154">
        <v>63</v>
      </c>
      <c r="BD154" t="s">
        <v>74</v>
      </c>
      <c r="BE154" t="s">
        <v>3361</v>
      </c>
      <c r="BF154" t="str">
        <f>HYPERLINK("http://dx.doi.org/10.1016/j.cbpa.2016.04.007","http://dx.doi.org/10.1016/j.cbpa.2016.04.007")</f>
        <v>http://dx.doi.org/10.1016/j.cbpa.2016.04.007</v>
      </c>
      <c r="BG154" t="s">
        <v>74</v>
      </c>
      <c r="BH154" t="s">
        <v>74</v>
      </c>
      <c r="BI154">
        <v>8</v>
      </c>
      <c r="BJ154" t="s">
        <v>3362</v>
      </c>
      <c r="BK154" t="s">
        <v>2548</v>
      </c>
      <c r="BL154" t="s">
        <v>3362</v>
      </c>
      <c r="BM154" t="s">
        <v>3363</v>
      </c>
      <c r="BN154">
        <v>27109199</v>
      </c>
      <c r="BO154" t="s">
        <v>74</v>
      </c>
      <c r="BP154" t="s">
        <v>74</v>
      </c>
      <c r="BQ154" t="s">
        <v>74</v>
      </c>
      <c r="BR154" t="s">
        <v>105</v>
      </c>
      <c r="BS154" t="s">
        <v>3364</v>
      </c>
      <c r="BT154" t="str">
        <f>HYPERLINK("https%3A%2F%2Fwww.webofscience.com%2Fwos%2Fwoscc%2Ffull-record%2FWOS:000383936700007","View Full Record in Web of Science")</f>
        <v>View Full Record in Web of Science</v>
      </c>
    </row>
    <row r="155" spans="1:72" x14ac:dyDescent="0.15">
      <c r="A155" t="s">
        <v>72</v>
      </c>
      <c r="B155" t="s">
        <v>3365</v>
      </c>
      <c r="C155" t="s">
        <v>74</v>
      </c>
      <c r="D155" t="s">
        <v>74</v>
      </c>
      <c r="E155" t="s">
        <v>74</v>
      </c>
      <c r="F155" t="s">
        <v>3366</v>
      </c>
      <c r="G155" t="s">
        <v>74</v>
      </c>
      <c r="H155" t="s">
        <v>74</v>
      </c>
      <c r="I155" t="s">
        <v>3367</v>
      </c>
      <c r="J155" t="s">
        <v>385</v>
      </c>
      <c r="K155" t="s">
        <v>74</v>
      </c>
      <c r="L155" t="s">
        <v>74</v>
      </c>
      <c r="M155" t="s">
        <v>78</v>
      </c>
      <c r="N155" t="s">
        <v>79</v>
      </c>
      <c r="O155" t="s">
        <v>74</v>
      </c>
      <c r="P155" t="s">
        <v>74</v>
      </c>
      <c r="Q155" t="s">
        <v>74</v>
      </c>
      <c r="R155" t="s">
        <v>74</v>
      </c>
      <c r="S155" t="s">
        <v>74</v>
      </c>
      <c r="T155" t="s">
        <v>74</v>
      </c>
      <c r="U155" t="s">
        <v>3368</v>
      </c>
      <c r="V155" t="s">
        <v>3369</v>
      </c>
      <c r="W155" t="s">
        <v>3370</v>
      </c>
      <c r="X155" t="s">
        <v>3371</v>
      </c>
      <c r="Y155" t="s">
        <v>3372</v>
      </c>
      <c r="Z155" t="s">
        <v>3373</v>
      </c>
      <c r="AA155" t="s">
        <v>3374</v>
      </c>
      <c r="AB155" t="s">
        <v>3375</v>
      </c>
      <c r="AC155" t="s">
        <v>3376</v>
      </c>
      <c r="AD155" t="s">
        <v>3377</v>
      </c>
      <c r="AE155" t="s">
        <v>3378</v>
      </c>
      <c r="AF155" t="s">
        <v>74</v>
      </c>
      <c r="AG155">
        <v>51</v>
      </c>
      <c r="AH155">
        <v>9</v>
      </c>
      <c r="AI155">
        <v>11</v>
      </c>
      <c r="AJ155">
        <v>0</v>
      </c>
      <c r="AK155">
        <v>7</v>
      </c>
      <c r="AL155" t="s">
        <v>397</v>
      </c>
      <c r="AM155" t="s">
        <v>398</v>
      </c>
      <c r="AN155" t="s">
        <v>3379</v>
      </c>
      <c r="AO155" t="s">
        <v>400</v>
      </c>
      <c r="AP155" t="s">
        <v>401</v>
      </c>
      <c r="AQ155" t="s">
        <v>74</v>
      </c>
      <c r="AR155" t="s">
        <v>402</v>
      </c>
      <c r="AS155" t="s">
        <v>403</v>
      </c>
      <c r="AT155" t="s">
        <v>2218</v>
      </c>
      <c r="AU155">
        <v>2016</v>
      </c>
      <c r="AV155">
        <v>46</v>
      </c>
      <c r="AW155">
        <v>10</v>
      </c>
      <c r="AX155" t="s">
        <v>74</v>
      </c>
      <c r="AY155" t="s">
        <v>74</v>
      </c>
      <c r="AZ155" t="s">
        <v>74</v>
      </c>
      <c r="BA155" t="s">
        <v>74</v>
      </c>
      <c r="BB155">
        <v>2943</v>
      </c>
      <c r="BC155">
        <v>2959</v>
      </c>
      <c r="BD155" t="s">
        <v>74</v>
      </c>
      <c r="BE155" t="s">
        <v>3380</v>
      </c>
      <c r="BF155" t="str">
        <f>HYPERLINK("http://dx.doi.org/10.1175/JPO-D-15-0241.1","http://dx.doi.org/10.1175/JPO-D-15-0241.1")</f>
        <v>http://dx.doi.org/10.1175/JPO-D-15-0241.1</v>
      </c>
      <c r="BG155" t="s">
        <v>74</v>
      </c>
      <c r="BH155" t="s">
        <v>74</v>
      </c>
      <c r="BI155">
        <v>17</v>
      </c>
      <c r="BJ155" t="s">
        <v>405</v>
      </c>
      <c r="BK155" t="s">
        <v>156</v>
      </c>
      <c r="BL155" t="s">
        <v>405</v>
      </c>
      <c r="BM155" t="s">
        <v>3381</v>
      </c>
      <c r="BN155" t="s">
        <v>74</v>
      </c>
      <c r="BO155" t="s">
        <v>104</v>
      </c>
      <c r="BP155" t="s">
        <v>74</v>
      </c>
      <c r="BQ155" t="s">
        <v>74</v>
      </c>
      <c r="BR155" t="s">
        <v>105</v>
      </c>
      <c r="BS155" t="s">
        <v>3382</v>
      </c>
      <c r="BT155" t="str">
        <f>HYPERLINK("https%3A%2F%2Fwww.webofscience.com%2Fwos%2Fwoscc%2Ffull-record%2FWOS:000384025700004","View Full Record in Web of Science")</f>
        <v>View Full Record in Web of Science</v>
      </c>
    </row>
    <row r="156" spans="1:72" x14ac:dyDescent="0.15">
      <c r="A156" t="s">
        <v>72</v>
      </c>
      <c r="B156" t="s">
        <v>3383</v>
      </c>
      <c r="C156" t="s">
        <v>74</v>
      </c>
      <c r="D156" t="s">
        <v>74</v>
      </c>
      <c r="E156" t="s">
        <v>74</v>
      </c>
      <c r="F156" t="s">
        <v>3384</v>
      </c>
      <c r="G156" t="s">
        <v>74</v>
      </c>
      <c r="H156" t="s">
        <v>74</v>
      </c>
      <c r="I156" t="s">
        <v>3385</v>
      </c>
      <c r="J156" t="s">
        <v>1654</v>
      </c>
      <c r="K156" t="s">
        <v>74</v>
      </c>
      <c r="L156" t="s">
        <v>74</v>
      </c>
      <c r="M156" t="s">
        <v>78</v>
      </c>
      <c r="N156" t="s">
        <v>79</v>
      </c>
      <c r="O156" t="s">
        <v>74</v>
      </c>
      <c r="P156" t="s">
        <v>74</v>
      </c>
      <c r="Q156" t="s">
        <v>74</v>
      </c>
      <c r="R156" t="s">
        <v>74</v>
      </c>
      <c r="S156" t="s">
        <v>74</v>
      </c>
      <c r="T156" t="s">
        <v>3386</v>
      </c>
      <c r="U156" t="s">
        <v>3387</v>
      </c>
      <c r="V156" t="s">
        <v>3388</v>
      </c>
      <c r="W156" t="s">
        <v>3389</v>
      </c>
      <c r="X156" t="s">
        <v>3390</v>
      </c>
      <c r="Y156" t="s">
        <v>3391</v>
      </c>
      <c r="Z156" t="s">
        <v>3392</v>
      </c>
      <c r="AA156" t="s">
        <v>3393</v>
      </c>
      <c r="AB156" t="s">
        <v>3394</v>
      </c>
      <c r="AC156" t="s">
        <v>3395</v>
      </c>
      <c r="AD156" t="s">
        <v>3396</v>
      </c>
      <c r="AE156" t="s">
        <v>3397</v>
      </c>
      <c r="AF156" t="s">
        <v>74</v>
      </c>
      <c r="AG156">
        <v>57</v>
      </c>
      <c r="AH156">
        <v>38</v>
      </c>
      <c r="AI156">
        <v>39</v>
      </c>
      <c r="AJ156">
        <v>2</v>
      </c>
      <c r="AK156">
        <v>24</v>
      </c>
      <c r="AL156" t="s">
        <v>303</v>
      </c>
      <c r="AM156" t="s">
        <v>304</v>
      </c>
      <c r="AN156" t="s">
        <v>305</v>
      </c>
      <c r="AO156" t="s">
        <v>1666</v>
      </c>
      <c r="AP156" t="s">
        <v>74</v>
      </c>
      <c r="AQ156" t="s">
        <v>74</v>
      </c>
      <c r="AR156" t="s">
        <v>1668</v>
      </c>
      <c r="AS156" t="s">
        <v>1669</v>
      </c>
      <c r="AT156" t="s">
        <v>2415</v>
      </c>
      <c r="AU156">
        <v>2016</v>
      </c>
      <c r="AV156">
        <v>149</v>
      </c>
      <c r="AW156" t="s">
        <v>74</v>
      </c>
      <c r="AX156" t="s">
        <v>74</v>
      </c>
      <c r="AY156" t="s">
        <v>74</v>
      </c>
      <c r="AZ156" t="s">
        <v>74</v>
      </c>
      <c r="BA156" t="s">
        <v>74</v>
      </c>
      <c r="BB156">
        <v>326</v>
      </c>
      <c r="BC156">
        <v>337</v>
      </c>
      <c r="BD156" t="s">
        <v>74</v>
      </c>
      <c r="BE156" t="s">
        <v>3398</v>
      </c>
      <c r="BF156" t="str">
        <f>HYPERLINK("http://dx.doi.org/10.1016/j.quascirev.2016.08.008","http://dx.doi.org/10.1016/j.quascirev.2016.08.008")</f>
        <v>http://dx.doi.org/10.1016/j.quascirev.2016.08.008</v>
      </c>
      <c r="BG156" t="s">
        <v>74</v>
      </c>
      <c r="BH156" t="s">
        <v>74</v>
      </c>
      <c r="BI156">
        <v>12</v>
      </c>
      <c r="BJ156" t="s">
        <v>203</v>
      </c>
      <c r="BK156" t="s">
        <v>156</v>
      </c>
      <c r="BL156" t="s">
        <v>204</v>
      </c>
      <c r="BM156" t="s">
        <v>3399</v>
      </c>
      <c r="BN156" t="s">
        <v>74</v>
      </c>
      <c r="BO156" t="s">
        <v>74</v>
      </c>
      <c r="BP156" t="s">
        <v>74</v>
      </c>
      <c r="BQ156" t="s">
        <v>74</v>
      </c>
      <c r="BR156" t="s">
        <v>105</v>
      </c>
      <c r="BS156" t="s">
        <v>3400</v>
      </c>
      <c r="BT156" t="str">
        <f>HYPERLINK("https%3A%2F%2Fwww.webofscience.com%2Fwos%2Fwoscc%2Ffull-record%2FWOS:000383825400022","View Full Record in Web of Science")</f>
        <v>View Full Record in Web of Science</v>
      </c>
    </row>
    <row r="157" spans="1:72" x14ac:dyDescent="0.15">
      <c r="A157" t="s">
        <v>72</v>
      </c>
      <c r="B157" t="s">
        <v>3401</v>
      </c>
      <c r="C157" t="s">
        <v>74</v>
      </c>
      <c r="D157" t="s">
        <v>74</v>
      </c>
      <c r="E157" t="s">
        <v>74</v>
      </c>
      <c r="F157" t="s">
        <v>3402</v>
      </c>
      <c r="G157" t="s">
        <v>74</v>
      </c>
      <c r="H157" t="s">
        <v>74</v>
      </c>
      <c r="I157" t="s">
        <v>3403</v>
      </c>
      <c r="J157" t="s">
        <v>3176</v>
      </c>
      <c r="K157" t="s">
        <v>74</v>
      </c>
      <c r="L157" t="s">
        <v>74</v>
      </c>
      <c r="M157" t="s">
        <v>78</v>
      </c>
      <c r="N157" t="s">
        <v>587</v>
      </c>
      <c r="O157" t="s">
        <v>74</v>
      </c>
      <c r="P157" t="s">
        <v>74</v>
      </c>
      <c r="Q157" t="s">
        <v>74</v>
      </c>
      <c r="R157" t="s">
        <v>74</v>
      </c>
      <c r="S157" t="s">
        <v>74</v>
      </c>
      <c r="T157" t="s">
        <v>74</v>
      </c>
      <c r="U157" t="s">
        <v>74</v>
      </c>
      <c r="V157" t="s">
        <v>74</v>
      </c>
      <c r="W157" t="s">
        <v>74</v>
      </c>
      <c r="X157" t="s">
        <v>74</v>
      </c>
      <c r="Y157" t="s">
        <v>74</v>
      </c>
      <c r="Z157" t="s">
        <v>74</v>
      </c>
      <c r="AA157" t="s">
        <v>3404</v>
      </c>
      <c r="AB157" t="s">
        <v>3405</v>
      </c>
      <c r="AC157" t="s">
        <v>3406</v>
      </c>
      <c r="AD157" t="s">
        <v>525</v>
      </c>
      <c r="AE157" t="s">
        <v>74</v>
      </c>
      <c r="AF157" t="s">
        <v>74</v>
      </c>
      <c r="AG157">
        <v>0</v>
      </c>
      <c r="AH157">
        <v>5</v>
      </c>
      <c r="AI157">
        <v>5</v>
      </c>
      <c r="AJ157">
        <v>1</v>
      </c>
      <c r="AK157">
        <v>9</v>
      </c>
      <c r="AL157" t="s">
        <v>2670</v>
      </c>
      <c r="AM157" t="s">
        <v>594</v>
      </c>
      <c r="AN157" t="s">
        <v>3187</v>
      </c>
      <c r="AO157" t="s">
        <v>3188</v>
      </c>
      <c r="AP157" t="s">
        <v>3189</v>
      </c>
      <c r="AQ157" t="s">
        <v>74</v>
      </c>
      <c r="AR157" t="s">
        <v>3190</v>
      </c>
      <c r="AS157" t="s">
        <v>3191</v>
      </c>
      <c r="AT157" t="s">
        <v>2218</v>
      </c>
      <c r="AU157">
        <v>2016</v>
      </c>
      <c r="AV157">
        <v>28</v>
      </c>
      <c r="AW157">
        <v>5</v>
      </c>
      <c r="AX157" t="s">
        <v>74</v>
      </c>
      <c r="AY157" t="s">
        <v>74</v>
      </c>
      <c r="AZ157" t="s">
        <v>74</v>
      </c>
      <c r="BA157" t="s">
        <v>74</v>
      </c>
      <c r="BB157">
        <v>325</v>
      </c>
      <c r="BC157">
        <v>325</v>
      </c>
      <c r="BD157" t="s">
        <v>74</v>
      </c>
      <c r="BE157" t="s">
        <v>3407</v>
      </c>
      <c r="BF157" t="str">
        <f>HYPERLINK("http://dx.doi.org/10.1017/S0954102016000407","http://dx.doi.org/10.1017/S0954102016000407")</f>
        <v>http://dx.doi.org/10.1017/S0954102016000407</v>
      </c>
      <c r="BG157" t="s">
        <v>74</v>
      </c>
      <c r="BH157" t="s">
        <v>74</v>
      </c>
      <c r="BI157">
        <v>1</v>
      </c>
      <c r="BJ157" t="s">
        <v>3193</v>
      </c>
      <c r="BK157" t="s">
        <v>156</v>
      </c>
      <c r="BL157" t="s">
        <v>3194</v>
      </c>
      <c r="BM157" t="s">
        <v>3195</v>
      </c>
      <c r="BN157" t="s">
        <v>74</v>
      </c>
      <c r="BO157" t="s">
        <v>2462</v>
      </c>
      <c r="BP157" t="s">
        <v>74</v>
      </c>
      <c r="BQ157" t="s">
        <v>74</v>
      </c>
      <c r="BR157" t="s">
        <v>105</v>
      </c>
      <c r="BS157" t="s">
        <v>3408</v>
      </c>
      <c r="BT157" t="str">
        <f>HYPERLINK("https%3A%2F%2Fwww.webofscience.com%2Fwos%2Fwoscc%2Ffull-record%2FWOS:000384240100001","View Full Record in Web of Science")</f>
        <v>View Full Record in Web of Science</v>
      </c>
    </row>
    <row r="158" spans="1:72" x14ac:dyDescent="0.15">
      <c r="A158" t="s">
        <v>72</v>
      </c>
      <c r="B158" t="s">
        <v>3409</v>
      </c>
      <c r="C158" t="s">
        <v>74</v>
      </c>
      <c r="D158" t="s">
        <v>74</v>
      </c>
      <c r="E158" t="s">
        <v>74</v>
      </c>
      <c r="F158" t="s">
        <v>3410</v>
      </c>
      <c r="G158" t="s">
        <v>74</v>
      </c>
      <c r="H158" t="s">
        <v>74</v>
      </c>
      <c r="I158" t="s">
        <v>3411</v>
      </c>
      <c r="J158" t="s">
        <v>3176</v>
      </c>
      <c r="K158" t="s">
        <v>74</v>
      </c>
      <c r="L158" t="s">
        <v>74</v>
      </c>
      <c r="M158" t="s">
        <v>78</v>
      </c>
      <c r="N158" t="s">
        <v>79</v>
      </c>
      <c r="O158" t="s">
        <v>74</v>
      </c>
      <c r="P158" t="s">
        <v>74</v>
      </c>
      <c r="Q158" t="s">
        <v>74</v>
      </c>
      <c r="R158" t="s">
        <v>74</v>
      </c>
      <c r="S158" t="s">
        <v>74</v>
      </c>
      <c r="T158" t="s">
        <v>3412</v>
      </c>
      <c r="U158" t="s">
        <v>3413</v>
      </c>
      <c r="V158" t="s">
        <v>3414</v>
      </c>
      <c r="W158" t="s">
        <v>3415</v>
      </c>
      <c r="X158" t="s">
        <v>3416</v>
      </c>
      <c r="Y158" t="s">
        <v>3417</v>
      </c>
      <c r="Z158" t="s">
        <v>3418</v>
      </c>
      <c r="AA158" t="s">
        <v>3419</v>
      </c>
      <c r="AB158" t="s">
        <v>3420</v>
      </c>
      <c r="AC158" t="s">
        <v>3421</v>
      </c>
      <c r="AD158" t="s">
        <v>3422</v>
      </c>
      <c r="AE158" t="s">
        <v>3423</v>
      </c>
      <c r="AF158" t="s">
        <v>74</v>
      </c>
      <c r="AG158">
        <v>48</v>
      </c>
      <c r="AH158">
        <v>15</v>
      </c>
      <c r="AI158">
        <v>17</v>
      </c>
      <c r="AJ158">
        <v>0</v>
      </c>
      <c r="AK158">
        <v>18</v>
      </c>
      <c r="AL158" t="s">
        <v>2670</v>
      </c>
      <c r="AM158" t="s">
        <v>594</v>
      </c>
      <c r="AN158" t="s">
        <v>3187</v>
      </c>
      <c r="AO158" t="s">
        <v>3188</v>
      </c>
      <c r="AP158" t="s">
        <v>3189</v>
      </c>
      <c r="AQ158" t="s">
        <v>74</v>
      </c>
      <c r="AR158" t="s">
        <v>3190</v>
      </c>
      <c r="AS158" t="s">
        <v>3191</v>
      </c>
      <c r="AT158" t="s">
        <v>2218</v>
      </c>
      <c r="AU158">
        <v>2016</v>
      </c>
      <c r="AV158">
        <v>28</v>
      </c>
      <c r="AW158">
        <v>5</v>
      </c>
      <c r="AX158" t="s">
        <v>74</v>
      </c>
      <c r="AY158" t="s">
        <v>74</v>
      </c>
      <c r="AZ158" t="s">
        <v>74</v>
      </c>
      <c r="BA158" t="s">
        <v>74</v>
      </c>
      <c r="BB158">
        <v>327</v>
      </c>
      <c r="BC158">
        <v>346</v>
      </c>
      <c r="BD158" t="s">
        <v>74</v>
      </c>
      <c r="BE158" t="s">
        <v>3424</v>
      </c>
      <c r="BF158" t="str">
        <f>HYPERLINK("http://dx.doi.org/10.1017/S0954102016000122","http://dx.doi.org/10.1017/S0954102016000122")</f>
        <v>http://dx.doi.org/10.1017/S0954102016000122</v>
      </c>
      <c r="BG158" t="s">
        <v>74</v>
      </c>
      <c r="BH158" t="s">
        <v>74</v>
      </c>
      <c r="BI158">
        <v>20</v>
      </c>
      <c r="BJ158" t="s">
        <v>3193</v>
      </c>
      <c r="BK158" t="s">
        <v>156</v>
      </c>
      <c r="BL158" t="s">
        <v>3194</v>
      </c>
      <c r="BM158" t="s">
        <v>3195</v>
      </c>
      <c r="BN158" t="s">
        <v>74</v>
      </c>
      <c r="BO158" t="s">
        <v>74</v>
      </c>
      <c r="BP158" t="s">
        <v>74</v>
      </c>
      <c r="BQ158" t="s">
        <v>74</v>
      </c>
      <c r="BR158" t="s">
        <v>105</v>
      </c>
      <c r="BS158" t="s">
        <v>3425</v>
      </c>
      <c r="BT158" t="str">
        <f>HYPERLINK("https%3A%2F%2Fwww.webofscience.com%2Fwos%2Fwoscc%2Ffull-record%2FWOS:000384240100002","View Full Record in Web of Science")</f>
        <v>View Full Record in Web of Science</v>
      </c>
    </row>
    <row r="159" spans="1:72" x14ac:dyDescent="0.15">
      <c r="A159" t="s">
        <v>72</v>
      </c>
      <c r="B159" t="s">
        <v>3426</v>
      </c>
      <c r="C159" t="s">
        <v>74</v>
      </c>
      <c r="D159" t="s">
        <v>74</v>
      </c>
      <c r="E159" t="s">
        <v>74</v>
      </c>
      <c r="F159" t="s">
        <v>3427</v>
      </c>
      <c r="G159" t="s">
        <v>74</v>
      </c>
      <c r="H159" t="s">
        <v>74</v>
      </c>
      <c r="I159" t="s">
        <v>3428</v>
      </c>
      <c r="J159" t="s">
        <v>3176</v>
      </c>
      <c r="K159" t="s">
        <v>74</v>
      </c>
      <c r="L159" t="s">
        <v>74</v>
      </c>
      <c r="M159" t="s">
        <v>78</v>
      </c>
      <c r="N159" t="s">
        <v>79</v>
      </c>
      <c r="O159" t="s">
        <v>74</v>
      </c>
      <c r="P159" t="s">
        <v>74</v>
      </c>
      <c r="Q159" t="s">
        <v>74</v>
      </c>
      <c r="R159" t="s">
        <v>74</v>
      </c>
      <c r="S159" t="s">
        <v>74</v>
      </c>
      <c r="T159" t="s">
        <v>3429</v>
      </c>
      <c r="U159" t="s">
        <v>3430</v>
      </c>
      <c r="V159" t="s">
        <v>3431</v>
      </c>
      <c r="W159" t="s">
        <v>3432</v>
      </c>
      <c r="X159" t="s">
        <v>3433</v>
      </c>
      <c r="Y159" t="s">
        <v>3434</v>
      </c>
      <c r="Z159" t="s">
        <v>3435</v>
      </c>
      <c r="AA159" t="s">
        <v>3436</v>
      </c>
      <c r="AB159" t="s">
        <v>3437</v>
      </c>
      <c r="AC159" t="s">
        <v>524</v>
      </c>
      <c r="AD159" t="s">
        <v>525</v>
      </c>
      <c r="AE159" t="s">
        <v>74</v>
      </c>
      <c r="AF159" t="s">
        <v>74</v>
      </c>
      <c r="AG159">
        <v>35</v>
      </c>
      <c r="AH159">
        <v>12</v>
      </c>
      <c r="AI159">
        <v>13</v>
      </c>
      <c r="AJ159">
        <v>1</v>
      </c>
      <c r="AK159">
        <v>29</v>
      </c>
      <c r="AL159" t="s">
        <v>2670</v>
      </c>
      <c r="AM159" t="s">
        <v>594</v>
      </c>
      <c r="AN159" t="s">
        <v>3187</v>
      </c>
      <c r="AO159" t="s">
        <v>3188</v>
      </c>
      <c r="AP159" t="s">
        <v>3189</v>
      </c>
      <c r="AQ159" t="s">
        <v>74</v>
      </c>
      <c r="AR159" t="s">
        <v>3190</v>
      </c>
      <c r="AS159" t="s">
        <v>3191</v>
      </c>
      <c r="AT159" t="s">
        <v>2218</v>
      </c>
      <c r="AU159">
        <v>2016</v>
      </c>
      <c r="AV159">
        <v>28</v>
      </c>
      <c r="AW159">
        <v>5</v>
      </c>
      <c r="AX159" t="s">
        <v>74</v>
      </c>
      <c r="AY159" t="s">
        <v>74</v>
      </c>
      <c r="AZ159" t="s">
        <v>74</v>
      </c>
      <c r="BA159" t="s">
        <v>74</v>
      </c>
      <c r="BB159">
        <v>347</v>
      </c>
      <c r="BC159">
        <v>360</v>
      </c>
      <c r="BD159" t="s">
        <v>74</v>
      </c>
      <c r="BE159" t="s">
        <v>3438</v>
      </c>
      <c r="BF159" t="str">
        <f>HYPERLINK("http://dx.doi.org/10.1017/S0954102016000183","http://dx.doi.org/10.1017/S0954102016000183")</f>
        <v>http://dx.doi.org/10.1017/S0954102016000183</v>
      </c>
      <c r="BG159" t="s">
        <v>74</v>
      </c>
      <c r="BH159" t="s">
        <v>74</v>
      </c>
      <c r="BI159">
        <v>14</v>
      </c>
      <c r="BJ159" t="s">
        <v>3193</v>
      </c>
      <c r="BK159" t="s">
        <v>156</v>
      </c>
      <c r="BL159" t="s">
        <v>3194</v>
      </c>
      <c r="BM159" t="s">
        <v>3195</v>
      </c>
      <c r="BN159" t="s">
        <v>74</v>
      </c>
      <c r="BO159" t="s">
        <v>74</v>
      </c>
      <c r="BP159" t="s">
        <v>74</v>
      </c>
      <c r="BQ159" t="s">
        <v>74</v>
      </c>
      <c r="BR159" t="s">
        <v>105</v>
      </c>
      <c r="BS159" t="s">
        <v>3439</v>
      </c>
      <c r="BT159" t="str">
        <f>HYPERLINK("https%3A%2F%2Fwww.webofscience.com%2Fwos%2Fwoscc%2Ffull-record%2FWOS:000384240100003","View Full Record in Web of Science")</f>
        <v>View Full Record in Web of Science</v>
      </c>
    </row>
    <row r="160" spans="1:72" x14ac:dyDescent="0.15">
      <c r="A160" t="s">
        <v>72</v>
      </c>
      <c r="B160" t="s">
        <v>3440</v>
      </c>
      <c r="C160" t="s">
        <v>74</v>
      </c>
      <c r="D160" t="s">
        <v>74</v>
      </c>
      <c r="E160" t="s">
        <v>74</v>
      </c>
      <c r="F160" t="s">
        <v>3441</v>
      </c>
      <c r="G160" t="s">
        <v>74</v>
      </c>
      <c r="H160" t="s">
        <v>74</v>
      </c>
      <c r="I160" t="s">
        <v>3442</v>
      </c>
      <c r="J160" t="s">
        <v>3443</v>
      </c>
      <c r="K160" t="s">
        <v>74</v>
      </c>
      <c r="L160" t="s">
        <v>74</v>
      </c>
      <c r="M160" t="s">
        <v>78</v>
      </c>
      <c r="N160" t="s">
        <v>79</v>
      </c>
      <c r="O160" t="s">
        <v>74</v>
      </c>
      <c r="P160" t="s">
        <v>74</v>
      </c>
      <c r="Q160" t="s">
        <v>74</v>
      </c>
      <c r="R160" t="s">
        <v>74</v>
      </c>
      <c r="S160" t="s">
        <v>74</v>
      </c>
      <c r="T160" t="s">
        <v>3444</v>
      </c>
      <c r="U160" t="s">
        <v>3445</v>
      </c>
      <c r="V160" t="s">
        <v>3446</v>
      </c>
      <c r="W160" t="s">
        <v>3447</v>
      </c>
      <c r="X160" t="s">
        <v>3448</v>
      </c>
      <c r="Y160" t="s">
        <v>3449</v>
      </c>
      <c r="Z160" t="s">
        <v>3450</v>
      </c>
      <c r="AA160" t="s">
        <v>3451</v>
      </c>
      <c r="AB160" t="s">
        <v>3452</v>
      </c>
      <c r="AC160" t="s">
        <v>3453</v>
      </c>
      <c r="AD160" t="s">
        <v>3453</v>
      </c>
      <c r="AE160" t="s">
        <v>3454</v>
      </c>
      <c r="AF160" t="s">
        <v>74</v>
      </c>
      <c r="AG160">
        <v>89</v>
      </c>
      <c r="AH160">
        <v>23</v>
      </c>
      <c r="AI160">
        <v>26</v>
      </c>
      <c r="AJ160">
        <v>0</v>
      </c>
      <c r="AK160">
        <v>27</v>
      </c>
      <c r="AL160" t="s">
        <v>474</v>
      </c>
      <c r="AM160" t="s">
        <v>304</v>
      </c>
      <c r="AN160" t="s">
        <v>475</v>
      </c>
      <c r="AO160" t="s">
        <v>3455</v>
      </c>
      <c r="AP160" t="s">
        <v>3456</v>
      </c>
      <c r="AQ160" t="s">
        <v>74</v>
      </c>
      <c r="AR160" t="s">
        <v>3457</v>
      </c>
      <c r="AS160" t="s">
        <v>3458</v>
      </c>
      <c r="AT160" t="s">
        <v>2218</v>
      </c>
      <c r="AU160">
        <v>2016</v>
      </c>
      <c r="AV160">
        <v>202</v>
      </c>
      <c r="AW160" t="s">
        <v>74</v>
      </c>
      <c r="AX160" t="s">
        <v>74</v>
      </c>
      <c r="AY160" t="s">
        <v>74</v>
      </c>
      <c r="AZ160" t="s">
        <v>74</v>
      </c>
      <c r="BA160" t="s">
        <v>74</v>
      </c>
      <c r="BB160">
        <v>88</v>
      </c>
      <c r="BC160">
        <v>98</v>
      </c>
      <c r="BD160" t="s">
        <v>74</v>
      </c>
      <c r="BE160" t="s">
        <v>3459</v>
      </c>
      <c r="BF160" t="str">
        <f>HYPERLINK("http://dx.doi.org/10.1016/j.biocon.2016.08.027","http://dx.doi.org/10.1016/j.biocon.2016.08.027")</f>
        <v>http://dx.doi.org/10.1016/j.biocon.2016.08.027</v>
      </c>
      <c r="BG160" t="s">
        <v>74</v>
      </c>
      <c r="BH160" t="s">
        <v>74</v>
      </c>
      <c r="BI160">
        <v>11</v>
      </c>
      <c r="BJ160" t="s">
        <v>3460</v>
      </c>
      <c r="BK160" t="s">
        <v>156</v>
      </c>
      <c r="BL160" t="s">
        <v>653</v>
      </c>
      <c r="BM160" t="s">
        <v>3461</v>
      </c>
      <c r="BN160" t="s">
        <v>74</v>
      </c>
      <c r="BO160" t="s">
        <v>74</v>
      </c>
      <c r="BP160" t="s">
        <v>74</v>
      </c>
      <c r="BQ160" t="s">
        <v>74</v>
      </c>
      <c r="BR160" t="s">
        <v>105</v>
      </c>
      <c r="BS160" t="s">
        <v>3462</v>
      </c>
      <c r="BT160" t="str">
        <f>HYPERLINK("https%3A%2F%2Fwww.webofscience.com%2Fwos%2Fwoscc%2Ffull-record%2FWOS:000386318400010","View Full Record in Web of Science")</f>
        <v>View Full Record in Web of Science</v>
      </c>
    </row>
    <row r="161" spans="1:72" x14ac:dyDescent="0.15">
      <c r="A161" t="s">
        <v>72</v>
      </c>
      <c r="B161" t="s">
        <v>3463</v>
      </c>
      <c r="C161" t="s">
        <v>74</v>
      </c>
      <c r="D161" t="s">
        <v>74</v>
      </c>
      <c r="E161" t="s">
        <v>74</v>
      </c>
      <c r="F161" t="s">
        <v>3464</v>
      </c>
      <c r="G161" t="s">
        <v>74</v>
      </c>
      <c r="H161" t="s">
        <v>74</v>
      </c>
      <c r="I161" t="s">
        <v>3465</v>
      </c>
      <c r="J161" t="s">
        <v>2597</v>
      </c>
      <c r="K161" t="s">
        <v>74</v>
      </c>
      <c r="L161" t="s">
        <v>74</v>
      </c>
      <c r="M161" t="s">
        <v>78</v>
      </c>
      <c r="N161" t="s">
        <v>587</v>
      </c>
      <c r="O161" t="s">
        <v>74</v>
      </c>
      <c r="P161" t="s">
        <v>74</v>
      </c>
      <c r="Q161" t="s">
        <v>74</v>
      </c>
      <c r="R161" t="s">
        <v>74</v>
      </c>
      <c r="S161" t="s">
        <v>74</v>
      </c>
      <c r="T161" t="s">
        <v>74</v>
      </c>
      <c r="U161" t="s">
        <v>74</v>
      </c>
      <c r="V161" t="s">
        <v>74</v>
      </c>
      <c r="W161" t="s">
        <v>3466</v>
      </c>
      <c r="X161" t="s">
        <v>3467</v>
      </c>
      <c r="Y161" t="s">
        <v>1248</v>
      </c>
      <c r="Z161" t="s">
        <v>74</v>
      </c>
      <c r="AA161" t="s">
        <v>74</v>
      </c>
      <c r="AB161" t="s">
        <v>74</v>
      </c>
      <c r="AC161" t="s">
        <v>74</v>
      </c>
      <c r="AD161" t="s">
        <v>74</v>
      </c>
      <c r="AE161" t="s">
        <v>74</v>
      </c>
      <c r="AF161" t="s">
        <v>74</v>
      </c>
      <c r="AG161">
        <v>0</v>
      </c>
      <c r="AH161">
        <v>4</v>
      </c>
      <c r="AI161">
        <v>4</v>
      </c>
      <c r="AJ161">
        <v>0</v>
      </c>
      <c r="AK161">
        <v>5</v>
      </c>
      <c r="AL161" t="s">
        <v>2501</v>
      </c>
      <c r="AM161" t="s">
        <v>304</v>
      </c>
      <c r="AN161" t="s">
        <v>2502</v>
      </c>
      <c r="AO161" t="s">
        <v>2610</v>
      </c>
      <c r="AP161" t="s">
        <v>2611</v>
      </c>
      <c r="AQ161" t="s">
        <v>74</v>
      </c>
      <c r="AR161" t="s">
        <v>2597</v>
      </c>
      <c r="AS161" t="s">
        <v>2612</v>
      </c>
      <c r="AT161" t="s">
        <v>2218</v>
      </c>
      <c r="AU161">
        <v>2016</v>
      </c>
      <c r="AV161">
        <v>66</v>
      </c>
      <c r="AW161">
        <v>10</v>
      </c>
      <c r="AX161" t="s">
        <v>74</v>
      </c>
      <c r="AY161" t="s">
        <v>74</v>
      </c>
      <c r="AZ161" t="s">
        <v>74</v>
      </c>
      <c r="BA161" t="s">
        <v>74</v>
      </c>
      <c r="BB161">
        <v>799</v>
      </c>
      <c r="BC161">
        <v>799</v>
      </c>
      <c r="BD161" t="s">
        <v>74</v>
      </c>
      <c r="BE161" t="s">
        <v>3468</v>
      </c>
      <c r="BF161" t="str">
        <f>HYPERLINK("http://dx.doi.org/10.1093/biosci/biw131","http://dx.doi.org/10.1093/biosci/biw131")</f>
        <v>http://dx.doi.org/10.1093/biosci/biw131</v>
      </c>
      <c r="BG161" t="s">
        <v>74</v>
      </c>
      <c r="BH161" t="s">
        <v>74</v>
      </c>
      <c r="BI161">
        <v>1</v>
      </c>
      <c r="BJ161" t="s">
        <v>2614</v>
      </c>
      <c r="BK161" t="s">
        <v>156</v>
      </c>
      <c r="BL161" t="s">
        <v>2615</v>
      </c>
      <c r="BM161" t="s">
        <v>2616</v>
      </c>
      <c r="BN161" t="s">
        <v>74</v>
      </c>
      <c r="BO161" t="s">
        <v>1494</v>
      </c>
      <c r="BP161" t="s">
        <v>74</v>
      </c>
      <c r="BQ161" t="s">
        <v>74</v>
      </c>
      <c r="BR161" t="s">
        <v>105</v>
      </c>
      <c r="BS161" t="s">
        <v>3469</v>
      </c>
      <c r="BT161" t="str">
        <f>HYPERLINK("https%3A%2F%2Fwww.webofscience.com%2Fwos%2Fwoscc%2Ffull-record%2FWOS:000386485900001","View Full Record in Web of Science")</f>
        <v>View Full Record in Web of Science</v>
      </c>
    </row>
    <row r="162" spans="1:72" x14ac:dyDescent="0.15">
      <c r="A162" t="s">
        <v>72</v>
      </c>
      <c r="B162" t="s">
        <v>3470</v>
      </c>
      <c r="C162" t="s">
        <v>74</v>
      </c>
      <c r="D162" t="s">
        <v>74</v>
      </c>
      <c r="E162" t="s">
        <v>74</v>
      </c>
      <c r="F162" t="s">
        <v>3471</v>
      </c>
      <c r="G162" t="s">
        <v>74</v>
      </c>
      <c r="H162" t="s">
        <v>74</v>
      </c>
      <c r="I162" t="s">
        <v>3472</v>
      </c>
      <c r="J162" t="s">
        <v>831</v>
      </c>
      <c r="K162" t="s">
        <v>74</v>
      </c>
      <c r="L162" t="s">
        <v>74</v>
      </c>
      <c r="M162" t="s">
        <v>78</v>
      </c>
      <c r="N162" t="s">
        <v>79</v>
      </c>
      <c r="O162" t="s">
        <v>74</v>
      </c>
      <c r="P162" t="s">
        <v>74</v>
      </c>
      <c r="Q162" t="s">
        <v>74</v>
      </c>
      <c r="R162" t="s">
        <v>74</v>
      </c>
      <c r="S162" t="s">
        <v>74</v>
      </c>
      <c r="T162" t="s">
        <v>3473</v>
      </c>
      <c r="U162" t="s">
        <v>3474</v>
      </c>
      <c r="V162" t="s">
        <v>3475</v>
      </c>
      <c r="W162" t="s">
        <v>3476</v>
      </c>
      <c r="X162" t="s">
        <v>3477</v>
      </c>
      <c r="Y162" t="s">
        <v>3478</v>
      </c>
      <c r="Z162" t="s">
        <v>3479</v>
      </c>
      <c r="AA162" t="s">
        <v>3480</v>
      </c>
      <c r="AB162" t="s">
        <v>3481</v>
      </c>
      <c r="AC162" t="s">
        <v>3482</v>
      </c>
      <c r="AD162" t="s">
        <v>3483</v>
      </c>
      <c r="AE162" t="s">
        <v>3484</v>
      </c>
      <c r="AF162" t="s">
        <v>74</v>
      </c>
      <c r="AG162">
        <v>51</v>
      </c>
      <c r="AH162">
        <v>10</v>
      </c>
      <c r="AI162">
        <v>11</v>
      </c>
      <c r="AJ162">
        <v>2</v>
      </c>
      <c r="AK162">
        <v>69</v>
      </c>
      <c r="AL162" t="s">
        <v>303</v>
      </c>
      <c r="AM162" t="s">
        <v>304</v>
      </c>
      <c r="AN162" t="s">
        <v>305</v>
      </c>
      <c r="AO162" t="s">
        <v>842</v>
      </c>
      <c r="AP162" t="s">
        <v>843</v>
      </c>
      <c r="AQ162" t="s">
        <v>74</v>
      </c>
      <c r="AR162" t="s">
        <v>831</v>
      </c>
      <c r="AS162" t="s">
        <v>844</v>
      </c>
      <c r="AT162" t="s">
        <v>2218</v>
      </c>
      <c r="AU162">
        <v>2016</v>
      </c>
      <c r="AV162">
        <v>161</v>
      </c>
      <c r="AW162" t="s">
        <v>74</v>
      </c>
      <c r="AX162" t="s">
        <v>74</v>
      </c>
      <c r="AY162" t="s">
        <v>74</v>
      </c>
      <c r="AZ162" t="s">
        <v>74</v>
      </c>
      <c r="BA162" t="s">
        <v>74</v>
      </c>
      <c r="BB162">
        <v>555</v>
      </c>
      <c r="BC162">
        <v>562</v>
      </c>
      <c r="BD162" t="s">
        <v>74</v>
      </c>
      <c r="BE162" t="s">
        <v>3485</v>
      </c>
      <c r="BF162" t="str">
        <f>HYPERLINK("http://dx.doi.org/10.1016/j.chemosphere.2016.01.089","http://dx.doi.org/10.1016/j.chemosphere.2016.01.089")</f>
        <v>http://dx.doi.org/10.1016/j.chemosphere.2016.01.089</v>
      </c>
      <c r="BG162" t="s">
        <v>74</v>
      </c>
      <c r="BH162" t="s">
        <v>74</v>
      </c>
      <c r="BI162">
        <v>8</v>
      </c>
      <c r="BJ162" t="s">
        <v>846</v>
      </c>
      <c r="BK162" t="s">
        <v>156</v>
      </c>
      <c r="BL162" t="s">
        <v>532</v>
      </c>
      <c r="BM162" t="s">
        <v>3486</v>
      </c>
      <c r="BN162">
        <v>27198544</v>
      </c>
      <c r="BO162" t="s">
        <v>3487</v>
      </c>
      <c r="BP162" t="s">
        <v>74</v>
      </c>
      <c r="BQ162" t="s">
        <v>74</v>
      </c>
      <c r="BR162" t="s">
        <v>105</v>
      </c>
      <c r="BS162" t="s">
        <v>3488</v>
      </c>
      <c r="BT162" t="str">
        <f>HYPERLINK("https%3A%2F%2Fwww.webofscience.com%2Fwos%2Fwoscc%2Ffull-record%2FWOS:000382409200066","View Full Record in Web of Science")</f>
        <v>View Full Record in Web of Science</v>
      </c>
    </row>
    <row r="163" spans="1:72" x14ac:dyDescent="0.15">
      <c r="A163" t="s">
        <v>72</v>
      </c>
      <c r="B163" t="s">
        <v>3489</v>
      </c>
      <c r="C163" t="s">
        <v>74</v>
      </c>
      <c r="D163" t="s">
        <v>74</v>
      </c>
      <c r="E163" t="s">
        <v>74</v>
      </c>
      <c r="F163" t="s">
        <v>3490</v>
      </c>
      <c r="G163" t="s">
        <v>74</v>
      </c>
      <c r="H163" t="s">
        <v>74</v>
      </c>
      <c r="I163" t="s">
        <v>3491</v>
      </c>
      <c r="J163" t="s">
        <v>3492</v>
      </c>
      <c r="K163" t="s">
        <v>74</v>
      </c>
      <c r="L163" t="s">
        <v>74</v>
      </c>
      <c r="M163" t="s">
        <v>78</v>
      </c>
      <c r="N163" t="s">
        <v>79</v>
      </c>
      <c r="O163" t="s">
        <v>74</v>
      </c>
      <c r="P163" t="s">
        <v>74</v>
      </c>
      <c r="Q163" t="s">
        <v>74</v>
      </c>
      <c r="R163" t="s">
        <v>74</v>
      </c>
      <c r="S163" t="s">
        <v>74</v>
      </c>
      <c r="T163" t="s">
        <v>3493</v>
      </c>
      <c r="U163" t="s">
        <v>3494</v>
      </c>
      <c r="V163" t="s">
        <v>3495</v>
      </c>
      <c r="W163" t="s">
        <v>3496</v>
      </c>
      <c r="X163" t="s">
        <v>1347</v>
      </c>
      <c r="Y163" t="s">
        <v>3497</v>
      </c>
      <c r="Z163" t="s">
        <v>3498</v>
      </c>
      <c r="AA163" t="s">
        <v>74</v>
      </c>
      <c r="AB163" t="s">
        <v>3499</v>
      </c>
      <c r="AC163" t="s">
        <v>3500</v>
      </c>
      <c r="AD163" t="s">
        <v>1353</v>
      </c>
      <c r="AE163" t="s">
        <v>3501</v>
      </c>
      <c r="AF163" t="s">
        <v>74</v>
      </c>
      <c r="AG163">
        <v>47</v>
      </c>
      <c r="AH163">
        <v>3</v>
      </c>
      <c r="AI163">
        <v>4</v>
      </c>
      <c r="AJ163">
        <v>0</v>
      </c>
      <c r="AK163">
        <v>13</v>
      </c>
      <c r="AL163" t="s">
        <v>501</v>
      </c>
      <c r="AM163" t="s">
        <v>502</v>
      </c>
      <c r="AN163" t="s">
        <v>503</v>
      </c>
      <c r="AO163" t="s">
        <v>3502</v>
      </c>
      <c r="AP163" t="s">
        <v>74</v>
      </c>
      <c r="AQ163" t="s">
        <v>74</v>
      </c>
      <c r="AR163" t="s">
        <v>3503</v>
      </c>
      <c r="AS163" t="s">
        <v>3504</v>
      </c>
      <c r="AT163" t="s">
        <v>2218</v>
      </c>
      <c r="AU163">
        <v>2016</v>
      </c>
      <c r="AV163">
        <v>6</v>
      </c>
      <c r="AW163">
        <v>20</v>
      </c>
      <c r="AX163" t="s">
        <v>74</v>
      </c>
      <c r="AY163" t="s">
        <v>74</v>
      </c>
      <c r="AZ163" t="s">
        <v>74</v>
      </c>
      <c r="BA163" t="s">
        <v>74</v>
      </c>
      <c r="BB163">
        <v>7199</v>
      </c>
      <c r="BC163">
        <v>7206</v>
      </c>
      <c r="BD163" t="s">
        <v>74</v>
      </c>
      <c r="BE163" t="s">
        <v>3505</v>
      </c>
      <c r="BF163" t="str">
        <f>HYPERLINK("http://dx.doi.org/10.1002/ece3.2461","http://dx.doi.org/10.1002/ece3.2461")</f>
        <v>http://dx.doi.org/10.1002/ece3.2461</v>
      </c>
      <c r="BG163" t="s">
        <v>74</v>
      </c>
      <c r="BH163" t="s">
        <v>74</v>
      </c>
      <c r="BI163">
        <v>8</v>
      </c>
      <c r="BJ163" t="s">
        <v>3506</v>
      </c>
      <c r="BK163" t="s">
        <v>156</v>
      </c>
      <c r="BL163" t="s">
        <v>3507</v>
      </c>
      <c r="BM163" t="s">
        <v>3508</v>
      </c>
      <c r="BN163">
        <v>28725392</v>
      </c>
      <c r="BO163" t="s">
        <v>3509</v>
      </c>
      <c r="BP163" t="s">
        <v>74</v>
      </c>
      <c r="BQ163" t="s">
        <v>74</v>
      </c>
      <c r="BR163" t="s">
        <v>105</v>
      </c>
      <c r="BS163" t="s">
        <v>3510</v>
      </c>
      <c r="BT163" t="str">
        <f>HYPERLINK("https%3A%2F%2Fwww.webofscience.com%2Fwos%2Fwoscc%2Ffull-record%2FWOS:000386429200004","View Full Record in Web of Science")</f>
        <v>View Full Record in Web of Science</v>
      </c>
    </row>
    <row r="164" spans="1:72" x14ac:dyDescent="0.15">
      <c r="A164" t="s">
        <v>72</v>
      </c>
      <c r="B164" t="s">
        <v>3511</v>
      </c>
      <c r="C164" t="s">
        <v>74</v>
      </c>
      <c r="D164" t="s">
        <v>74</v>
      </c>
      <c r="E164" t="s">
        <v>74</v>
      </c>
      <c r="F164" t="s">
        <v>3512</v>
      </c>
      <c r="G164" t="s">
        <v>74</v>
      </c>
      <c r="H164" t="s">
        <v>74</v>
      </c>
      <c r="I164" t="s">
        <v>3513</v>
      </c>
      <c r="J164" t="s">
        <v>3514</v>
      </c>
      <c r="K164" t="s">
        <v>74</v>
      </c>
      <c r="L164" t="s">
        <v>74</v>
      </c>
      <c r="M164" t="s">
        <v>78</v>
      </c>
      <c r="N164" t="s">
        <v>79</v>
      </c>
      <c r="O164" t="s">
        <v>74</v>
      </c>
      <c r="P164" t="s">
        <v>74</v>
      </c>
      <c r="Q164" t="s">
        <v>74</v>
      </c>
      <c r="R164" t="s">
        <v>74</v>
      </c>
      <c r="S164" t="s">
        <v>74</v>
      </c>
      <c r="T164" t="s">
        <v>74</v>
      </c>
      <c r="U164" t="s">
        <v>3515</v>
      </c>
      <c r="V164" t="s">
        <v>3516</v>
      </c>
      <c r="W164" t="s">
        <v>3517</v>
      </c>
      <c r="X164" t="s">
        <v>3518</v>
      </c>
      <c r="Y164" t="s">
        <v>3519</v>
      </c>
      <c r="Z164" t="s">
        <v>3520</v>
      </c>
      <c r="AA164" t="s">
        <v>3521</v>
      </c>
      <c r="AB164" t="s">
        <v>3522</v>
      </c>
      <c r="AC164" t="s">
        <v>3523</v>
      </c>
      <c r="AD164" t="s">
        <v>3524</v>
      </c>
      <c r="AE164" t="s">
        <v>3525</v>
      </c>
      <c r="AF164" t="s">
        <v>74</v>
      </c>
      <c r="AG164">
        <v>54</v>
      </c>
      <c r="AH164">
        <v>26</v>
      </c>
      <c r="AI164">
        <v>27</v>
      </c>
      <c r="AJ164">
        <v>0</v>
      </c>
      <c r="AK164">
        <v>30</v>
      </c>
      <c r="AL164" t="s">
        <v>501</v>
      </c>
      <c r="AM164" t="s">
        <v>502</v>
      </c>
      <c r="AN164" t="s">
        <v>503</v>
      </c>
      <c r="AO164" t="s">
        <v>3526</v>
      </c>
      <c r="AP164" t="s">
        <v>74</v>
      </c>
      <c r="AQ164" t="s">
        <v>74</v>
      </c>
      <c r="AR164" t="s">
        <v>3527</v>
      </c>
      <c r="AS164" t="s">
        <v>3528</v>
      </c>
      <c r="AT164" t="s">
        <v>2218</v>
      </c>
      <c r="AU164">
        <v>2016</v>
      </c>
      <c r="AV164">
        <v>8</v>
      </c>
      <c r="AW164">
        <v>5</v>
      </c>
      <c r="AX164" t="s">
        <v>74</v>
      </c>
      <c r="AY164" t="s">
        <v>74</v>
      </c>
      <c r="AZ164" t="s">
        <v>650</v>
      </c>
      <c r="BA164" t="s">
        <v>74</v>
      </c>
      <c r="BB164">
        <v>874</v>
      </c>
      <c r="BC164">
        <v>885</v>
      </c>
      <c r="BD164" t="s">
        <v>74</v>
      </c>
      <c r="BE164" t="s">
        <v>3529</v>
      </c>
      <c r="BF164" t="str">
        <f>HYPERLINK("http://dx.doi.org/10.1111/1758-2229.12452","http://dx.doi.org/10.1111/1758-2229.12452")</f>
        <v>http://dx.doi.org/10.1111/1758-2229.12452</v>
      </c>
      <c r="BG164" t="s">
        <v>74</v>
      </c>
      <c r="BH164" t="s">
        <v>74</v>
      </c>
      <c r="BI164">
        <v>12</v>
      </c>
      <c r="BJ164" t="s">
        <v>3530</v>
      </c>
      <c r="BK164" t="s">
        <v>156</v>
      </c>
      <c r="BL164" t="s">
        <v>283</v>
      </c>
      <c r="BM164" t="s">
        <v>3531</v>
      </c>
      <c r="BN164">
        <v>27518570</v>
      </c>
      <c r="BO164" t="s">
        <v>74</v>
      </c>
      <c r="BP164" t="s">
        <v>74</v>
      </c>
      <c r="BQ164" t="s">
        <v>74</v>
      </c>
      <c r="BR164" t="s">
        <v>105</v>
      </c>
      <c r="BS164" t="s">
        <v>3532</v>
      </c>
      <c r="BT164" t="str">
        <f>HYPERLINK("https%3A%2F%2Fwww.webofscience.com%2Fwos%2Fwoscc%2Ffull-record%2FWOS:000395002300042","View Full Record in Web of Science")</f>
        <v>View Full Record in Web of Science</v>
      </c>
    </row>
    <row r="165" spans="1:72" x14ac:dyDescent="0.15">
      <c r="A165" t="s">
        <v>72</v>
      </c>
      <c r="B165" t="s">
        <v>3533</v>
      </c>
      <c r="C165" t="s">
        <v>74</v>
      </c>
      <c r="D165" t="s">
        <v>74</v>
      </c>
      <c r="E165" t="s">
        <v>74</v>
      </c>
      <c r="F165" t="s">
        <v>3534</v>
      </c>
      <c r="G165" t="s">
        <v>74</v>
      </c>
      <c r="H165" t="s">
        <v>74</v>
      </c>
      <c r="I165" t="s">
        <v>3535</v>
      </c>
      <c r="J165" t="s">
        <v>3536</v>
      </c>
      <c r="K165" t="s">
        <v>74</v>
      </c>
      <c r="L165" t="s">
        <v>74</v>
      </c>
      <c r="M165" t="s">
        <v>78</v>
      </c>
      <c r="N165" t="s">
        <v>79</v>
      </c>
      <c r="O165" t="s">
        <v>74</v>
      </c>
      <c r="P165" t="s">
        <v>74</v>
      </c>
      <c r="Q165" t="s">
        <v>74</v>
      </c>
      <c r="R165" t="s">
        <v>74</v>
      </c>
      <c r="S165" t="s">
        <v>74</v>
      </c>
      <c r="T165" t="s">
        <v>3537</v>
      </c>
      <c r="U165" t="s">
        <v>3538</v>
      </c>
      <c r="V165" t="s">
        <v>3539</v>
      </c>
      <c r="W165" t="s">
        <v>3540</v>
      </c>
      <c r="X165" t="s">
        <v>3541</v>
      </c>
      <c r="Y165" t="s">
        <v>3542</v>
      </c>
      <c r="Z165" t="s">
        <v>3543</v>
      </c>
      <c r="AA165" t="s">
        <v>3544</v>
      </c>
      <c r="AB165" t="s">
        <v>3545</v>
      </c>
      <c r="AC165" t="s">
        <v>3546</v>
      </c>
      <c r="AD165" t="s">
        <v>3547</v>
      </c>
      <c r="AE165" t="s">
        <v>3548</v>
      </c>
      <c r="AF165" t="s">
        <v>74</v>
      </c>
      <c r="AG165">
        <v>56</v>
      </c>
      <c r="AH165">
        <v>22</v>
      </c>
      <c r="AI165">
        <v>23</v>
      </c>
      <c r="AJ165">
        <v>1</v>
      </c>
      <c r="AK165">
        <v>44</v>
      </c>
      <c r="AL165" t="s">
        <v>474</v>
      </c>
      <c r="AM165" t="s">
        <v>304</v>
      </c>
      <c r="AN165" t="s">
        <v>475</v>
      </c>
      <c r="AO165" t="s">
        <v>3549</v>
      </c>
      <c r="AP165" t="s">
        <v>3550</v>
      </c>
      <c r="AQ165" t="s">
        <v>74</v>
      </c>
      <c r="AR165" t="s">
        <v>3551</v>
      </c>
      <c r="AS165" t="s">
        <v>3552</v>
      </c>
      <c r="AT165" t="s">
        <v>2218</v>
      </c>
      <c r="AU165">
        <v>2016</v>
      </c>
      <c r="AV165">
        <v>217</v>
      </c>
      <c r="AW165" t="s">
        <v>74</v>
      </c>
      <c r="AX165" t="s">
        <v>74</v>
      </c>
      <c r="AY165" t="s">
        <v>74</v>
      </c>
      <c r="AZ165" t="s">
        <v>650</v>
      </c>
      <c r="BA165" t="s">
        <v>74</v>
      </c>
      <c r="BB165">
        <v>19</v>
      </c>
      <c r="BC165">
        <v>25</v>
      </c>
      <c r="BD165" t="s">
        <v>74</v>
      </c>
      <c r="BE165" t="s">
        <v>3553</v>
      </c>
      <c r="BF165" t="str">
        <f>HYPERLINK("http://dx.doi.org/10.1016/j.envpol.2015.12.057","http://dx.doi.org/10.1016/j.envpol.2015.12.057")</f>
        <v>http://dx.doi.org/10.1016/j.envpol.2015.12.057</v>
      </c>
      <c r="BG165" t="s">
        <v>74</v>
      </c>
      <c r="BH165" t="s">
        <v>74</v>
      </c>
      <c r="BI165">
        <v>7</v>
      </c>
      <c r="BJ165" t="s">
        <v>846</v>
      </c>
      <c r="BK165" t="s">
        <v>156</v>
      </c>
      <c r="BL165" t="s">
        <v>532</v>
      </c>
      <c r="BM165" t="s">
        <v>3554</v>
      </c>
      <c r="BN165">
        <v>26775725</v>
      </c>
      <c r="BO165" t="s">
        <v>74</v>
      </c>
      <c r="BP165" t="s">
        <v>74</v>
      </c>
      <c r="BQ165" t="s">
        <v>74</v>
      </c>
      <c r="BR165" t="s">
        <v>105</v>
      </c>
      <c r="BS165" t="s">
        <v>3555</v>
      </c>
      <c r="BT165" t="str">
        <f>HYPERLINK("https%3A%2F%2Fwww.webofscience.com%2Fwos%2Fwoscc%2Ffull-record%2FWOS:000383825100004","View Full Record in Web of Science")</f>
        <v>View Full Record in Web of Science</v>
      </c>
    </row>
    <row r="166" spans="1:72" x14ac:dyDescent="0.15">
      <c r="A166" t="s">
        <v>72</v>
      </c>
      <c r="B166" t="s">
        <v>3556</v>
      </c>
      <c r="C166" t="s">
        <v>74</v>
      </c>
      <c r="D166" t="s">
        <v>74</v>
      </c>
      <c r="E166" t="s">
        <v>74</v>
      </c>
      <c r="F166" t="s">
        <v>3557</v>
      </c>
      <c r="G166" t="s">
        <v>74</v>
      </c>
      <c r="H166" t="s">
        <v>74</v>
      </c>
      <c r="I166" t="s">
        <v>3558</v>
      </c>
      <c r="J166" t="s">
        <v>3559</v>
      </c>
      <c r="K166" t="s">
        <v>74</v>
      </c>
      <c r="L166" t="s">
        <v>74</v>
      </c>
      <c r="M166" t="s">
        <v>78</v>
      </c>
      <c r="N166" t="s">
        <v>79</v>
      </c>
      <c r="O166" t="s">
        <v>74</v>
      </c>
      <c r="P166" t="s">
        <v>74</v>
      </c>
      <c r="Q166" t="s">
        <v>74</v>
      </c>
      <c r="R166" t="s">
        <v>74</v>
      </c>
      <c r="S166" t="s">
        <v>74</v>
      </c>
      <c r="T166" t="s">
        <v>3560</v>
      </c>
      <c r="U166" t="s">
        <v>3561</v>
      </c>
      <c r="V166" t="s">
        <v>3562</v>
      </c>
      <c r="W166" t="s">
        <v>3563</v>
      </c>
      <c r="X166" t="s">
        <v>3564</v>
      </c>
      <c r="Y166" t="s">
        <v>3565</v>
      </c>
      <c r="Z166" t="s">
        <v>3566</v>
      </c>
      <c r="AA166" t="s">
        <v>3567</v>
      </c>
      <c r="AB166" t="s">
        <v>3568</v>
      </c>
      <c r="AC166" t="s">
        <v>3569</v>
      </c>
      <c r="AD166" t="s">
        <v>3570</v>
      </c>
      <c r="AE166" t="s">
        <v>3571</v>
      </c>
      <c r="AF166" t="s">
        <v>74</v>
      </c>
      <c r="AG166">
        <v>97</v>
      </c>
      <c r="AH166">
        <v>36</v>
      </c>
      <c r="AI166">
        <v>39</v>
      </c>
      <c r="AJ166">
        <v>5</v>
      </c>
      <c r="AK166">
        <v>35</v>
      </c>
      <c r="AL166" t="s">
        <v>2501</v>
      </c>
      <c r="AM166" t="s">
        <v>304</v>
      </c>
      <c r="AN166" t="s">
        <v>2502</v>
      </c>
      <c r="AO166" t="s">
        <v>3572</v>
      </c>
      <c r="AP166" t="s">
        <v>3573</v>
      </c>
      <c r="AQ166" t="s">
        <v>74</v>
      </c>
      <c r="AR166" t="s">
        <v>3574</v>
      </c>
      <c r="AS166" t="s">
        <v>3575</v>
      </c>
      <c r="AT166" t="s">
        <v>2218</v>
      </c>
      <c r="AU166">
        <v>2016</v>
      </c>
      <c r="AV166">
        <v>92</v>
      </c>
      <c r="AW166">
        <v>10</v>
      </c>
      <c r="AX166" t="s">
        <v>74</v>
      </c>
      <c r="AY166" t="s">
        <v>74</v>
      </c>
      <c r="AZ166" t="s">
        <v>74</v>
      </c>
      <c r="BA166" t="s">
        <v>74</v>
      </c>
      <c r="BB166" t="s">
        <v>74</v>
      </c>
      <c r="BC166" t="s">
        <v>74</v>
      </c>
      <c r="BD166" t="s">
        <v>3576</v>
      </c>
      <c r="BE166" t="s">
        <v>3577</v>
      </c>
      <c r="BF166" t="str">
        <f>HYPERLINK("http://dx.doi.org/10.1093/femsec/fiw148","http://dx.doi.org/10.1093/femsec/fiw148")</f>
        <v>http://dx.doi.org/10.1093/femsec/fiw148</v>
      </c>
      <c r="BG166" t="s">
        <v>74</v>
      </c>
      <c r="BH166" t="s">
        <v>74</v>
      </c>
      <c r="BI166">
        <v>16</v>
      </c>
      <c r="BJ166" t="s">
        <v>130</v>
      </c>
      <c r="BK166" t="s">
        <v>156</v>
      </c>
      <c r="BL166" t="s">
        <v>130</v>
      </c>
      <c r="BM166" t="s">
        <v>3578</v>
      </c>
      <c r="BN166">
        <v>27495241</v>
      </c>
      <c r="BO166" t="s">
        <v>2462</v>
      </c>
      <c r="BP166" t="s">
        <v>74</v>
      </c>
      <c r="BQ166" t="s">
        <v>74</v>
      </c>
      <c r="BR166" t="s">
        <v>105</v>
      </c>
      <c r="BS166" t="s">
        <v>3579</v>
      </c>
      <c r="BT166" t="str">
        <f>HYPERLINK("https%3A%2F%2Fwww.webofscience.com%2Fwos%2Fwoscc%2Ffull-record%2FWOS:000386074400006","View Full Record in Web of Science")</f>
        <v>View Full Record in Web of Science</v>
      </c>
    </row>
    <row r="167" spans="1:72" x14ac:dyDescent="0.15">
      <c r="A167" t="s">
        <v>72</v>
      </c>
      <c r="B167" t="s">
        <v>3580</v>
      </c>
      <c r="C167" t="s">
        <v>74</v>
      </c>
      <c r="D167" t="s">
        <v>74</v>
      </c>
      <c r="E167" t="s">
        <v>74</v>
      </c>
      <c r="F167" t="s">
        <v>3581</v>
      </c>
      <c r="G167" t="s">
        <v>74</v>
      </c>
      <c r="H167" t="s">
        <v>74</v>
      </c>
      <c r="I167" t="s">
        <v>3582</v>
      </c>
      <c r="J167" t="s">
        <v>138</v>
      </c>
      <c r="K167" t="s">
        <v>74</v>
      </c>
      <c r="L167" t="s">
        <v>74</v>
      </c>
      <c r="M167" t="s">
        <v>78</v>
      </c>
      <c r="N167" t="s">
        <v>79</v>
      </c>
      <c r="O167" t="s">
        <v>74</v>
      </c>
      <c r="P167" t="s">
        <v>74</v>
      </c>
      <c r="Q167" t="s">
        <v>74</v>
      </c>
      <c r="R167" t="s">
        <v>74</v>
      </c>
      <c r="S167" t="s">
        <v>74</v>
      </c>
      <c r="T167" t="s">
        <v>74</v>
      </c>
      <c r="U167" t="s">
        <v>3583</v>
      </c>
      <c r="V167" t="s">
        <v>3584</v>
      </c>
      <c r="W167" t="s">
        <v>3585</v>
      </c>
      <c r="X167" t="s">
        <v>3145</v>
      </c>
      <c r="Y167" t="s">
        <v>3586</v>
      </c>
      <c r="Z167" t="s">
        <v>3587</v>
      </c>
      <c r="AA167" t="s">
        <v>3588</v>
      </c>
      <c r="AB167" t="s">
        <v>3589</v>
      </c>
      <c r="AC167" t="s">
        <v>3590</v>
      </c>
      <c r="AD167" t="s">
        <v>3591</v>
      </c>
      <c r="AE167" t="s">
        <v>3592</v>
      </c>
      <c r="AF167" t="s">
        <v>74</v>
      </c>
      <c r="AG167">
        <v>51</v>
      </c>
      <c r="AH167">
        <v>23</v>
      </c>
      <c r="AI167">
        <v>27</v>
      </c>
      <c r="AJ167">
        <v>0</v>
      </c>
      <c r="AK167">
        <v>8</v>
      </c>
      <c r="AL167" t="s">
        <v>149</v>
      </c>
      <c r="AM167" t="s">
        <v>123</v>
      </c>
      <c r="AN167" t="s">
        <v>150</v>
      </c>
      <c r="AO167" t="s">
        <v>151</v>
      </c>
      <c r="AP167" t="s">
        <v>74</v>
      </c>
      <c r="AQ167" t="s">
        <v>74</v>
      </c>
      <c r="AR167" t="s">
        <v>152</v>
      </c>
      <c r="AS167" t="s">
        <v>153</v>
      </c>
      <c r="AT167" t="s">
        <v>2218</v>
      </c>
      <c r="AU167">
        <v>2016</v>
      </c>
      <c r="AV167">
        <v>17</v>
      </c>
      <c r="AW167">
        <v>10</v>
      </c>
      <c r="AX167" t="s">
        <v>74</v>
      </c>
      <c r="AY167" t="s">
        <v>74</v>
      </c>
      <c r="AZ167" t="s">
        <v>74</v>
      </c>
      <c r="BA167" t="s">
        <v>74</v>
      </c>
      <c r="BB167">
        <v>4276</v>
      </c>
      <c r="BC167">
        <v>4285</v>
      </c>
      <c r="BD167" t="s">
        <v>74</v>
      </c>
      <c r="BE167" t="s">
        <v>3593</v>
      </c>
      <c r="BF167" t="str">
        <f>HYPERLINK("http://dx.doi.org/10.1002/2016GC006401","http://dx.doi.org/10.1002/2016GC006401")</f>
        <v>http://dx.doi.org/10.1002/2016GC006401</v>
      </c>
      <c r="BG167" t="s">
        <v>74</v>
      </c>
      <c r="BH167" t="s">
        <v>74</v>
      </c>
      <c r="BI167">
        <v>10</v>
      </c>
      <c r="BJ167" t="s">
        <v>155</v>
      </c>
      <c r="BK167" t="s">
        <v>156</v>
      </c>
      <c r="BL167" t="s">
        <v>155</v>
      </c>
      <c r="BM167" t="s">
        <v>3594</v>
      </c>
      <c r="BN167" t="s">
        <v>74</v>
      </c>
      <c r="BO167" t="s">
        <v>3229</v>
      </c>
      <c r="BP167" t="s">
        <v>74</v>
      </c>
      <c r="BQ167" t="s">
        <v>74</v>
      </c>
      <c r="BR167" t="s">
        <v>105</v>
      </c>
      <c r="BS167" t="s">
        <v>3595</v>
      </c>
      <c r="BT167" t="str">
        <f>HYPERLINK("https%3A%2F%2Fwww.webofscience.com%2Fwos%2Fwoscc%2Ffull-record%2FWOS:000388694600027","View Full Record in Web of Science")</f>
        <v>View Full Record in Web of Science</v>
      </c>
    </row>
    <row r="168" spans="1:72" x14ac:dyDescent="0.15">
      <c r="A168" t="s">
        <v>72</v>
      </c>
      <c r="B168" t="s">
        <v>3596</v>
      </c>
      <c r="C168" t="s">
        <v>74</v>
      </c>
      <c r="D168" t="s">
        <v>74</v>
      </c>
      <c r="E168" t="s">
        <v>74</v>
      </c>
      <c r="F168" t="s">
        <v>3597</v>
      </c>
      <c r="G168" t="s">
        <v>74</v>
      </c>
      <c r="H168" t="s">
        <v>74</v>
      </c>
      <c r="I168" t="s">
        <v>3598</v>
      </c>
      <c r="J168" t="s">
        <v>876</v>
      </c>
      <c r="K168" t="s">
        <v>74</v>
      </c>
      <c r="L168" t="s">
        <v>74</v>
      </c>
      <c r="M168" t="s">
        <v>78</v>
      </c>
      <c r="N168" t="s">
        <v>79</v>
      </c>
      <c r="O168" t="s">
        <v>74</v>
      </c>
      <c r="P168" t="s">
        <v>74</v>
      </c>
      <c r="Q168" t="s">
        <v>74</v>
      </c>
      <c r="R168" t="s">
        <v>74</v>
      </c>
      <c r="S168" t="s">
        <v>74</v>
      </c>
      <c r="T168" t="s">
        <v>3599</v>
      </c>
      <c r="U168" t="s">
        <v>3600</v>
      </c>
      <c r="V168" t="s">
        <v>3601</v>
      </c>
      <c r="W168" t="s">
        <v>3602</v>
      </c>
      <c r="X168" t="s">
        <v>3603</v>
      </c>
      <c r="Y168" t="s">
        <v>3604</v>
      </c>
      <c r="Z168" t="s">
        <v>3605</v>
      </c>
      <c r="AA168" t="s">
        <v>3606</v>
      </c>
      <c r="AB168" t="s">
        <v>3607</v>
      </c>
      <c r="AC168" t="s">
        <v>3608</v>
      </c>
      <c r="AD168" t="s">
        <v>3609</v>
      </c>
      <c r="AE168" t="s">
        <v>3610</v>
      </c>
      <c r="AF168" t="s">
        <v>74</v>
      </c>
      <c r="AG168">
        <v>54</v>
      </c>
      <c r="AH168">
        <v>30</v>
      </c>
      <c r="AI168">
        <v>32</v>
      </c>
      <c r="AJ168">
        <v>0</v>
      </c>
      <c r="AK168">
        <v>24</v>
      </c>
      <c r="AL168" t="s">
        <v>303</v>
      </c>
      <c r="AM168" t="s">
        <v>304</v>
      </c>
      <c r="AN168" t="s">
        <v>305</v>
      </c>
      <c r="AO168" t="s">
        <v>889</v>
      </c>
      <c r="AP168" t="s">
        <v>890</v>
      </c>
      <c r="AQ168" t="s">
        <v>74</v>
      </c>
      <c r="AR168" t="s">
        <v>891</v>
      </c>
      <c r="AS168" t="s">
        <v>892</v>
      </c>
      <c r="AT168" t="s">
        <v>2415</v>
      </c>
      <c r="AU168">
        <v>2016</v>
      </c>
      <c r="AV168">
        <v>190</v>
      </c>
      <c r="AW168" t="s">
        <v>74</v>
      </c>
      <c r="AX168" t="s">
        <v>74</v>
      </c>
      <c r="AY168" t="s">
        <v>74</v>
      </c>
      <c r="AZ168" t="s">
        <v>74</v>
      </c>
      <c r="BA168" t="s">
        <v>74</v>
      </c>
      <c r="BB168">
        <v>191</v>
      </c>
      <c r="BC168">
        <v>212</v>
      </c>
      <c r="BD168" t="s">
        <v>74</v>
      </c>
      <c r="BE168" t="s">
        <v>3611</v>
      </c>
      <c r="BF168" t="str">
        <f>HYPERLINK("http://dx.doi.org/10.1016/j.gca.2016.06.032","http://dx.doi.org/10.1016/j.gca.2016.06.032")</f>
        <v>http://dx.doi.org/10.1016/j.gca.2016.06.032</v>
      </c>
      <c r="BG168" t="s">
        <v>74</v>
      </c>
      <c r="BH168" t="s">
        <v>74</v>
      </c>
      <c r="BI168">
        <v>22</v>
      </c>
      <c r="BJ168" t="s">
        <v>155</v>
      </c>
      <c r="BK168" t="s">
        <v>156</v>
      </c>
      <c r="BL168" t="s">
        <v>155</v>
      </c>
      <c r="BM168" t="s">
        <v>3612</v>
      </c>
      <c r="BN168" t="s">
        <v>74</v>
      </c>
      <c r="BO168" t="s">
        <v>407</v>
      </c>
      <c r="BP168" t="s">
        <v>74</v>
      </c>
      <c r="BQ168" t="s">
        <v>74</v>
      </c>
      <c r="BR168" t="s">
        <v>105</v>
      </c>
      <c r="BS168" t="s">
        <v>3613</v>
      </c>
      <c r="BT168" t="str">
        <f>HYPERLINK("https%3A%2F%2Fwww.webofscience.com%2Fwos%2Fwoscc%2Ffull-record%2FWOS:000388802600012","View Full Record in Web of Science")</f>
        <v>View Full Record in Web of Science</v>
      </c>
    </row>
    <row r="169" spans="1:72" x14ac:dyDescent="0.15">
      <c r="A169" t="s">
        <v>72</v>
      </c>
      <c r="B169" t="s">
        <v>3614</v>
      </c>
      <c r="C169" t="s">
        <v>74</v>
      </c>
      <c r="D169" t="s">
        <v>74</v>
      </c>
      <c r="E169" t="s">
        <v>74</v>
      </c>
      <c r="F169" t="s">
        <v>3615</v>
      </c>
      <c r="G169" t="s">
        <v>74</v>
      </c>
      <c r="H169" t="s">
        <v>74</v>
      </c>
      <c r="I169" t="s">
        <v>3616</v>
      </c>
      <c r="J169" t="s">
        <v>1088</v>
      </c>
      <c r="K169" t="s">
        <v>74</v>
      </c>
      <c r="L169" t="s">
        <v>74</v>
      </c>
      <c r="M169" t="s">
        <v>78</v>
      </c>
      <c r="N169" t="s">
        <v>79</v>
      </c>
      <c r="O169" t="s">
        <v>74</v>
      </c>
      <c r="P169" t="s">
        <v>74</v>
      </c>
      <c r="Q169" t="s">
        <v>74</v>
      </c>
      <c r="R169" t="s">
        <v>74</v>
      </c>
      <c r="S169" t="s">
        <v>74</v>
      </c>
      <c r="T169" t="s">
        <v>3617</v>
      </c>
      <c r="U169" t="s">
        <v>3618</v>
      </c>
      <c r="V169" t="s">
        <v>3619</v>
      </c>
      <c r="W169" t="s">
        <v>3620</v>
      </c>
      <c r="X169" t="s">
        <v>3621</v>
      </c>
      <c r="Y169" t="s">
        <v>3622</v>
      </c>
      <c r="Z169" t="s">
        <v>3623</v>
      </c>
      <c r="AA169" t="s">
        <v>3624</v>
      </c>
      <c r="AB169" t="s">
        <v>3625</v>
      </c>
      <c r="AC169" t="s">
        <v>3626</v>
      </c>
      <c r="AD169" t="s">
        <v>3627</v>
      </c>
      <c r="AE169" t="s">
        <v>3628</v>
      </c>
      <c r="AF169" t="s">
        <v>74</v>
      </c>
      <c r="AG169">
        <v>24</v>
      </c>
      <c r="AH169">
        <v>22</v>
      </c>
      <c r="AI169">
        <v>24</v>
      </c>
      <c r="AJ169">
        <v>1</v>
      </c>
      <c r="AK169">
        <v>14</v>
      </c>
      <c r="AL169" t="s">
        <v>149</v>
      </c>
      <c r="AM169" t="s">
        <v>123</v>
      </c>
      <c r="AN169" t="s">
        <v>150</v>
      </c>
      <c r="AO169" t="s">
        <v>1100</v>
      </c>
      <c r="AP169" t="s">
        <v>1101</v>
      </c>
      <c r="AQ169" t="s">
        <v>74</v>
      </c>
      <c r="AR169" t="s">
        <v>1102</v>
      </c>
      <c r="AS169" t="s">
        <v>1103</v>
      </c>
      <c r="AT169" t="s">
        <v>2218</v>
      </c>
      <c r="AU169">
        <v>2016</v>
      </c>
      <c r="AV169">
        <v>43</v>
      </c>
      <c r="AW169">
        <v>19</v>
      </c>
      <c r="AX169" t="s">
        <v>74</v>
      </c>
      <c r="AY169" t="s">
        <v>74</v>
      </c>
      <c r="AZ169" t="s">
        <v>74</v>
      </c>
      <c r="BA169" t="s">
        <v>74</v>
      </c>
      <c r="BB169">
        <v>10034</v>
      </c>
      <c r="BC169">
        <v>10039</v>
      </c>
      <c r="BD169" t="s">
        <v>74</v>
      </c>
      <c r="BE169" t="s">
        <v>3629</v>
      </c>
      <c r="BF169" t="str">
        <f>HYPERLINK("http://dx.doi.org/10.1002/2016GL070216","http://dx.doi.org/10.1002/2016GL070216")</f>
        <v>http://dx.doi.org/10.1002/2016GL070216</v>
      </c>
      <c r="BG169" t="s">
        <v>74</v>
      </c>
      <c r="BH169" t="s">
        <v>74</v>
      </c>
      <c r="BI169">
        <v>6</v>
      </c>
      <c r="BJ169" t="s">
        <v>352</v>
      </c>
      <c r="BK169" t="s">
        <v>156</v>
      </c>
      <c r="BL169" t="s">
        <v>177</v>
      </c>
      <c r="BM169" t="s">
        <v>3630</v>
      </c>
      <c r="BN169" t="s">
        <v>74</v>
      </c>
      <c r="BO169" t="s">
        <v>459</v>
      </c>
      <c r="BP169" t="s">
        <v>74</v>
      </c>
      <c r="BQ169" t="s">
        <v>74</v>
      </c>
      <c r="BR169" t="s">
        <v>105</v>
      </c>
      <c r="BS169" t="s">
        <v>3631</v>
      </c>
      <c r="BT169" t="str">
        <f>HYPERLINK("https%3A%2F%2Fwww.webofscience.com%2Fwos%2Fwoscc%2Ffull-record%2FWOS:000386939800016","View Full Record in Web of Science")</f>
        <v>View Full Record in Web of Science</v>
      </c>
    </row>
    <row r="170" spans="1:72" x14ac:dyDescent="0.15">
      <c r="A170" t="s">
        <v>72</v>
      </c>
      <c r="B170" t="s">
        <v>3632</v>
      </c>
      <c r="C170" t="s">
        <v>74</v>
      </c>
      <c r="D170" t="s">
        <v>74</v>
      </c>
      <c r="E170" t="s">
        <v>74</v>
      </c>
      <c r="F170" t="s">
        <v>3633</v>
      </c>
      <c r="G170" t="s">
        <v>74</v>
      </c>
      <c r="H170" t="s">
        <v>74</v>
      </c>
      <c r="I170" t="s">
        <v>3634</v>
      </c>
      <c r="J170" t="s">
        <v>1088</v>
      </c>
      <c r="K170" t="s">
        <v>74</v>
      </c>
      <c r="L170" t="s">
        <v>74</v>
      </c>
      <c r="M170" t="s">
        <v>78</v>
      </c>
      <c r="N170" t="s">
        <v>79</v>
      </c>
      <c r="O170" t="s">
        <v>74</v>
      </c>
      <c r="P170" t="s">
        <v>74</v>
      </c>
      <c r="Q170" t="s">
        <v>74</v>
      </c>
      <c r="R170" t="s">
        <v>74</v>
      </c>
      <c r="S170" t="s">
        <v>74</v>
      </c>
      <c r="T170" t="s">
        <v>3635</v>
      </c>
      <c r="U170" t="s">
        <v>3636</v>
      </c>
      <c r="V170" t="s">
        <v>3637</v>
      </c>
      <c r="W170" t="s">
        <v>3638</v>
      </c>
      <c r="X170" t="s">
        <v>3639</v>
      </c>
      <c r="Y170" t="s">
        <v>3640</v>
      </c>
      <c r="Z170" t="s">
        <v>3641</v>
      </c>
      <c r="AA170" t="s">
        <v>3642</v>
      </c>
      <c r="AB170" t="s">
        <v>3643</v>
      </c>
      <c r="AC170" t="s">
        <v>3644</v>
      </c>
      <c r="AD170" t="s">
        <v>3645</v>
      </c>
      <c r="AE170" t="s">
        <v>74</v>
      </c>
      <c r="AF170" t="s">
        <v>74</v>
      </c>
      <c r="AG170">
        <v>36</v>
      </c>
      <c r="AH170">
        <v>34</v>
      </c>
      <c r="AI170">
        <v>38</v>
      </c>
      <c r="AJ170">
        <v>2</v>
      </c>
      <c r="AK170">
        <v>17</v>
      </c>
      <c r="AL170" t="s">
        <v>149</v>
      </c>
      <c r="AM170" t="s">
        <v>123</v>
      </c>
      <c r="AN170" t="s">
        <v>150</v>
      </c>
      <c r="AO170" t="s">
        <v>1100</v>
      </c>
      <c r="AP170" t="s">
        <v>1101</v>
      </c>
      <c r="AQ170" t="s">
        <v>74</v>
      </c>
      <c r="AR170" t="s">
        <v>1102</v>
      </c>
      <c r="AS170" t="s">
        <v>1103</v>
      </c>
      <c r="AT170" t="s">
        <v>2218</v>
      </c>
      <c r="AU170">
        <v>2016</v>
      </c>
      <c r="AV170">
        <v>43</v>
      </c>
      <c r="AW170">
        <v>19</v>
      </c>
      <c r="AX170" t="s">
        <v>74</v>
      </c>
      <c r="AY170" t="s">
        <v>74</v>
      </c>
      <c r="AZ170" t="s">
        <v>74</v>
      </c>
      <c r="BA170" t="s">
        <v>74</v>
      </c>
      <c r="BB170">
        <v>10295</v>
      </c>
      <c r="BC170">
        <v>10302</v>
      </c>
      <c r="BD170" t="s">
        <v>74</v>
      </c>
      <c r="BE170" t="s">
        <v>3646</v>
      </c>
      <c r="BF170" t="str">
        <f>HYPERLINK("http://dx.doi.org/10.1002/2016GL070655","http://dx.doi.org/10.1002/2016GL070655")</f>
        <v>http://dx.doi.org/10.1002/2016GL070655</v>
      </c>
      <c r="BG170" t="s">
        <v>74</v>
      </c>
      <c r="BH170" t="s">
        <v>74</v>
      </c>
      <c r="BI170">
        <v>8</v>
      </c>
      <c r="BJ170" t="s">
        <v>352</v>
      </c>
      <c r="BK170" t="s">
        <v>156</v>
      </c>
      <c r="BL170" t="s">
        <v>177</v>
      </c>
      <c r="BM170" t="s">
        <v>3630</v>
      </c>
      <c r="BN170" t="s">
        <v>74</v>
      </c>
      <c r="BO170" t="s">
        <v>1124</v>
      </c>
      <c r="BP170" t="s">
        <v>74</v>
      </c>
      <c r="BQ170" t="s">
        <v>74</v>
      </c>
      <c r="BR170" t="s">
        <v>105</v>
      </c>
      <c r="BS170" t="s">
        <v>3647</v>
      </c>
      <c r="BT170" t="str">
        <f>HYPERLINK("https%3A%2F%2Fwww.webofscience.com%2Fwos%2Fwoscc%2Ffull-record%2FWOS:000386939800053","View Full Record in Web of Science")</f>
        <v>View Full Record in Web of Science</v>
      </c>
    </row>
    <row r="171" spans="1:72" x14ac:dyDescent="0.15">
      <c r="A171" t="s">
        <v>72</v>
      </c>
      <c r="B171" t="s">
        <v>3648</v>
      </c>
      <c r="C171" t="s">
        <v>74</v>
      </c>
      <c r="D171" t="s">
        <v>74</v>
      </c>
      <c r="E171" t="s">
        <v>74</v>
      </c>
      <c r="F171" t="s">
        <v>3649</v>
      </c>
      <c r="G171" t="s">
        <v>74</v>
      </c>
      <c r="H171" t="s">
        <v>74</v>
      </c>
      <c r="I171" t="s">
        <v>3650</v>
      </c>
      <c r="J171" t="s">
        <v>1088</v>
      </c>
      <c r="K171" t="s">
        <v>74</v>
      </c>
      <c r="L171" t="s">
        <v>74</v>
      </c>
      <c r="M171" t="s">
        <v>78</v>
      </c>
      <c r="N171" t="s">
        <v>79</v>
      </c>
      <c r="O171" t="s">
        <v>74</v>
      </c>
      <c r="P171" t="s">
        <v>74</v>
      </c>
      <c r="Q171" t="s">
        <v>74</v>
      </c>
      <c r="R171" t="s">
        <v>74</v>
      </c>
      <c r="S171" t="s">
        <v>74</v>
      </c>
      <c r="T171" t="s">
        <v>3651</v>
      </c>
      <c r="U171" t="s">
        <v>3652</v>
      </c>
      <c r="V171" t="s">
        <v>3653</v>
      </c>
      <c r="W171" t="s">
        <v>3654</v>
      </c>
      <c r="X171" t="s">
        <v>3655</v>
      </c>
      <c r="Y171" t="s">
        <v>3656</v>
      </c>
      <c r="Z171" t="s">
        <v>3657</v>
      </c>
      <c r="AA171" t="s">
        <v>3658</v>
      </c>
      <c r="AB171" t="s">
        <v>3659</v>
      </c>
      <c r="AC171" t="s">
        <v>3660</v>
      </c>
      <c r="AD171" t="s">
        <v>3661</v>
      </c>
      <c r="AE171" t="s">
        <v>3662</v>
      </c>
      <c r="AF171" t="s">
        <v>74</v>
      </c>
      <c r="AG171">
        <v>53</v>
      </c>
      <c r="AH171">
        <v>61</v>
      </c>
      <c r="AI171">
        <v>63</v>
      </c>
      <c r="AJ171">
        <v>0</v>
      </c>
      <c r="AK171">
        <v>24</v>
      </c>
      <c r="AL171" t="s">
        <v>149</v>
      </c>
      <c r="AM171" t="s">
        <v>123</v>
      </c>
      <c r="AN171" t="s">
        <v>150</v>
      </c>
      <c r="AO171" t="s">
        <v>1100</v>
      </c>
      <c r="AP171" t="s">
        <v>1101</v>
      </c>
      <c r="AQ171" t="s">
        <v>74</v>
      </c>
      <c r="AR171" t="s">
        <v>1102</v>
      </c>
      <c r="AS171" t="s">
        <v>1103</v>
      </c>
      <c r="AT171" t="s">
        <v>2218</v>
      </c>
      <c r="AU171">
        <v>2016</v>
      </c>
      <c r="AV171">
        <v>43</v>
      </c>
      <c r="AW171">
        <v>19</v>
      </c>
      <c r="AX171" t="s">
        <v>74</v>
      </c>
      <c r="AY171" t="s">
        <v>74</v>
      </c>
      <c r="AZ171" t="s">
        <v>74</v>
      </c>
      <c r="BA171" t="s">
        <v>74</v>
      </c>
      <c r="BB171">
        <v>10311</v>
      </c>
      <c r="BC171">
        <v>10321</v>
      </c>
      <c r="BD171" t="s">
        <v>74</v>
      </c>
      <c r="BE171" t="s">
        <v>3663</v>
      </c>
      <c r="BF171" t="str">
        <f>HYPERLINK("http://dx.doi.org/10.1002/2016GL069937","http://dx.doi.org/10.1002/2016GL069937")</f>
        <v>http://dx.doi.org/10.1002/2016GL069937</v>
      </c>
      <c r="BG171" t="s">
        <v>74</v>
      </c>
      <c r="BH171" t="s">
        <v>74</v>
      </c>
      <c r="BI171">
        <v>11</v>
      </c>
      <c r="BJ171" t="s">
        <v>352</v>
      </c>
      <c r="BK171" t="s">
        <v>156</v>
      </c>
      <c r="BL171" t="s">
        <v>177</v>
      </c>
      <c r="BM171" t="s">
        <v>3630</v>
      </c>
      <c r="BN171" t="s">
        <v>74</v>
      </c>
      <c r="BO171" t="s">
        <v>1002</v>
      </c>
      <c r="BP171" t="s">
        <v>74</v>
      </c>
      <c r="BQ171" t="s">
        <v>74</v>
      </c>
      <c r="BR171" t="s">
        <v>105</v>
      </c>
      <c r="BS171" t="s">
        <v>3664</v>
      </c>
      <c r="BT171" t="str">
        <f>HYPERLINK("https%3A%2F%2Fwww.webofscience.com%2Fwos%2Fwoscc%2Ffull-record%2FWOS:000386939800043","View Full Record in Web of Science")</f>
        <v>View Full Record in Web of Science</v>
      </c>
    </row>
    <row r="172" spans="1:72" x14ac:dyDescent="0.15">
      <c r="A172" t="s">
        <v>72</v>
      </c>
      <c r="B172" t="s">
        <v>3665</v>
      </c>
      <c r="C172" t="s">
        <v>74</v>
      </c>
      <c r="D172" t="s">
        <v>74</v>
      </c>
      <c r="E172" t="s">
        <v>74</v>
      </c>
      <c r="F172" t="s">
        <v>3666</v>
      </c>
      <c r="G172" t="s">
        <v>74</v>
      </c>
      <c r="H172" t="s">
        <v>74</v>
      </c>
      <c r="I172" t="s">
        <v>3667</v>
      </c>
      <c r="J172" t="s">
        <v>1088</v>
      </c>
      <c r="K172" t="s">
        <v>74</v>
      </c>
      <c r="L172" t="s">
        <v>74</v>
      </c>
      <c r="M172" t="s">
        <v>78</v>
      </c>
      <c r="N172" t="s">
        <v>79</v>
      </c>
      <c r="O172" t="s">
        <v>74</v>
      </c>
      <c r="P172" t="s">
        <v>74</v>
      </c>
      <c r="Q172" t="s">
        <v>74</v>
      </c>
      <c r="R172" t="s">
        <v>74</v>
      </c>
      <c r="S172" t="s">
        <v>74</v>
      </c>
      <c r="T172" t="s">
        <v>3668</v>
      </c>
      <c r="U172" t="s">
        <v>3669</v>
      </c>
      <c r="V172" t="s">
        <v>3670</v>
      </c>
      <c r="W172" t="s">
        <v>3671</v>
      </c>
      <c r="X172" t="s">
        <v>3672</v>
      </c>
      <c r="Y172" t="s">
        <v>3673</v>
      </c>
      <c r="Z172" t="s">
        <v>3674</v>
      </c>
      <c r="AA172" t="s">
        <v>3675</v>
      </c>
      <c r="AB172" t="s">
        <v>3676</v>
      </c>
      <c r="AC172" t="s">
        <v>3677</v>
      </c>
      <c r="AD172" t="s">
        <v>3678</v>
      </c>
      <c r="AE172" t="s">
        <v>3679</v>
      </c>
      <c r="AF172" t="s">
        <v>74</v>
      </c>
      <c r="AG172">
        <v>34</v>
      </c>
      <c r="AH172">
        <v>34</v>
      </c>
      <c r="AI172">
        <v>36</v>
      </c>
      <c r="AJ172">
        <v>5</v>
      </c>
      <c r="AK172">
        <v>71</v>
      </c>
      <c r="AL172" t="s">
        <v>149</v>
      </c>
      <c r="AM172" t="s">
        <v>123</v>
      </c>
      <c r="AN172" t="s">
        <v>150</v>
      </c>
      <c r="AO172" t="s">
        <v>1100</v>
      </c>
      <c r="AP172" t="s">
        <v>1101</v>
      </c>
      <c r="AQ172" t="s">
        <v>74</v>
      </c>
      <c r="AR172" t="s">
        <v>1102</v>
      </c>
      <c r="AS172" t="s">
        <v>1103</v>
      </c>
      <c r="AT172" t="s">
        <v>2218</v>
      </c>
      <c r="AU172">
        <v>2016</v>
      </c>
      <c r="AV172">
        <v>43</v>
      </c>
      <c r="AW172">
        <v>19</v>
      </c>
      <c r="AX172" t="s">
        <v>74</v>
      </c>
      <c r="AY172" t="s">
        <v>74</v>
      </c>
      <c r="AZ172" t="s">
        <v>74</v>
      </c>
      <c r="BA172" t="s">
        <v>74</v>
      </c>
      <c r="BB172">
        <v>10322</v>
      </c>
      <c r="BC172">
        <v>10327</v>
      </c>
      <c r="BD172" t="s">
        <v>74</v>
      </c>
      <c r="BE172" t="s">
        <v>3680</v>
      </c>
      <c r="BF172" t="str">
        <f>HYPERLINK("http://dx.doi.org/10.1002/2016GL070846","http://dx.doi.org/10.1002/2016GL070846")</f>
        <v>http://dx.doi.org/10.1002/2016GL070846</v>
      </c>
      <c r="BG172" t="s">
        <v>74</v>
      </c>
      <c r="BH172" t="s">
        <v>74</v>
      </c>
      <c r="BI172">
        <v>6</v>
      </c>
      <c r="BJ172" t="s">
        <v>352</v>
      </c>
      <c r="BK172" t="s">
        <v>156</v>
      </c>
      <c r="BL172" t="s">
        <v>177</v>
      </c>
      <c r="BM172" t="s">
        <v>3630</v>
      </c>
      <c r="BN172" t="s">
        <v>74</v>
      </c>
      <c r="BO172" t="s">
        <v>2392</v>
      </c>
      <c r="BP172" t="s">
        <v>74</v>
      </c>
      <c r="BQ172" t="s">
        <v>74</v>
      </c>
      <c r="BR172" t="s">
        <v>105</v>
      </c>
      <c r="BS172" t="s">
        <v>3681</v>
      </c>
      <c r="BT172" t="str">
        <f>HYPERLINK("https%3A%2F%2Fwww.webofscience.com%2Fwos%2Fwoscc%2Ffull-record%2FWOS:000386939800060","View Full Record in Web of Science")</f>
        <v>View Full Record in Web of Science</v>
      </c>
    </row>
    <row r="173" spans="1:72" x14ac:dyDescent="0.15">
      <c r="A173" t="s">
        <v>72</v>
      </c>
      <c r="B173" t="s">
        <v>3682</v>
      </c>
      <c r="C173" t="s">
        <v>74</v>
      </c>
      <c r="D173" t="s">
        <v>74</v>
      </c>
      <c r="E173" t="s">
        <v>74</v>
      </c>
      <c r="F173" t="s">
        <v>3683</v>
      </c>
      <c r="G173" t="s">
        <v>74</v>
      </c>
      <c r="H173" t="s">
        <v>74</v>
      </c>
      <c r="I173" t="s">
        <v>3684</v>
      </c>
      <c r="J173" t="s">
        <v>184</v>
      </c>
      <c r="K173" t="s">
        <v>74</v>
      </c>
      <c r="L173" t="s">
        <v>74</v>
      </c>
      <c r="M173" t="s">
        <v>78</v>
      </c>
      <c r="N173" t="s">
        <v>79</v>
      </c>
      <c r="O173" t="s">
        <v>74</v>
      </c>
      <c r="P173" t="s">
        <v>74</v>
      </c>
      <c r="Q173" t="s">
        <v>74</v>
      </c>
      <c r="R173" t="s">
        <v>74</v>
      </c>
      <c r="S173" t="s">
        <v>74</v>
      </c>
      <c r="T173" t="s">
        <v>74</v>
      </c>
      <c r="U173" t="s">
        <v>3685</v>
      </c>
      <c r="V173" t="s">
        <v>3686</v>
      </c>
      <c r="W173" t="s">
        <v>3687</v>
      </c>
      <c r="X173" t="s">
        <v>2275</v>
      </c>
      <c r="Y173" t="s">
        <v>3688</v>
      </c>
      <c r="Z173" t="s">
        <v>3689</v>
      </c>
      <c r="AA173" t="s">
        <v>2278</v>
      </c>
      <c r="AB173" t="s">
        <v>3690</v>
      </c>
      <c r="AC173" t="s">
        <v>3691</v>
      </c>
      <c r="AD173" t="s">
        <v>3692</v>
      </c>
      <c r="AE173" t="s">
        <v>3693</v>
      </c>
      <c r="AF173" t="s">
        <v>74</v>
      </c>
      <c r="AG173">
        <v>92</v>
      </c>
      <c r="AH173">
        <v>24</v>
      </c>
      <c r="AI173">
        <v>29</v>
      </c>
      <c r="AJ173">
        <v>0</v>
      </c>
      <c r="AK173">
        <v>30</v>
      </c>
      <c r="AL173" t="s">
        <v>196</v>
      </c>
      <c r="AM173" t="s">
        <v>93</v>
      </c>
      <c r="AN173" t="s">
        <v>197</v>
      </c>
      <c r="AO173" t="s">
        <v>198</v>
      </c>
      <c r="AP173" t="s">
        <v>199</v>
      </c>
      <c r="AQ173" t="s">
        <v>74</v>
      </c>
      <c r="AR173" t="s">
        <v>200</v>
      </c>
      <c r="AS173" t="s">
        <v>201</v>
      </c>
      <c r="AT173" t="s">
        <v>2218</v>
      </c>
      <c r="AU173">
        <v>2016</v>
      </c>
      <c r="AV173">
        <v>145</v>
      </c>
      <c r="AW173" t="s">
        <v>74</v>
      </c>
      <c r="AX173" t="s">
        <v>74</v>
      </c>
      <c r="AY173" t="s">
        <v>74</v>
      </c>
      <c r="AZ173" t="s">
        <v>74</v>
      </c>
      <c r="BA173" t="s">
        <v>74</v>
      </c>
      <c r="BB173">
        <v>98</v>
      </c>
      <c r="BC173">
        <v>115</v>
      </c>
      <c r="BD173" t="s">
        <v>74</v>
      </c>
      <c r="BE173" t="s">
        <v>3694</v>
      </c>
      <c r="BF173" t="str">
        <f>HYPERLINK("http://dx.doi.org/10.1016/j.gloplacha.2016.08.013","http://dx.doi.org/10.1016/j.gloplacha.2016.08.013")</f>
        <v>http://dx.doi.org/10.1016/j.gloplacha.2016.08.013</v>
      </c>
      <c r="BG173" t="s">
        <v>74</v>
      </c>
      <c r="BH173" t="s">
        <v>74</v>
      </c>
      <c r="BI173">
        <v>18</v>
      </c>
      <c r="BJ173" t="s">
        <v>203</v>
      </c>
      <c r="BK173" t="s">
        <v>156</v>
      </c>
      <c r="BL173" t="s">
        <v>204</v>
      </c>
      <c r="BM173" t="s">
        <v>3695</v>
      </c>
      <c r="BN173" t="s">
        <v>74</v>
      </c>
      <c r="BO173" t="s">
        <v>459</v>
      </c>
      <c r="BP173" t="s">
        <v>74</v>
      </c>
      <c r="BQ173" t="s">
        <v>74</v>
      </c>
      <c r="BR173" t="s">
        <v>105</v>
      </c>
      <c r="BS173" t="s">
        <v>3696</v>
      </c>
      <c r="BT173" t="str">
        <f>HYPERLINK("https%3A%2F%2Fwww.webofscience.com%2Fwos%2Fwoscc%2Ffull-record%2FWOS:000385599800010","View Full Record in Web of Science")</f>
        <v>View Full Record in Web of Science</v>
      </c>
    </row>
    <row r="174" spans="1:72" x14ac:dyDescent="0.15">
      <c r="A174" t="s">
        <v>72</v>
      </c>
      <c r="B174" t="s">
        <v>3697</v>
      </c>
      <c r="C174" t="s">
        <v>74</v>
      </c>
      <c r="D174" t="s">
        <v>74</v>
      </c>
      <c r="E174" t="s">
        <v>74</v>
      </c>
      <c r="F174" t="s">
        <v>3698</v>
      </c>
      <c r="G174" t="s">
        <v>74</v>
      </c>
      <c r="H174" t="s">
        <v>74</v>
      </c>
      <c r="I174" t="s">
        <v>3699</v>
      </c>
      <c r="J174" t="s">
        <v>3700</v>
      </c>
      <c r="K174" t="s">
        <v>74</v>
      </c>
      <c r="L174" t="s">
        <v>74</v>
      </c>
      <c r="M174" t="s">
        <v>78</v>
      </c>
      <c r="N174" t="s">
        <v>79</v>
      </c>
      <c r="O174" t="s">
        <v>74</v>
      </c>
      <c r="P174" t="s">
        <v>74</v>
      </c>
      <c r="Q174" t="s">
        <v>74</v>
      </c>
      <c r="R174" t="s">
        <v>74</v>
      </c>
      <c r="S174" t="s">
        <v>74</v>
      </c>
      <c r="T174" t="s">
        <v>3701</v>
      </c>
      <c r="U174" t="s">
        <v>3702</v>
      </c>
      <c r="V174" t="s">
        <v>3703</v>
      </c>
      <c r="W174" t="s">
        <v>3704</v>
      </c>
      <c r="X174" t="s">
        <v>3705</v>
      </c>
      <c r="Y174" t="s">
        <v>3706</v>
      </c>
      <c r="Z174" t="s">
        <v>3707</v>
      </c>
      <c r="AA174" t="s">
        <v>3708</v>
      </c>
      <c r="AB174" t="s">
        <v>3709</v>
      </c>
      <c r="AC174" t="s">
        <v>3710</v>
      </c>
      <c r="AD174" t="s">
        <v>3711</v>
      </c>
      <c r="AE174" t="s">
        <v>3712</v>
      </c>
      <c r="AF174" t="s">
        <v>74</v>
      </c>
      <c r="AG174">
        <v>145</v>
      </c>
      <c r="AH174">
        <v>31</v>
      </c>
      <c r="AI174">
        <v>35</v>
      </c>
      <c r="AJ174">
        <v>1</v>
      </c>
      <c r="AK174">
        <v>11</v>
      </c>
      <c r="AL174" t="s">
        <v>196</v>
      </c>
      <c r="AM174" t="s">
        <v>93</v>
      </c>
      <c r="AN174" t="s">
        <v>197</v>
      </c>
      <c r="AO174" t="s">
        <v>3713</v>
      </c>
      <c r="AP174" t="s">
        <v>3714</v>
      </c>
      <c r="AQ174" t="s">
        <v>74</v>
      </c>
      <c r="AR174" t="s">
        <v>3715</v>
      </c>
      <c r="AS174" t="s">
        <v>3716</v>
      </c>
      <c r="AT174" t="s">
        <v>2218</v>
      </c>
      <c r="AU174">
        <v>2016</v>
      </c>
      <c r="AV174">
        <v>38</v>
      </c>
      <c r="AW174" t="s">
        <v>74</v>
      </c>
      <c r="AX174" t="s">
        <v>74</v>
      </c>
      <c r="AY174" t="s">
        <v>74</v>
      </c>
      <c r="AZ174" t="s">
        <v>74</v>
      </c>
      <c r="BA174" t="s">
        <v>74</v>
      </c>
      <c r="BB174">
        <v>132</v>
      </c>
      <c r="BC174">
        <v>148</v>
      </c>
      <c r="BD174" t="s">
        <v>74</v>
      </c>
      <c r="BE174" t="s">
        <v>3717</v>
      </c>
      <c r="BF174" t="str">
        <f>HYPERLINK("http://dx.doi.org/10.1016/j.gr.2015.10.018","http://dx.doi.org/10.1016/j.gr.2015.10.018")</f>
        <v>http://dx.doi.org/10.1016/j.gr.2015.10.018</v>
      </c>
      <c r="BG174" t="s">
        <v>74</v>
      </c>
      <c r="BH174" t="s">
        <v>74</v>
      </c>
      <c r="BI174">
        <v>17</v>
      </c>
      <c r="BJ174" t="s">
        <v>352</v>
      </c>
      <c r="BK174" t="s">
        <v>156</v>
      </c>
      <c r="BL174" t="s">
        <v>177</v>
      </c>
      <c r="BM174" t="s">
        <v>3718</v>
      </c>
      <c r="BN174" t="s">
        <v>74</v>
      </c>
      <c r="BO174" t="s">
        <v>329</v>
      </c>
      <c r="BP174" t="s">
        <v>74</v>
      </c>
      <c r="BQ174" t="s">
        <v>74</v>
      </c>
      <c r="BR174" t="s">
        <v>105</v>
      </c>
      <c r="BS174" t="s">
        <v>3719</v>
      </c>
      <c r="BT174" t="str">
        <f>HYPERLINK("https%3A%2F%2Fwww.webofscience.com%2Fwos%2Fwoscc%2Ffull-record%2FWOS:000397872600009","View Full Record in Web of Science")</f>
        <v>View Full Record in Web of Science</v>
      </c>
    </row>
    <row r="175" spans="1:72" x14ac:dyDescent="0.15">
      <c r="A175" t="s">
        <v>72</v>
      </c>
      <c r="B175" t="s">
        <v>3720</v>
      </c>
      <c r="C175" t="s">
        <v>74</v>
      </c>
      <c r="D175" t="s">
        <v>74</v>
      </c>
      <c r="E175" t="s">
        <v>74</v>
      </c>
      <c r="F175" t="s">
        <v>3721</v>
      </c>
      <c r="G175" t="s">
        <v>74</v>
      </c>
      <c r="H175" t="s">
        <v>74</v>
      </c>
      <c r="I175" t="s">
        <v>3722</v>
      </c>
      <c r="J175" t="s">
        <v>3290</v>
      </c>
      <c r="K175" t="s">
        <v>74</v>
      </c>
      <c r="L175" t="s">
        <v>74</v>
      </c>
      <c r="M175" t="s">
        <v>78</v>
      </c>
      <c r="N175" t="s">
        <v>79</v>
      </c>
      <c r="O175" t="s">
        <v>74</v>
      </c>
      <c r="P175" t="s">
        <v>74</v>
      </c>
      <c r="Q175" t="s">
        <v>74</v>
      </c>
      <c r="R175" t="s">
        <v>74</v>
      </c>
      <c r="S175" t="s">
        <v>74</v>
      </c>
      <c r="T175" t="s">
        <v>74</v>
      </c>
      <c r="U175" t="s">
        <v>3723</v>
      </c>
      <c r="V175" t="s">
        <v>3724</v>
      </c>
      <c r="W175" t="s">
        <v>3725</v>
      </c>
      <c r="X175" t="s">
        <v>3726</v>
      </c>
      <c r="Y175" t="s">
        <v>3727</v>
      </c>
      <c r="Z175" t="s">
        <v>3728</v>
      </c>
      <c r="AA175" t="s">
        <v>3729</v>
      </c>
      <c r="AB175" t="s">
        <v>74</v>
      </c>
      <c r="AC175" t="s">
        <v>3730</v>
      </c>
      <c r="AD175" t="s">
        <v>3731</v>
      </c>
      <c r="AE175" t="s">
        <v>74</v>
      </c>
      <c r="AF175" t="s">
        <v>74</v>
      </c>
      <c r="AG175">
        <v>79</v>
      </c>
      <c r="AH175">
        <v>13</v>
      </c>
      <c r="AI175">
        <v>14</v>
      </c>
      <c r="AJ175">
        <v>1</v>
      </c>
      <c r="AK175">
        <v>33</v>
      </c>
      <c r="AL175" t="s">
        <v>371</v>
      </c>
      <c r="AM175" t="s">
        <v>372</v>
      </c>
      <c r="AN175" t="s">
        <v>373</v>
      </c>
      <c r="AO175" t="s">
        <v>3301</v>
      </c>
      <c r="AP175" t="s">
        <v>3302</v>
      </c>
      <c r="AQ175" t="s">
        <v>74</v>
      </c>
      <c r="AR175" t="s">
        <v>3303</v>
      </c>
      <c r="AS175" t="s">
        <v>3304</v>
      </c>
      <c r="AT175" t="s">
        <v>2218</v>
      </c>
      <c r="AU175">
        <v>2016</v>
      </c>
      <c r="AV175">
        <v>56</v>
      </c>
      <c r="AW175">
        <v>4</v>
      </c>
      <c r="AX175" t="s">
        <v>74</v>
      </c>
      <c r="AY175" t="s">
        <v>74</v>
      </c>
      <c r="AZ175" t="s">
        <v>74</v>
      </c>
      <c r="BA175" t="s">
        <v>74</v>
      </c>
      <c r="BB175">
        <v>542</v>
      </c>
      <c r="BC175">
        <v>555</v>
      </c>
      <c r="BD175" t="s">
        <v>74</v>
      </c>
      <c r="BE175" t="s">
        <v>3732</v>
      </c>
      <c r="BF175" t="str">
        <f>HYPERLINK("http://dx.doi.org/10.1093/icb/icw095","http://dx.doi.org/10.1093/icb/icw095")</f>
        <v>http://dx.doi.org/10.1093/icb/icw095</v>
      </c>
      <c r="BG175" t="s">
        <v>74</v>
      </c>
      <c r="BH175" t="s">
        <v>74</v>
      </c>
      <c r="BI175">
        <v>14</v>
      </c>
      <c r="BJ175" t="s">
        <v>3306</v>
      </c>
      <c r="BK175" t="s">
        <v>156</v>
      </c>
      <c r="BL175" t="s">
        <v>3306</v>
      </c>
      <c r="BM175" t="s">
        <v>3307</v>
      </c>
      <c r="BN175">
        <v>27493149</v>
      </c>
      <c r="BO175" t="s">
        <v>258</v>
      </c>
      <c r="BP175" t="s">
        <v>74</v>
      </c>
      <c r="BQ175" t="s">
        <v>74</v>
      </c>
      <c r="BR175" t="s">
        <v>105</v>
      </c>
      <c r="BS175" t="s">
        <v>3733</v>
      </c>
      <c r="BT175" t="str">
        <f>HYPERLINK("https%3A%2F%2Fwww.webofscience.com%2Fwos%2Fwoscc%2Ffull-record%2FWOS:000384303700006","View Full Record in Web of Science")</f>
        <v>View Full Record in Web of Science</v>
      </c>
    </row>
    <row r="176" spans="1:72" x14ac:dyDescent="0.15">
      <c r="A176" t="s">
        <v>72</v>
      </c>
      <c r="B176" t="s">
        <v>3734</v>
      </c>
      <c r="C176" t="s">
        <v>74</v>
      </c>
      <c r="D176" t="s">
        <v>74</v>
      </c>
      <c r="E176" t="s">
        <v>74</v>
      </c>
      <c r="F176" t="s">
        <v>3735</v>
      </c>
      <c r="G176" t="s">
        <v>74</v>
      </c>
      <c r="H176" t="s">
        <v>74</v>
      </c>
      <c r="I176" t="s">
        <v>3736</v>
      </c>
      <c r="J176" t="s">
        <v>3036</v>
      </c>
      <c r="K176" t="s">
        <v>74</v>
      </c>
      <c r="L176" t="s">
        <v>74</v>
      </c>
      <c r="M176" t="s">
        <v>78</v>
      </c>
      <c r="N176" t="s">
        <v>79</v>
      </c>
      <c r="O176" t="s">
        <v>74</v>
      </c>
      <c r="P176" t="s">
        <v>74</v>
      </c>
      <c r="Q176" t="s">
        <v>74</v>
      </c>
      <c r="R176" t="s">
        <v>74</v>
      </c>
      <c r="S176" t="s">
        <v>74</v>
      </c>
      <c r="T176" t="s">
        <v>74</v>
      </c>
      <c r="U176" t="s">
        <v>3737</v>
      </c>
      <c r="V176" t="s">
        <v>3738</v>
      </c>
      <c r="W176" t="s">
        <v>3739</v>
      </c>
      <c r="X176" t="s">
        <v>3740</v>
      </c>
      <c r="Y176" t="s">
        <v>3741</v>
      </c>
      <c r="Z176" t="s">
        <v>3742</v>
      </c>
      <c r="AA176" t="s">
        <v>3743</v>
      </c>
      <c r="AB176" t="s">
        <v>3744</v>
      </c>
      <c r="AC176" t="s">
        <v>3745</v>
      </c>
      <c r="AD176" t="s">
        <v>3746</v>
      </c>
      <c r="AE176" t="s">
        <v>3747</v>
      </c>
      <c r="AF176" t="s">
        <v>74</v>
      </c>
      <c r="AG176">
        <v>106</v>
      </c>
      <c r="AH176">
        <v>26</v>
      </c>
      <c r="AI176">
        <v>29</v>
      </c>
      <c r="AJ176">
        <v>0</v>
      </c>
      <c r="AK176">
        <v>26</v>
      </c>
      <c r="AL176" t="s">
        <v>397</v>
      </c>
      <c r="AM176" t="s">
        <v>398</v>
      </c>
      <c r="AN176" t="s">
        <v>399</v>
      </c>
      <c r="AO176" t="s">
        <v>3048</v>
      </c>
      <c r="AP176" t="s">
        <v>3049</v>
      </c>
      <c r="AQ176" t="s">
        <v>74</v>
      </c>
      <c r="AR176" t="s">
        <v>3050</v>
      </c>
      <c r="AS176" t="s">
        <v>3051</v>
      </c>
      <c r="AT176" t="s">
        <v>2218</v>
      </c>
      <c r="AU176">
        <v>2016</v>
      </c>
      <c r="AV176">
        <v>29</v>
      </c>
      <c r="AW176">
        <v>20</v>
      </c>
      <c r="AX176" t="s">
        <v>74</v>
      </c>
      <c r="AY176" t="s">
        <v>74</v>
      </c>
      <c r="AZ176" t="s">
        <v>74</v>
      </c>
      <c r="BA176" t="s">
        <v>74</v>
      </c>
      <c r="BB176">
        <v>7453</v>
      </c>
      <c r="BC176">
        <v>7476</v>
      </c>
      <c r="BD176" t="s">
        <v>74</v>
      </c>
      <c r="BE176" t="s">
        <v>3748</v>
      </c>
      <c r="BF176" t="str">
        <f>HYPERLINK("http://dx.doi.org/10.1175/JCLI-D-15-0768.1","http://dx.doi.org/10.1175/JCLI-D-15-0768.1")</f>
        <v>http://dx.doi.org/10.1175/JCLI-D-15-0768.1</v>
      </c>
      <c r="BG176" t="s">
        <v>74</v>
      </c>
      <c r="BH176" t="s">
        <v>74</v>
      </c>
      <c r="BI176">
        <v>24</v>
      </c>
      <c r="BJ176" t="s">
        <v>2482</v>
      </c>
      <c r="BK176" t="s">
        <v>156</v>
      </c>
      <c r="BL176" t="s">
        <v>2482</v>
      </c>
      <c r="BM176" t="s">
        <v>3053</v>
      </c>
      <c r="BN176" t="s">
        <v>74</v>
      </c>
      <c r="BO176" t="s">
        <v>104</v>
      </c>
      <c r="BP176" t="s">
        <v>74</v>
      </c>
      <c r="BQ176" t="s">
        <v>74</v>
      </c>
      <c r="BR176" t="s">
        <v>105</v>
      </c>
      <c r="BS176" t="s">
        <v>3749</v>
      </c>
      <c r="BT176" t="str">
        <f>HYPERLINK("https%3A%2F%2Fwww.webofscience.com%2Fwos%2Fwoscc%2Ffull-record%2FWOS:000384149700018","View Full Record in Web of Science")</f>
        <v>View Full Record in Web of Science</v>
      </c>
    </row>
    <row r="177" spans="1:72" x14ac:dyDescent="0.15">
      <c r="A177" t="s">
        <v>72</v>
      </c>
      <c r="B177" t="s">
        <v>3750</v>
      </c>
      <c r="C177" t="s">
        <v>74</v>
      </c>
      <c r="D177" t="s">
        <v>74</v>
      </c>
      <c r="E177" t="s">
        <v>74</v>
      </c>
      <c r="F177" t="s">
        <v>3751</v>
      </c>
      <c r="G177" t="s">
        <v>74</v>
      </c>
      <c r="H177" t="s">
        <v>74</v>
      </c>
      <c r="I177" t="s">
        <v>3752</v>
      </c>
      <c r="J177" t="s">
        <v>3753</v>
      </c>
      <c r="K177" t="s">
        <v>74</v>
      </c>
      <c r="L177" t="s">
        <v>74</v>
      </c>
      <c r="M177" t="s">
        <v>78</v>
      </c>
      <c r="N177" t="s">
        <v>79</v>
      </c>
      <c r="O177" t="s">
        <v>74</v>
      </c>
      <c r="P177" t="s">
        <v>74</v>
      </c>
      <c r="Q177" t="s">
        <v>74</v>
      </c>
      <c r="R177" t="s">
        <v>74</v>
      </c>
      <c r="S177" t="s">
        <v>74</v>
      </c>
      <c r="T177" t="s">
        <v>3754</v>
      </c>
      <c r="U177" t="s">
        <v>3755</v>
      </c>
      <c r="V177" t="s">
        <v>3756</v>
      </c>
      <c r="W177" t="s">
        <v>3757</v>
      </c>
      <c r="X177" t="s">
        <v>3758</v>
      </c>
      <c r="Y177" t="s">
        <v>3759</v>
      </c>
      <c r="Z177" t="s">
        <v>3760</v>
      </c>
      <c r="AA177" t="s">
        <v>74</v>
      </c>
      <c r="AB177" t="s">
        <v>3761</v>
      </c>
      <c r="AC177" t="s">
        <v>74</v>
      </c>
      <c r="AD177" t="s">
        <v>74</v>
      </c>
      <c r="AE177" t="s">
        <v>74</v>
      </c>
      <c r="AF177" t="s">
        <v>74</v>
      </c>
      <c r="AG177">
        <v>78</v>
      </c>
      <c r="AH177">
        <v>18</v>
      </c>
      <c r="AI177">
        <v>20</v>
      </c>
      <c r="AJ177">
        <v>3</v>
      </c>
      <c r="AK177">
        <v>46</v>
      </c>
      <c r="AL177" t="s">
        <v>2112</v>
      </c>
      <c r="AM177" t="s">
        <v>250</v>
      </c>
      <c r="AN177" t="s">
        <v>2113</v>
      </c>
      <c r="AO177" t="s">
        <v>3762</v>
      </c>
      <c r="AP177" t="s">
        <v>3763</v>
      </c>
      <c r="AQ177" t="s">
        <v>74</v>
      </c>
      <c r="AR177" t="s">
        <v>3764</v>
      </c>
      <c r="AS177" t="s">
        <v>3765</v>
      </c>
      <c r="AT177" t="s">
        <v>2415</v>
      </c>
      <c r="AU177">
        <v>2016</v>
      </c>
      <c r="AV177">
        <v>181</v>
      </c>
      <c r="AW177" t="s">
        <v>74</v>
      </c>
      <c r="AX177" t="s">
        <v>74</v>
      </c>
      <c r="AY177" t="s">
        <v>74</v>
      </c>
      <c r="AZ177" t="s">
        <v>74</v>
      </c>
      <c r="BA177" t="s">
        <v>74</v>
      </c>
      <c r="BB177">
        <v>80</v>
      </c>
      <c r="BC177">
        <v>94</v>
      </c>
      <c r="BD177" t="s">
        <v>74</v>
      </c>
      <c r="BE177" t="s">
        <v>3766</v>
      </c>
      <c r="BF177" t="str">
        <f>HYPERLINK("http://dx.doi.org/10.1016/j.jenvman.2016.05.065","http://dx.doi.org/10.1016/j.jenvman.2016.05.065")</f>
        <v>http://dx.doi.org/10.1016/j.jenvman.2016.05.065</v>
      </c>
      <c r="BG177" t="s">
        <v>74</v>
      </c>
      <c r="BH177" t="s">
        <v>74</v>
      </c>
      <c r="BI177">
        <v>15</v>
      </c>
      <c r="BJ177" t="s">
        <v>846</v>
      </c>
      <c r="BK177" t="s">
        <v>156</v>
      </c>
      <c r="BL177" t="s">
        <v>532</v>
      </c>
      <c r="BM177" t="s">
        <v>3767</v>
      </c>
      <c r="BN177">
        <v>27318876</v>
      </c>
      <c r="BO177" t="s">
        <v>74</v>
      </c>
      <c r="BP177" t="s">
        <v>74</v>
      </c>
      <c r="BQ177" t="s">
        <v>74</v>
      </c>
      <c r="BR177" t="s">
        <v>105</v>
      </c>
      <c r="BS177" t="s">
        <v>3768</v>
      </c>
      <c r="BT177" t="str">
        <f>HYPERLINK("https%3A%2F%2Fwww.webofscience.com%2Fwos%2Fwoscc%2Ffull-record%2FWOS:000383291700010","View Full Record in Web of Science")</f>
        <v>View Full Record in Web of Science</v>
      </c>
    </row>
    <row r="178" spans="1:72" x14ac:dyDescent="0.15">
      <c r="A178" t="s">
        <v>72</v>
      </c>
      <c r="B178" t="s">
        <v>3769</v>
      </c>
      <c r="C178" t="s">
        <v>74</v>
      </c>
      <c r="D178" t="s">
        <v>74</v>
      </c>
      <c r="E178" t="s">
        <v>74</v>
      </c>
      <c r="F178" t="s">
        <v>3770</v>
      </c>
      <c r="G178" t="s">
        <v>74</v>
      </c>
      <c r="H178" t="s">
        <v>74</v>
      </c>
      <c r="I178" t="s">
        <v>3771</v>
      </c>
      <c r="J178" t="s">
        <v>3772</v>
      </c>
      <c r="K178" t="s">
        <v>74</v>
      </c>
      <c r="L178" t="s">
        <v>74</v>
      </c>
      <c r="M178" t="s">
        <v>78</v>
      </c>
      <c r="N178" t="s">
        <v>79</v>
      </c>
      <c r="O178" t="s">
        <v>74</v>
      </c>
      <c r="P178" t="s">
        <v>74</v>
      </c>
      <c r="Q178" t="s">
        <v>74</v>
      </c>
      <c r="R178" t="s">
        <v>74</v>
      </c>
      <c r="S178" t="s">
        <v>74</v>
      </c>
      <c r="T178" t="s">
        <v>3773</v>
      </c>
      <c r="U178" t="s">
        <v>3774</v>
      </c>
      <c r="V178" t="s">
        <v>3775</v>
      </c>
      <c r="W178" t="s">
        <v>3776</v>
      </c>
      <c r="X178" t="s">
        <v>3777</v>
      </c>
      <c r="Y178" t="s">
        <v>3778</v>
      </c>
      <c r="Z178" t="s">
        <v>3779</v>
      </c>
      <c r="AA178" t="s">
        <v>3780</v>
      </c>
      <c r="AB178" t="s">
        <v>3781</v>
      </c>
      <c r="AC178" t="s">
        <v>3782</v>
      </c>
      <c r="AD178" t="s">
        <v>3783</v>
      </c>
      <c r="AE178" t="s">
        <v>3784</v>
      </c>
      <c r="AF178" t="s">
        <v>74</v>
      </c>
      <c r="AG178">
        <v>63</v>
      </c>
      <c r="AH178">
        <v>17</v>
      </c>
      <c r="AI178">
        <v>20</v>
      </c>
      <c r="AJ178">
        <v>2</v>
      </c>
      <c r="AK178">
        <v>81</v>
      </c>
      <c r="AL178" t="s">
        <v>92</v>
      </c>
      <c r="AM178" t="s">
        <v>93</v>
      </c>
      <c r="AN178" t="s">
        <v>94</v>
      </c>
      <c r="AO178" t="s">
        <v>3785</v>
      </c>
      <c r="AP178" t="s">
        <v>3786</v>
      </c>
      <c r="AQ178" t="s">
        <v>74</v>
      </c>
      <c r="AR178" t="s">
        <v>3787</v>
      </c>
      <c r="AS178" t="s">
        <v>3788</v>
      </c>
      <c r="AT178" t="s">
        <v>2218</v>
      </c>
      <c r="AU178">
        <v>2016</v>
      </c>
      <c r="AV178">
        <v>483</v>
      </c>
      <c r="AW178" t="s">
        <v>74</v>
      </c>
      <c r="AX178" t="s">
        <v>74</v>
      </c>
      <c r="AY178" t="s">
        <v>74</v>
      </c>
      <c r="AZ178" t="s">
        <v>74</v>
      </c>
      <c r="BA178" t="s">
        <v>74</v>
      </c>
      <c r="BB178">
        <v>64</v>
      </c>
      <c r="BC178">
        <v>73</v>
      </c>
      <c r="BD178" t="s">
        <v>74</v>
      </c>
      <c r="BE178" t="s">
        <v>3789</v>
      </c>
      <c r="BF178" t="str">
        <f>HYPERLINK("http://dx.doi.org/10.1016/j.jembe.2016.06.006","http://dx.doi.org/10.1016/j.jembe.2016.06.006")</f>
        <v>http://dx.doi.org/10.1016/j.jembe.2016.06.006</v>
      </c>
      <c r="BG178" t="s">
        <v>74</v>
      </c>
      <c r="BH178" t="s">
        <v>74</v>
      </c>
      <c r="BI178">
        <v>10</v>
      </c>
      <c r="BJ178" t="s">
        <v>693</v>
      </c>
      <c r="BK178" t="s">
        <v>156</v>
      </c>
      <c r="BL178" t="s">
        <v>694</v>
      </c>
      <c r="BM178" t="s">
        <v>3790</v>
      </c>
      <c r="BN178" t="s">
        <v>74</v>
      </c>
      <c r="BO178" t="s">
        <v>104</v>
      </c>
      <c r="BP178" t="s">
        <v>74</v>
      </c>
      <c r="BQ178" t="s">
        <v>74</v>
      </c>
      <c r="BR178" t="s">
        <v>105</v>
      </c>
      <c r="BS178" t="s">
        <v>3791</v>
      </c>
      <c r="BT178" t="str">
        <f>HYPERLINK("https%3A%2F%2Fwww.webofscience.com%2Fwos%2Fwoscc%2Ffull-record%2FWOS:000382413400009","View Full Record in Web of Science")</f>
        <v>View Full Record in Web of Science</v>
      </c>
    </row>
    <row r="179" spans="1:72" x14ac:dyDescent="0.15">
      <c r="A179" t="s">
        <v>72</v>
      </c>
      <c r="B179" t="s">
        <v>3792</v>
      </c>
      <c r="C179" t="s">
        <v>74</v>
      </c>
      <c r="D179" t="s">
        <v>74</v>
      </c>
      <c r="E179" t="s">
        <v>74</v>
      </c>
      <c r="F179" t="s">
        <v>3793</v>
      </c>
      <c r="G179" t="s">
        <v>74</v>
      </c>
      <c r="H179" t="s">
        <v>74</v>
      </c>
      <c r="I179" t="s">
        <v>3794</v>
      </c>
      <c r="J179" t="s">
        <v>3772</v>
      </c>
      <c r="K179" t="s">
        <v>74</v>
      </c>
      <c r="L179" t="s">
        <v>74</v>
      </c>
      <c r="M179" t="s">
        <v>78</v>
      </c>
      <c r="N179" t="s">
        <v>79</v>
      </c>
      <c r="O179" t="s">
        <v>74</v>
      </c>
      <c r="P179" t="s">
        <v>74</v>
      </c>
      <c r="Q179" t="s">
        <v>74</v>
      </c>
      <c r="R179" t="s">
        <v>74</v>
      </c>
      <c r="S179" t="s">
        <v>74</v>
      </c>
      <c r="T179" t="s">
        <v>3795</v>
      </c>
      <c r="U179" t="s">
        <v>3796</v>
      </c>
      <c r="V179" t="s">
        <v>3797</v>
      </c>
      <c r="W179" t="s">
        <v>3798</v>
      </c>
      <c r="X179" t="s">
        <v>3799</v>
      </c>
      <c r="Y179" t="s">
        <v>3800</v>
      </c>
      <c r="Z179" t="s">
        <v>3801</v>
      </c>
      <c r="AA179" t="s">
        <v>3802</v>
      </c>
      <c r="AB179" t="s">
        <v>3803</v>
      </c>
      <c r="AC179" t="s">
        <v>3804</v>
      </c>
      <c r="AD179" t="s">
        <v>3805</v>
      </c>
      <c r="AE179" t="s">
        <v>3806</v>
      </c>
      <c r="AF179" t="s">
        <v>74</v>
      </c>
      <c r="AG179">
        <v>51</v>
      </c>
      <c r="AH179">
        <v>36</v>
      </c>
      <c r="AI179">
        <v>38</v>
      </c>
      <c r="AJ179">
        <v>1</v>
      </c>
      <c r="AK179">
        <v>49</v>
      </c>
      <c r="AL179" t="s">
        <v>196</v>
      </c>
      <c r="AM179" t="s">
        <v>93</v>
      </c>
      <c r="AN179" t="s">
        <v>197</v>
      </c>
      <c r="AO179" t="s">
        <v>3785</v>
      </c>
      <c r="AP179" t="s">
        <v>3786</v>
      </c>
      <c r="AQ179" t="s">
        <v>74</v>
      </c>
      <c r="AR179" t="s">
        <v>3787</v>
      </c>
      <c r="AS179" t="s">
        <v>3788</v>
      </c>
      <c r="AT179" t="s">
        <v>2218</v>
      </c>
      <c r="AU179">
        <v>2016</v>
      </c>
      <c r="AV179">
        <v>483</v>
      </c>
      <c r="AW179" t="s">
        <v>74</v>
      </c>
      <c r="AX179" t="s">
        <v>74</v>
      </c>
      <c r="AY179" t="s">
        <v>74</v>
      </c>
      <c r="AZ179" t="s">
        <v>74</v>
      </c>
      <c r="BA179" t="s">
        <v>74</v>
      </c>
      <c r="BB179">
        <v>74</v>
      </c>
      <c r="BC179">
        <v>87</v>
      </c>
      <c r="BD179" t="s">
        <v>74</v>
      </c>
      <c r="BE179" t="s">
        <v>3807</v>
      </c>
      <c r="BF179" t="str">
        <f>HYPERLINK("http://dx.doi.org/10.1016/j.jembe.2016.07.004","http://dx.doi.org/10.1016/j.jembe.2016.07.004")</f>
        <v>http://dx.doi.org/10.1016/j.jembe.2016.07.004</v>
      </c>
      <c r="BG179" t="s">
        <v>74</v>
      </c>
      <c r="BH179" t="s">
        <v>74</v>
      </c>
      <c r="BI179">
        <v>14</v>
      </c>
      <c r="BJ179" t="s">
        <v>693</v>
      </c>
      <c r="BK179" t="s">
        <v>156</v>
      </c>
      <c r="BL179" t="s">
        <v>694</v>
      </c>
      <c r="BM179" t="s">
        <v>3790</v>
      </c>
      <c r="BN179" t="s">
        <v>74</v>
      </c>
      <c r="BO179" t="s">
        <v>74</v>
      </c>
      <c r="BP179" t="s">
        <v>74</v>
      </c>
      <c r="BQ179" t="s">
        <v>74</v>
      </c>
      <c r="BR179" t="s">
        <v>105</v>
      </c>
      <c r="BS179" t="s">
        <v>3808</v>
      </c>
      <c r="BT179" t="str">
        <f>HYPERLINK("https%3A%2F%2Fwww.webofscience.com%2Fwos%2Fwoscc%2Ffull-record%2FWOS:000382413400010","View Full Record in Web of Science")</f>
        <v>View Full Record in Web of Science</v>
      </c>
    </row>
    <row r="180" spans="1:72" x14ac:dyDescent="0.15">
      <c r="A180" t="s">
        <v>72</v>
      </c>
      <c r="B180" t="s">
        <v>3809</v>
      </c>
      <c r="C180" t="s">
        <v>74</v>
      </c>
      <c r="D180" t="s">
        <v>74</v>
      </c>
      <c r="E180" t="s">
        <v>74</v>
      </c>
      <c r="F180" t="s">
        <v>3810</v>
      </c>
      <c r="G180" t="s">
        <v>74</v>
      </c>
      <c r="H180" t="s">
        <v>74</v>
      </c>
      <c r="I180" t="s">
        <v>3811</v>
      </c>
      <c r="J180" t="s">
        <v>334</v>
      </c>
      <c r="K180" t="s">
        <v>74</v>
      </c>
      <c r="L180" t="s">
        <v>74</v>
      </c>
      <c r="M180" t="s">
        <v>78</v>
      </c>
      <c r="N180" t="s">
        <v>79</v>
      </c>
      <c r="O180" t="s">
        <v>74</v>
      </c>
      <c r="P180" t="s">
        <v>74</v>
      </c>
      <c r="Q180" t="s">
        <v>74</v>
      </c>
      <c r="R180" t="s">
        <v>74</v>
      </c>
      <c r="S180" t="s">
        <v>74</v>
      </c>
      <c r="T180" t="s">
        <v>74</v>
      </c>
      <c r="U180" t="s">
        <v>3812</v>
      </c>
      <c r="V180" t="s">
        <v>3813</v>
      </c>
      <c r="W180" t="s">
        <v>3814</v>
      </c>
      <c r="X180" t="s">
        <v>3815</v>
      </c>
      <c r="Y180" t="s">
        <v>3816</v>
      </c>
      <c r="Z180" t="s">
        <v>3817</v>
      </c>
      <c r="AA180" t="s">
        <v>3818</v>
      </c>
      <c r="AB180" t="s">
        <v>3819</v>
      </c>
      <c r="AC180" t="s">
        <v>3820</v>
      </c>
      <c r="AD180" t="s">
        <v>3821</v>
      </c>
      <c r="AE180" t="s">
        <v>3822</v>
      </c>
      <c r="AF180" t="s">
        <v>74</v>
      </c>
      <c r="AG180">
        <v>51</v>
      </c>
      <c r="AH180">
        <v>24</v>
      </c>
      <c r="AI180">
        <v>27</v>
      </c>
      <c r="AJ180">
        <v>0</v>
      </c>
      <c r="AK180">
        <v>14</v>
      </c>
      <c r="AL180" t="s">
        <v>149</v>
      </c>
      <c r="AM180" t="s">
        <v>123</v>
      </c>
      <c r="AN180" t="s">
        <v>150</v>
      </c>
      <c r="AO180" t="s">
        <v>347</v>
      </c>
      <c r="AP180" t="s">
        <v>348</v>
      </c>
      <c r="AQ180" t="s">
        <v>74</v>
      </c>
      <c r="AR180" t="s">
        <v>349</v>
      </c>
      <c r="AS180" t="s">
        <v>350</v>
      </c>
      <c r="AT180" t="s">
        <v>2218</v>
      </c>
      <c r="AU180">
        <v>2016</v>
      </c>
      <c r="AV180">
        <v>121</v>
      </c>
      <c r="AW180">
        <v>10</v>
      </c>
      <c r="AX180" t="s">
        <v>74</v>
      </c>
      <c r="AY180" t="s">
        <v>74</v>
      </c>
      <c r="AZ180" t="s">
        <v>74</v>
      </c>
      <c r="BA180" t="s">
        <v>74</v>
      </c>
      <c r="BB180">
        <v>1849</v>
      </c>
      <c r="BC180">
        <v>1860</v>
      </c>
      <c r="BD180" t="s">
        <v>74</v>
      </c>
      <c r="BE180" t="s">
        <v>3823</v>
      </c>
      <c r="BF180" t="str">
        <f>HYPERLINK("http://dx.doi.org/10.1002/2016JF003919","http://dx.doi.org/10.1002/2016JF003919")</f>
        <v>http://dx.doi.org/10.1002/2016JF003919</v>
      </c>
      <c r="BG180" t="s">
        <v>74</v>
      </c>
      <c r="BH180" t="s">
        <v>74</v>
      </c>
      <c r="BI180">
        <v>12</v>
      </c>
      <c r="BJ180" t="s">
        <v>352</v>
      </c>
      <c r="BK180" t="s">
        <v>156</v>
      </c>
      <c r="BL180" t="s">
        <v>177</v>
      </c>
      <c r="BM180" t="s">
        <v>2220</v>
      </c>
      <c r="BN180" t="s">
        <v>74</v>
      </c>
      <c r="BO180" t="s">
        <v>1142</v>
      </c>
      <c r="BP180" t="s">
        <v>74</v>
      </c>
      <c r="BQ180" t="s">
        <v>74</v>
      </c>
      <c r="BR180" t="s">
        <v>105</v>
      </c>
      <c r="BS180" t="s">
        <v>3824</v>
      </c>
      <c r="BT180" t="str">
        <f>HYPERLINK("https%3A%2F%2Fwww.webofscience.com%2Fwos%2Fwoscc%2Ffull-record%2FWOS:000392830200013","View Full Record in Web of Science")</f>
        <v>View Full Record in Web of Science</v>
      </c>
    </row>
    <row r="181" spans="1:72" x14ac:dyDescent="0.15">
      <c r="A181" t="s">
        <v>72</v>
      </c>
      <c r="B181" t="s">
        <v>3825</v>
      </c>
      <c r="C181" t="s">
        <v>74</v>
      </c>
      <c r="D181" t="s">
        <v>74</v>
      </c>
      <c r="E181" t="s">
        <v>74</v>
      </c>
      <c r="F181" t="s">
        <v>3826</v>
      </c>
      <c r="G181" t="s">
        <v>74</v>
      </c>
      <c r="H181" t="s">
        <v>74</v>
      </c>
      <c r="I181" t="s">
        <v>3827</v>
      </c>
      <c r="J181" t="s">
        <v>2357</v>
      </c>
      <c r="K181" t="s">
        <v>74</v>
      </c>
      <c r="L181" t="s">
        <v>74</v>
      </c>
      <c r="M181" t="s">
        <v>78</v>
      </c>
      <c r="N181" t="s">
        <v>79</v>
      </c>
      <c r="O181" t="s">
        <v>74</v>
      </c>
      <c r="P181" t="s">
        <v>74</v>
      </c>
      <c r="Q181" t="s">
        <v>74</v>
      </c>
      <c r="R181" t="s">
        <v>74</v>
      </c>
      <c r="S181" t="s">
        <v>74</v>
      </c>
      <c r="T181" t="s">
        <v>3828</v>
      </c>
      <c r="U181" t="s">
        <v>3829</v>
      </c>
      <c r="V181" t="s">
        <v>3830</v>
      </c>
      <c r="W181" t="s">
        <v>3831</v>
      </c>
      <c r="X181" t="s">
        <v>3832</v>
      </c>
      <c r="Y181" t="s">
        <v>3833</v>
      </c>
      <c r="Z181" t="s">
        <v>3834</v>
      </c>
      <c r="AA181" t="s">
        <v>3835</v>
      </c>
      <c r="AB181" t="s">
        <v>3836</v>
      </c>
      <c r="AC181" t="s">
        <v>3837</v>
      </c>
      <c r="AD181" t="s">
        <v>3838</v>
      </c>
      <c r="AE181" t="s">
        <v>3839</v>
      </c>
      <c r="AF181" t="s">
        <v>74</v>
      </c>
      <c r="AG181">
        <v>45</v>
      </c>
      <c r="AH181">
        <v>36</v>
      </c>
      <c r="AI181">
        <v>39</v>
      </c>
      <c r="AJ181">
        <v>0</v>
      </c>
      <c r="AK181">
        <v>14</v>
      </c>
      <c r="AL181" t="s">
        <v>149</v>
      </c>
      <c r="AM181" t="s">
        <v>123</v>
      </c>
      <c r="AN181" t="s">
        <v>150</v>
      </c>
      <c r="AO181" t="s">
        <v>2370</v>
      </c>
      <c r="AP181" t="s">
        <v>2371</v>
      </c>
      <c r="AQ181" t="s">
        <v>74</v>
      </c>
      <c r="AR181" t="s">
        <v>2372</v>
      </c>
      <c r="AS181" t="s">
        <v>2373</v>
      </c>
      <c r="AT181" t="s">
        <v>2218</v>
      </c>
      <c r="AU181">
        <v>2016</v>
      </c>
      <c r="AV181">
        <v>121</v>
      </c>
      <c r="AW181">
        <v>10</v>
      </c>
      <c r="AX181" t="s">
        <v>74</v>
      </c>
      <c r="AY181" t="s">
        <v>74</v>
      </c>
      <c r="AZ181" t="s">
        <v>74</v>
      </c>
      <c r="BA181" t="s">
        <v>74</v>
      </c>
      <c r="BB181">
        <v>7390</v>
      </c>
      <c r="BC181">
        <v>7407</v>
      </c>
      <c r="BD181" t="s">
        <v>74</v>
      </c>
      <c r="BE181" t="s">
        <v>3840</v>
      </c>
      <c r="BF181" t="str">
        <f>HYPERLINK("http://dx.doi.org/10.1002/2015JC011594","http://dx.doi.org/10.1002/2015JC011594")</f>
        <v>http://dx.doi.org/10.1002/2015JC011594</v>
      </c>
      <c r="BG181" t="s">
        <v>74</v>
      </c>
      <c r="BH181" t="s">
        <v>74</v>
      </c>
      <c r="BI181">
        <v>18</v>
      </c>
      <c r="BJ181" t="s">
        <v>405</v>
      </c>
      <c r="BK181" t="s">
        <v>156</v>
      </c>
      <c r="BL181" t="s">
        <v>405</v>
      </c>
      <c r="BM181" t="s">
        <v>2375</v>
      </c>
      <c r="BN181" t="s">
        <v>74</v>
      </c>
      <c r="BO181" t="s">
        <v>2392</v>
      </c>
      <c r="BP181" t="s">
        <v>74</v>
      </c>
      <c r="BQ181" t="s">
        <v>74</v>
      </c>
      <c r="BR181" t="s">
        <v>105</v>
      </c>
      <c r="BS181" t="s">
        <v>3841</v>
      </c>
      <c r="BT181" t="str">
        <f>HYPERLINK("https%3A%2F%2Fwww.webofscience.com%2Fwos%2Fwoscc%2Ffull-record%2FWOS:000388602200010","View Full Record in Web of Science")</f>
        <v>View Full Record in Web of Science</v>
      </c>
    </row>
    <row r="182" spans="1:72" x14ac:dyDescent="0.15">
      <c r="A182" t="s">
        <v>72</v>
      </c>
      <c r="B182" t="s">
        <v>3842</v>
      </c>
      <c r="C182" t="s">
        <v>74</v>
      </c>
      <c r="D182" t="s">
        <v>74</v>
      </c>
      <c r="E182" t="s">
        <v>74</v>
      </c>
      <c r="F182" t="s">
        <v>3843</v>
      </c>
      <c r="G182" t="s">
        <v>74</v>
      </c>
      <c r="H182" t="s">
        <v>74</v>
      </c>
      <c r="I182" t="s">
        <v>3844</v>
      </c>
      <c r="J182" t="s">
        <v>2357</v>
      </c>
      <c r="K182" t="s">
        <v>74</v>
      </c>
      <c r="L182" t="s">
        <v>74</v>
      </c>
      <c r="M182" t="s">
        <v>78</v>
      </c>
      <c r="N182" t="s">
        <v>79</v>
      </c>
      <c r="O182" t="s">
        <v>74</v>
      </c>
      <c r="P182" t="s">
        <v>74</v>
      </c>
      <c r="Q182" t="s">
        <v>74</v>
      </c>
      <c r="R182" t="s">
        <v>74</v>
      </c>
      <c r="S182" t="s">
        <v>74</v>
      </c>
      <c r="T182" t="s">
        <v>3845</v>
      </c>
      <c r="U182" t="s">
        <v>3846</v>
      </c>
      <c r="V182" t="s">
        <v>3847</v>
      </c>
      <c r="W182" t="s">
        <v>3848</v>
      </c>
      <c r="X182" t="s">
        <v>3849</v>
      </c>
      <c r="Y182" t="s">
        <v>3850</v>
      </c>
      <c r="Z182" t="s">
        <v>3851</v>
      </c>
      <c r="AA182" t="s">
        <v>3852</v>
      </c>
      <c r="AB182" t="s">
        <v>3853</v>
      </c>
      <c r="AC182" t="s">
        <v>3854</v>
      </c>
      <c r="AD182" t="s">
        <v>3855</v>
      </c>
      <c r="AE182" t="s">
        <v>3856</v>
      </c>
      <c r="AF182" t="s">
        <v>74</v>
      </c>
      <c r="AG182">
        <v>37</v>
      </c>
      <c r="AH182">
        <v>22</v>
      </c>
      <c r="AI182">
        <v>26</v>
      </c>
      <c r="AJ182">
        <v>0</v>
      </c>
      <c r="AK182">
        <v>7</v>
      </c>
      <c r="AL182" t="s">
        <v>149</v>
      </c>
      <c r="AM182" t="s">
        <v>123</v>
      </c>
      <c r="AN182" t="s">
        <v>150</v>
      </c>
      <c r="AO182" t="s">
        <v>2370</v>
      </c>
      <c r="AP182" t="s">
        <v>2371</v>
      </c>
      <c r="AQ182" t="s">
        <v>74</v>
      </c>
      <c r="AR182" t="s">
        <v>2372</v>
      </c>
      <c r="AS182" t="s">
        <v>2373</v>
      </c>
      <c r="AT182" t="s">
        <v>2218</v>
      </c>
      <c r="AU182">
        <v>2016</v>
      </c>
      <c r="AV182">
        <v>121</v>
      </c>
      <c r="AW182">
        <v>10</v>
      </c>
      <c r="AX182" t="s">
        <v>74</v>
      </c>
      <c r="AY182" t="s">
        <v>74</v>
      </c>
      <c r="AZ182" t="s">
        <v>74</v>
      </c>
      <c r="BA182" t="s">
        <v>74</v>
      </c>
      <c r="BB182">
        <v>7530</v>
      </c>
      <c r="BC182">
        <v>7546</v>
      </c>
      <c r="BD182" t="s">
        <v>74</v>
      </c>
      <c r="BE182" t="s">
        <v>3857</v>
      </c>
      <c r="BF182" t="str">
        <f>HYPERLINK("http://dx.doi.org/10.1002/2016JC011757","http://dx.doi.org/10.1002/2016JC011757")</f>
        <v>http://dx.doi.org/10.1002/2016JC011757</v>
      </c>
      <c r="BG182" t="s">
        <v>74</v>
      </c>
      <c r="BH182" t="s">
        <v>74</v>
      </c>
      <c r="BI182">
        <v>17</v>
      </c>
      <c r="BJ182" t="s">
        <v>405</v>
      </c>
      <c r="BK182" t="s">
        <v>156</v>
      </c>
      <c r="BL182" t="s">
        <v>405</v>
      </c>
      <c r="BM182" t="s">
        <v>2375</v>
      </c>
      <c r="BN182" t="s">
        <v>74</v>
      </c>
      <c r="BO182" t="s">
        <v>534</v>
      </c>
      <c r="BP182" t="s">
        <v>74</v>
      </c>
      <c r="BQ182" t="s">
        <v>74</v>
      </c>
      <c r="BR182" t="s">
        <v>105</v>
      </c>
      <c r="BS182" t="s">
        <v>3858</v>
      </c>
      <c r="BT182" t="str">
        <f>HYPERLINK("https%3A%2F%2Fwww.webofscience.com%2Fwos%2Fwoscc%2Ffull-record%2FWOS:000388602200017","View Full Record in Web of Science")</f>
        <v>View Full Record in Web of Science</v>
      </c>
    </row>
    <row r="183" spans="1:72" x14ac:dyDescent="0.15">
      <c r="A183" t="s">
        <v>72</v>
      </c>
      <c r="B183" t="s">
        <v>3859</v>
      </c>
      <c r="C183" t="s">
        <v>74</v>
      </c>
      <c r="D183" t="s">
        <v>74</v>
      </c>
      <c r="E183" t="s">
        <v>74</v>
      </c>
      <c r="F183" t="s">
        <v>3860</v>
      </c>
      <c r="G183" t="s">
        <v>74</v>
      </c>
      <c r="H183" t="s">
        <v>74</v>
      </c>
      <c r="I183" t="s">
        <v>3861</v>
      </c>
      <c r="J183" t="s">
        <v>2357</v>
      </c>
      <c r="K183" t="s">
        <v>74</v>
      </c>
      <c r="L183" t="s">
        <v>74</v>
      </c>
      <c r="M183" t="s">
        <v>78</v>
      </c>
      <c r="N183" t="s">
        <v>79</v>
      </c>
      <c r="O183" t="s">
        <v>74</v>
      </c>
      <c r="P183" t="s">
        <v>74</v>
      </c>
      <c r="Q183" t="s">
        <v>74</v>
      </c>
      <c r="R183" t="s">
        <v>74</v>
      </c>
      <c r="S183" t="s">
        <v>74</v>
      </c>
      <c r="T183" t="s">
        <v>3862</v>
      </c>
      <c r="U183" t="s">
        <v>3863</v>
      </c>
      <c r="V183" t="s">
        <v>3864</v>
      </c>
      <c r="W183" t="s">
        <v>3865</v>
      </c>
      <c r="X183" t="s">
        <v>3866</v>
      </c>
      <c r="Y183" t="s">
        <v>3867</v>
      </c>
      <c r="Z183" t="s">
        <v>3868</v>
      </c>
      <c r="AA183" t="s">
        <v>3869</v>
      </c>
      <c r="AB183" t="s">
        <v>3870</v>
      </c>
      <c r="AC183" t="s">
        <v>3871</v>
      </c>
      <c r="AD183" t="s">
        <v>3872</v>
      </c>
      <c r="AE183" t="s">
        <v>3873</v>
      </c>
      <c r="AF183" t="s">
        <v>74</v>
      </c>
      <c r="AG183">
        <v>65</v>
      </c>
      <c r="AH183">
        <v>4</v>
      </c>
      <c r="AI183">
        <v>4</v>
      </c>
      <c r="AJ183">
        <v>0</v>
      </c>
      <c r="AK183">
        <v>18</v>
      </c>
      <c r="AL183" t="s">
        <v>149</v>
      </c>
      <c r="AM183" t="s">
        <v>123</v>
      </c>
      <c r="AN183" t="s">
        <v>150</v>
      </c>
      <c r="AO183" t="s">
        <v>2370</v>
      </c>
      <c r="AP183" t="s">
        <v>2371</v>
      </c>
      <c r="AQ183" t="s">
        <v>74</v>
      </c>
      <c r="AR183" t="s">
        <v>2372</v>
      </c>
      <c r="AS183" t="s">
        <v>2373</v>
      </c>
      <c r="AT183" t="s">
        <v>2218</v>
      </c>
      <c r="AU183">
        <v>2016</v>
      </c>
      <c r="AV183">
        <v>121</v>
      </c>
      <c r="AW183">
        <v>10</v>
      </c>
      <c r="AX183" t="s">
        <v>74</v>
      </c>
      <c r="AY183" t="s">
        <v>74</v>
      </c>
      <c r="AZ183" t="s">
        <v>74</v>
      </c>
      <c r="BA183" t="s">
        <v>74</v>
      </c>
      <c r="BB183">
        <v>7804</v>
      </c>
      <c r="BC183">
        <v>7818</v>
      </c>
      <c r="BD183" t="s">
        <v>74</v>
      </c>
      <c r="BE183" t="s">
        <v>3874</v>
      </c>
      <c r="BF183" t="str">
        <f>HYPERLINK("http://dx.doi.org/10.1002/2016JC012111","http://dx.doi.org/10.1002/2016JC012111")</f>
        <v>http://dx.doi.org/10.1002/2016JC012111</v>
      </c>
      <c r="BG183" t="s">
        <v>74</v>
      </c>
      <c r="BH183" t="s">
        <v>74</v>
      </c>
      <c r="BI183">
        <v>15</v>
      </c>
      <c r="BJ183" t="s">
        <v>405</v>
      </c>
      <c r="BK183" t="s">
        <v>156</v>
      </c>
      <c r="BL183" t="s">
        <v>405</v>
      </c>
      <c r="BM183" t="s">
        <v>2375</v>
      </c>
      <c r="BN183" t="s">
        <v>74</v>
      </c>
      <c r="BO183" t="s">
        <v>459</v>
      </c>
      <c r="BP183" t="s">
        <v>74</v>
      </c>
      <c r="BQ183" t="s">
        <v>74</v>
      </c>
      <c r="BR183" t="s">
        <v>105</v>
      </c>
      <c r="BS183" t="s">
        <v>3875</v>
      </c>
      <c r="BT183" t="str">
        <f>HYPERLINK("https%3A%2F%2Fwww.webofscience.com%2Fwos%2Fwoscc%2Ffull-record%2FWOS:000388602200033","View Full Record in Web of Science")</f>
        <v>View Full Record in Web of Science</v>
      </c>
    </row>
    <row r="184" spans="1:72" x14ac:dyDescent="0.15">
      <c r="A184" t="s">
        <v>72</v>
      </c>
      <c r="B184" t="s">
        <v>3876</v>
      </c>
      <c r="C184" t="s">
        <v>74</v>
      </c>
      <c r="D184" t="s">
        <v>74</v>
      </c>
      <c r="E184" t="s">
        <v>74</v>
      </c>
      <c r="F184" t="s">
        <v>3877</v>
      </c>
      <c r="G184" t="s">
        <v>74</v>
      </c>
      <c r="H184" t="s">
        <v>74</v>
      </c>
      <c r="I184" t="s">
        <v>3878</v>
      </c>
      <c r="J184" t="s">
        <v>2292</v>
      </c>
      <c r="K184" t="s">
        <v>74</v>
      </c>
      <c r="L184" t="s">
        <v>74</v>
      </c>
      <c r="M184" t="s">
        <v>78</v>
      </c>
      <c r="N184" t="s">
        <v>79</v>
      </c>
      <c r="O184" t="s">
        <v>74</v>
      </c>
      <c r="P184" t="s">
        <v>74</v>
      </c>
      <c r="Q184" t="s">
        <v>74</v>
      </c>
      <c r="R184" t="s">
        <v>74</v>
      </c>
      <c r="S184" t="s">
        <v>74</v>
      </c>
      <c r="T184" t="s">
        <v>74</v>
      </c>
      <c r="U184" t="s">
        <v>3879</v>
      </c>
      <c r="V184" t="s">
        <v>3880</v>
      </c>
      <c r="W184" t="s">
        <v>3881</v>
      </c>
      <c r="X184" t="s">
        <v>3882</v>
      </c>
      <c r="Y184" t="s">
        <v>3883</v>
      </c>
      <c r="Z184" t="s">
        <v>3884</v>
      </c>
      <c r="AA184" t="s">
        <v>3885</v>
      </c>
      <c r="AB184" t="s">
        <v>3886</v>
      </c>
      <c r="AC184" t="s">
        <v>3887</v>
      </c>
      <c r="AD184" t="s">
        <v>3888</v>
      </c>
      <c r="AE184" t="s">
        <v>3889</v>
      </c>
      <c r="AF184" t="s">
        <v>74</v>
      </c>
      <c r="AG184">
        <v>36</v>
      </c>
      <c r="AH184">
        <v>26</v>
      </c>
      <c r="AI184">
        <v>26</v>
      </c>
      <c r="AJ184">
        <v>0</v>
      </c>
      <c r="AK184">
        <v>13</v>
      </c>
      <c r="AL184" t="s">
        <v>149</v>
      </c>
      <c r="AM184" t="s">
        <v>123</v>
      </c>
      <c r="AN184" t="s">
        <v>150</v>
      </c>
      <c r="AO184" t="s">
        <v>2303</v>
      </c>
      <c r="AP184" t="s">
        <v>2304</v>
      </c>
      <c r="AQ184" t="s">
        <v>74</v>
      </c>
      <c r="AR184" t="s">
        <v>2305</v>
      </c>
      <c r="AS184" t="s">
        <v>2306</v>
      </c>
      <c r="AT184" t="s">
        <v>2218</v>
      </c>
      <c r="AU184">
        <v>2016</v>
      </c>
      <c r="AV184">
        <v>121</v>
      </c>
      <c r="AW184">
        <v>10</v>
      </c>
      <c r="AX184" t="s">
        <v>74</v>
      </c>
      <c r="AY184" t="s">
        <v>74</v>
      </c>
      <c r="AZ184" t="s">
        <v>74</v>
      </c>
      <c r="BA184" t="s">
        <v>74</v>
      </c>
      <c r="BB184">
        <v>9758</v>
      </c>
      <c r="BC184">
        <v>9770</v>
      </c>
      <c r="BD184" t="s">
        <v>74</v>
      </c>
      <c r="BE184" t="s">
        <v>3890</v>
      </c>
      <c r="BF184" t="str">
        <f>HYPERLINK("http://dx.doi.org/10.1002/2016JA022969","http://dx.doi.org/10.1002/2016JA022969")</f>
        <v>http://dx.doi.org/10.1002/2016JA022969</v>
      </c>
      <c r="BG184" t="s">
        <v>74</v>
      </c>
      <c r="BH184" t="s">
        <v>74</v>
      </c>
      <c r="BI184">
        <v>13</v>
      </c>
      <c r="BJ184" t="s">
        <v>748</v>
      </c>
      <c r="BK184" t="s">
        <v>156</v>
      </c>
      <c r="BL184" t="s">
        <v>748</v>
      </c>
      <c r="BM184" t="s">
        <v>2308</v>
      </c>
      <c r="BN184" t="s">
        <v>74</v>
      </c>
      <c r="BO184" t="s">
        <v>1124</v>
      </c>
      <c r="BP184" t="s">
        <v>74</v>
      </c>
      <c r="BQ184" t="s">
        <v>74</v>
      </c>
      <c r="BR184" t="s">
        <v>105</v>
      </c>
      <c r="BS184" t="s">
        <v>3891</v>
      </c>
      <c r="BT184" t="str">
        <f>HYPERLINK("https%3A%2F%2Fwww.webofscience.com%2Fwos%2Fwoscc%2Ffull-record%2FWOS:000388965900030","View Full Record in Web of Science")</f>
        <v>View Full Record in Web of Science</v>
      </c>
    </row>
    <row r="185" spans="1:72" x14ac:dyDescent="0.15">
      <c r="A185" t="s">
        <v>72</v>
      </c>
      <c r="B185" t="s">
        <v>3892</v>
      </c>
      <c r="C185" t="s">
        <v>74</v>
      </c>
      <c r="D185" t="s">
        <v>74</v>
      </c>
      <c r="E185" t="s">
        <v>74</v>
      </c>
      <c r="F185" t="s">
        <v>3893</v>
      </c>
      <c r="G185" t="s">
        <v>74</v>
      </c>
      <c r="H185" t="s">
        <v>74</v>
      </c>
      <c r="I185" t="s">
        <v>3894</v>
      </c>
      <c r="J185" t="s">
        <v>2658</v>
      </c>
      <c r="K185" t="s">
        <v>74</v>
      </c>
      <c r="L185" t="s">
        <v>74</v>
      </c>
      <c r="M185" t="s">
        <v>78</v>
      </c>
      <c r="N185" t="s">
        <v>79</v>
      </c>
      <c r="O185" t="s">
        <v>74</v>
      </c>
      <c r="P185" t="s">
        <v>74</v>
      </c>
      <c r="Q185" t="s">
        <v>74</v>
      </c>
      <c r="R185" t="s">
        <v>74</v>
      </c>
      <c r="S185" t="s">
        <v>74</v>
      </c>
      <c r="T185" t="s">
        <v>3895</v>
      </c>
      <c r="U185" t="s">
        <v>3896</v>
      </c>
      <c r="V185" t="s">
        <v>3897</v>
      </c>
      <c r="W185" t="s">
        <v>3898</v>
      </c>
      <c r="X185" t="s">
        <v>3899</v>
      </c>
      <c r="Y185" t="s">
        <v>3900</v>
      </c>
      <c r="Z185" t="s">
        <v>3901</v>
      </c>
      <c r="AA185" t="s">
        <v>3902</v>
      </c>
      <c r="AB185" t="s">
        <v>3903</v>
      </c>
      <c r="AC185" t="s">
        <v>3904</v>
      </c>
      <c r="AD185" t="s">
        <v>3905</v>
      </c>
      <c r="AE185" t="s">
        <v>3906</v>
      </c>
      <c r="AF185" t="s">
        <v>74</v>
      </c>
      <c r="AG185">
        <v>68</v>
      </c>
      <c r="AH185">
        <v>16</v>
      </c>
      <c r="AI185">
        <v>18</v>
      </c>
      <c r="AJ185">
        <v>1</v>
      </c>
      <c r="AK185">
        <v>15</v>
      </c>
      <c r="AL185" t="s">
        <v>2670</v>
      </c>
      <c r="AM185" t="s">
        <v>2026</v>
      </c>
      <c r="AN185" t="s">
        <v>2671</v>
      </c>
      <c r="AO185" t="s">
        <v>2672</v>
      </c>
      <c r="AP185" t="s">
        <v>2673</v>
      </c>
      <c r="AQ185" t="s">
        <v>74</v>
      </c>
      <c r="AR185" t="s">
        <v>2674</v>
      </c>
      <c r="AS185" t="s">
        <v>2675</v>
      </c>
      <c r="AT185" t="s">
        <v>2218</v>
      </c>
      <c r="AU185">
        <v>2016</v>
      </c>
      <c r="AV185">
        <v>62</v>
      </c>
      <c r="AW185">
        <v>235</v>
      </c>
      <c r="AX185" t="s">
        <v>74</v>
      </c>
      <c r="AY185" t="s">
        <v>74</v>
      </c>
      <c r="AZ185" t="s">
        <v>74</v>
      </c>
      <c r="BA185" t="s">
        <v>74</v>
      </c>
      <c r="BB185">
        <v>847</v>
      </c>
      <c r="BC185">
        <v>860</v>
      </c>
      <c r="BD185" t="s">
        <v>74</v>
      </c>
      <c r="BE185" t="s">
        <v>3907</v>
      </c>
      <c r="BF185" t="str">
        <f>HYPERLINK("http://dx.doi.org/10.1017/jog.2016.73","http://dx.doi.org/10.1017/jog.2016.73")</f>
        <v>http://dx.doi.org/10.1017/jog.2016.73</v>
      </c>
      <c r="BG185" t="s">
        <v>74</v>
      </c>
      <c r="BH185" t="s">
        <v>74</v>
      </c>
      <c r="BI185">
        <v>14</v>
      </c>
      <c r="BJ185" t="s">
        <v>203</v>
      </c>
      <c r="BK185" t="s">
        <v>156</v>
      </c>
      <c r="BL185" t="s">
        <v>204</v>
      </c>
      <c r="BM185" t="s">
        <v>2677</v>
      </c>
      <c r="BN185" t="s">
        <v>74</v>
      </c>
      <c r="BO185" t="s">
        <v>3908</v>
      </c>
      <c r="BP185" t="s">
        <v>74</v>
      </c>
      <c r="BQ185" t="s">
        <v>74</v>
      </c>
      <c r="BR185" t="s">
        <v>105</v>
      </c>
      <c r="BS185" t="s">
        <v>3909</v>
      </c>
      <c r="BT185" t="str">
        <f>HYPERLINK("https%3A%2F%2Fwww.webofscience.com%2Fwos%2Fwoscc%2Ffull-record%2FWOS:000386673900005","View Full Record in Web of Science")</f>
        <v>View Full Record in Web of Science</v>
      </c>
    </row>
    <row r="186" spans="1:72" x14ac:dyDescent="0.15">
      <c r="A186" t="s">
        <v>72</v>
      </c>
      <c r="B186" t="s">
        <v>3910</v>
      </c>
      <c r="C186" t="s">
        <v>74</v>
      </c>
      <c r="D186" t="s">
        <v>74</v>
      </c>
      <c r="E186" t="s">
        <v>74</v>
      </c>
      <c r="F186" t="s">
        <v>3911</v>
      </c>
      <c r="G186" t="s">
        <v>74</v>
      </c>
      <c r="H186" t="s">
        <v>74</v>
      </c>
      <c r="I186" t="s">
        <v>3912</v>
      </c>
      <c r="J186" t="s">
        <v>2658</v>
      </c>
      <c r="K186" t="s">
        <v>74</v>
      </c>
      <c r="L186" t="s">
        <v>74</v>
      </c>
      <c r="M186" t="s">
        <v>78</v>
      </c>
      <c r="N186" t="s">
        <v>79</v>
      </c>
      <c r="O186" t="s">
        <v>74</v>
      </c>
      <c r="P186" t="s">
        <v>74</v>
      </c>
      <c r="Q186" t="s">
        <v>74</v>
      </c>
      <c r="R186" t="s">
        <v>74</v>
      </c>
      <c r="S186" t="s">
        <v>74</v>
      </c>
      <c r="T186" t="s">
        <v>3913</v>
      </c>
      <c r="U186" t="s">
        <v>3914</v>
      </c>
      <c r="V186" t="s">
        <v>3915</v>
      </c>
      <c r="W186" t="s">
        <v>3916</v>
      </c>
      <c r="X186" t="s">
        <v>3917</v>
      </c>
      <c r="Y186" t="s">
        <v>3918</v>
      </c>
      <c r="Z186" t="s">
        <v>3919</v>
      </c>
      <c r="AA186" t="s">
        <v>3920</v>
      </c>
      <c r="AB186" t="s">
        <v>3921</v>
      </c>
      <c r="AC186" t="s">
        <v>3922</v>
      </c>
      <c r="AD186" t="s">
        <v>3923</v>
      </c>
      <c r="AE186" t="s">
        <v>3924</v>
      </c>
      <c r="AF186" t="s">
        <v>74</v>
      </c>
      <c r="AG186">
        <v>195</v>
      </c>
      <c r="AH186">
        <v>52</v>
      </c>
      <c r="AI186">
        <v>54</v>
      </c>
      <c r="AJ186">
        <v>4</v>
      </c>
      <c r="AK186">
        <v>39</v>
      </c>
      <c r="AL186" t="s">
        <v>2670</v>
      </c>
      <c r="AM186" t="s">
        <v>2026</v>
      </c>
      <c r="AN186" t="s">
        <v>2671</v>
      </c>
      <c r="AO186" t="s">
        <v>2672</v>
      </c>
      <c r="AP186" t="s">
        <v>2673</v>
      </c>
      <c r="AQ186" t="s">
        <v>74</v>
      </c>
      <c r="AR186" t="s">
        <v>2674</v>
      </c>
      <c r="AS186" t="s">
        <v>2675</v>
      </c>
      <c r="AT186" t="s">
        <v>2218</v>
      </c>
      <c r="AU186">
        <v>2016</v>
      </c>
      <c r="AV186">
        <v>62</v>
      </c>
      <c r="AW186">
        <v>235</v>
      </c>
      <c r="AX186" t="s">
        <v>74</v>
      </c>
      <c r="AY186" t="s">
        <v>74</v>
      </c>
      <c r="AZ186" t="s">
        <v>74</v>
      </c>
      <c r="BA186" t="s">
        <v>74</v>
      </c>
      <c r="BB186">
        <v>861</v>
      </c>
      <c r="BC186">
        <v>887</v>
      </c>
      <c r="BD186" t="s">
        <v>74</v>
      </c>
      <c r="BE186" t="s">
        <v>3925</v>
      </c>
      <c r="BF186" t="str">
        <f>HYPERLINK("http://dx.doi.org/10.1017/jog.2016.75","http://dx.doi.org/10.1017/jog.2016.75")</f>
        <v>http://dx.doi.org/10.1017/jog.2016.75</v>
      </c>
      <c r="BG186" t="s">
        <v>74</v>
      </c>
      <c r="BH186" t="s">
        <v>74</v>
      </c>
      <c r="BI186">
        <v>27</v>
      </c>
      <c r="BJ186" t="s">
        <v>203</v>
      </c>
      <c r="BK186" t="s">
        <v>156</v>
      </c>
      <c r="BL186" t="s">
        <v>204</v>
      </c>
      <c r="BM186" t="s">
        <v>2677</v>
      </c>
      <c r="BN186" t="s">
        <v>74</v>
      </c>
      <c r="BO186" t="s">
        <v>133</v>
      </c>
      <c r="BP186" t="s">
        <v>74</v>
      </c>
      <c r="BQ186" t="s">
        <v>74</v>
      </c>
      <c r="BR186" t="s">
        <v>105</v>
      </c>
      <c r="BS186" t="s">
        <v>3926</v>
      </c>
      <c r="BT186" t="str">
        <f>HYPERLINK("https%3A%2F%2Fwww.webofscience.com%2Fwos%2Fwoscc%2Ffull-record%2FWOS:000386673900006","View Full Record in Web of Science")</f>
        <v>View Full Record in Web of Science</v>
      </c>
    </row>
    <row r="187" spans="1:72" x14ac:dyDescent="0.15">
      <c r="A187" t="s">
        <v>72</v>
      </c>
      <c r="B187" t="s">
        <v>3927</v>
      </c>
      <c r="C187" t="s">
        <v>74</v>
      </c>
      <c r="D187" t="s">
        <v>74</v>
      </c>
      <c r="E187" t="s">
        <v>74</v>
      </c>
      <c r="F187" t="s">
        <v>3928</v>
      </c>
      <c r="G187" t="s">
        <v>74</v>
      </c>
      <c r="H187" t="s">
        <v>74</v>
      </c>
      <c r="I187" t="s">
        <v>3929</v>
      </c>
      <c r="J187" t="s">
        <v>2658</v>
      </c>
      <c r="K187" t="s">
        <v>74</v>
      </c>
      <c r="L187" t="s">
        <v>74</v>
      </c>
      <c r="M187" t="s">
        <v>78</v>
      </c>
      <c r="N187" t="s">
        <v>79</v>
      </c>
      <c r="O187" t="s">
        <v>74</v>
      </c>
      <c r="P187" t="s">
        <v>74</v>
      </c>
      <c r="Q187" t="s">
        <v>74</v>
      </c>
      <c r="R187" t="s">
        <v>74</v>
      </c>
      <c r="S187" t="s">
        <v>74</v>
      </c>
      <c r="T187" t="s">
        <v>3930</v>
      </c>
      <c r="U187" t="s">
        <v>3931</v>
      </c>
      <c r="V187" t="s">
        <v>3932</v>
      </c>
      <c r="W187" t="s">
        <v>3933</v>
      </c>
      <c r="X187" t="s">
        <v>1347</v>
      </c>
      <c r="Y187" t="s">
        <v>3934</v>
      </c>
      <c r="Z187" t="s">
        <v>3935</v>
      </c>
      <c r="AA187" t="s">
        <v>3936</v>
      </c>
      <c r="AB187" t="s">
        <v>3937</v>
      </c>
      <c r="AC187" t="s">
        <v>3938</v>
      </c>
      <c r="AD187" t="s">
        <v>3939</v>
      </c>
      <c r="AE187" t="s">
        <v>3940</v>
      </c>
      <c r="AF187" t="s">
        <v>74</v>
      </c>
      <c r="AG187">
        <v>50</v>
      </c>
      <c r="AH187">
        <v>11</v>
      </c>
      <c r="AI187">
        <v>13</v>
      </c>
      <c r="AJ187">
        <v>0</v>
      </c>
      <c r="AK187">
        <v>14</v>
      </c>
      <c r="AL187" t="s">
        <v>2670</v>
      </c>
      <c r="AM187" t="s">
        <v>2026</v>
      </c>
      <c r="AN187" t="s">
        <v>2671</v>
      </c>
      <c r="AO187" t="s">
        <v>2672</v>
      </c>
      <c r="AP187" t="s">
        <v>2673</v>
      </c>
      <c r="AQ187" t="s">
        <v>74</v>
      </c>
      <c r="AR187" t="s">
        <v>2674</v>
      </c>
      <c r="AS187" t="s">
        <v>2675</v>
      </c>
      <c r="AT187" t="s">
        <v>2218</v>
      </c>
      <c r="AU187">
        <v>2016</v>
      </c>
      <c r="AV187">
        <v>62</v>
      </c>
      <c r="AW187">
        <v>235</v>
      </c>
      <c r="AX187" t="s">
        <v>74</v>
      </c>
      <c r="AY187" t="s">
        <v>74</v>
      </c>
      <c r="AZ187" t="s">
        <v>74</v>
      </c>
      <c r="BA187" t="s">
        <v>74</v>
      </c>
      <c r="BB187">
        <v>905</v>
      </c>
      <c r="BC187">
        <v>911</v>
      </c>
      <c r="BD187" t="s">
        <v>74</v>
      </c>
      <c r="BE187" t="s">
        <v>3941</v>
      </c>
      <c r="BF187" t="str">
        <f>HYPERLINK("http://dx.doi.org/10.1017/jog.2016.77","http://dx.doi.org/10.1017/jog.2016.77")</f>
        <v>http://dx.doi.org/10.1017/jog.2016.77</v>
      </c>
      <c r="BG187" t="s">
        <v>74</v>
      </c>
      <c r="BH187" t="s">
        <v>74</v>
      </c>
      <c r="BI187">
        <v>7</v>
      </c>
      <c r="BJ187" t="s">
        <v>203</v>
      </c>
      <c r="BK187" t="s">
        <v>156</v>
      </c>
      <c r="BL187" t="s">
        <v>204</v>
      </c>
      <c r="BM187" t="s">
        <v>2677</v>
      </c>
      <c r="BN187" t="s">
        <v>74</v>
      </c>
      <c r="BO187" t="s">
        <v>3942</v>
      </c>
      <c r="BP187" t="s">
        <v>74</v>
      </c>
      <c r="BQ187" t="s">
        <v>74</v>
      </c>
      <c r="BR187" t="s">
        <v>105</v>
      </c>
      <c r="BS187" t="s">
        <v>3943</v>
      </c>
      <c r="BT187" t="str">
        <f>HYPERLINK("https%3A%2F%2Fwww.webofscience.com%2Fwos%2Fwoscc%2Ffull-record%2FWOS:000386673900008","View Full Record in Web of Science")</f>
        <v>View Full Record in Web of Science</v>
      </c>
    </row>
    <row r="188" spans="1:72" x14ac:dyDescent="0.15">
      <c r="A188" t="s">
        <v>72</v>
      </c>
      <c r="B188" t="s">
        <v>3944</v>
      </c>
      <c r="C188" t="s">
        <v>74</v>
      </c>
      <c r="D188" t="s">
        <v>74</v>
      </c>
      <c r="E188" t="s">
        <v>74</v>
      </c>
      <c r="F188" t="s">
        <v>3945</v>
      </c>
      <c r="G188" t="s">
        <v>74</v>
      </c>
      <c r="H188" t="s">
        <v>74</v>
      </c>
      <c r="I188" t="s">
        <v>3946</v>
      </c>
      <c r="J188" t="s">
        <v>3947</v>
      </c>
      <c r="K188" t="s">
        <v>74</v>
      </c>
      <c r="L188" t="s">
        <v>74</v>
      </c>
      <c r="M188" t="s">
        <v>78</v>
      </c>
      <c r="N188" t="s">
        <v>79</v>
      </c>
      <c r="O188" t="s">
        <v>74</v>
      </c>
      <c r="P188" t="s">
        <v>74</v>
      </c>
      <c r="Q188" t="s">
        <v>74</v>
      </c>
      <c r="R188" t="s">
        <v>74</v>
      </c>
      <c r="S188" t="s">
        <v>74</v>
      </c>
      <c r="T188" t="s">
        <v>3948</v>
      </c>
      <c r="U188" t="s">
        <v>3949</v>
      </c>
      <c r="V188" t="s">
        <v>3950</v>
      </c>
      <c r="W188" t="s">
        <v>3951</v>
      </c>
      <c r="X188" t="s">
        <v>3952</v>
      </c>
      <c r="Y188" t="s">
        <v>3953</v>
      </c>
      <c r="Z188" t="s">
        <v>3954</v>
      </c>
      <c r="AA188" t="s">
        <v>3955</v>
      </c>
      <c r="AB188" t="s">
        <v>3956</v>
      </c>
      <c r="AC188" t="s">
        <v>3957</v>
      </c>
      <c r="AD188" t="s">
        <v>3958</v>
      </c>
      <c r="AE188" t="s">
        <v>3959</v>
      </c>
      <c r="AF188" t="s">
        <v>74</v>
      </c>
      <c r="AG188">
        <v>56</v>
      </c>
      <c r="AH188">
        <v>23</v>
      </c>
      <c r="AI188">
        <v>23</v>
      </c>
      <c r="AJ188">
        <v>0</v>
      </c>
      <c r="AK188">
        <v>15</v>
      </c>
      <c r="AL188" t="s">
        <v>644</v>
      </c>
      <c r="AM188" t="s">
        <v>740</v>
      </c>
      <c r="AN188" t="s">
        <v>741</v>
      </c>
      <c r="AO188" t="s">
        <v>3960</v>
      </c>
      <c r="AP188" t="s">
        <v>3961</v>
      </c>
      <c r="AQ188" t="s">
        <v>74</v>
      </c>
      <c r="AR188" t="s">
        <v>3962</v>
      </c>
      <c r="AS188" t="s">
        <v>3963</v>
      </c>
      <c r="AT188" t="s">
        <v>2218</v>
      </c>
      <c r="AU188">
        <v>2016</v>
      </c>
      <c r="AV188">
        <v>72</v>
      </c>
      <c r="AW188">
        <v>5</v>
      </c>
      <c r="AX188" t="s">
        <v>74</v>
      </c>
      <c r="AY188" t="s">
        <v>74</v>
      </c>
      <c r="AZ188" t="s">
        <v>74</v>
      </c>
      <c r="BA188" t="s">
        <v>74</v>
      </c>
      <c r="BB188">
        <v>761</v>
      </c>
      <c r="BC188">
        <v>776</v>
      </c>
      <c r="BD188" t="s">
        <v>74</v>
      </c>
      <c r="BE188" t="s">
        <v>3964</v>
      </c>
      <c r="BF188" t="str">
        <f>HYPERLINK("http://dx.doi.org/10.1007/s10872-016-0370-4","http://dx.doi.org/10.1007/s10872-016-0370-4")</f>
        <v>http://dx.doi.org/10.1007/s10872-016-0370-4</v>
      </c>
      <c r="BG188" t="s">
        <v>74</v>
      </c>
      <c r="BH188" t="s">
        <v>74</v>
      </c>
      <c r="BI188">
        <v>16</v>
      </c>
      <c r="BJ188" t="s">
        <v>405</v>
      </c>
      <c r="BK188" t="s">
        <v>156</v>
      </c>
      <c r="BL188" t="s">
        <v>405</v>
      </c>
      <c r="BM188" t="s">
        <v>3965</v>
      </c>
      <c r="BN188" t="s">
        <v>74</v>
      </c>
      <c r="BO188" t="s">
        <v>74</v>
      </c>
      <c r="BP188" t="s">
        <v>74</v>
      </c>
      <c r="BQ188" t="s">
        <v>74</v>
      </c>
      <c r="BR188" t="s">
        <v>105</v>
      </c>
      <c r="BS188" t="s">
        <v>3966</v>
      </c>
      <c r="BT188" t="str">
        <f>HYPERLINK("https%3A%2F%2Fwww.webofscience.com%2Fwos%2Fwoscc%2Ffull-record%2FWOS:000384532600008","View Full Record in Web of Science")</f>
        <v>View Full Record in Web of Science</v>
      </c>
    </row>
    <row r="189" spans="1:72" x14ac:dyDescent="0.15">
      <c r="A189" t="s">
        <v>72</v>
      </c>
      <c r="B189" t="s">
        <v>3967</v>
      </c>
      <c r="C189" t="s">
        <v>74</v>
      </c>
      <c r="D189" t="s">
        <v>74</v>
      </c>
      <c r="E189" t="s">
        <v>74</v>
      </c>
      <c r="F189" t="s">
        <v>3968</v>
      </c>
      <c r="G189" t="s">
        <v>74</v>
      </c>
      <c r="H189" t="s">
        <v>74</v>
      </c>
      <c r="I189" t="s">
        <v>3969</v>
      </c>
      <c r="J189" t="s">
        <v>3970</v>
      </c>
      <c r="K189" t="s">
        <v>74</v>
      </c>
      <c r="L189" t="s">
        <v>74</v>
      </c>
      <c r="M189" t="s">
        <v>78</v>
      </c>
      <c r="N189" t="s">
        <v>79</v>
      </c>
      <c r="O189" t="s">
        <v>74</v>
      </c>
      <c r="P189" t="s">
        <v>74</v>
      </c>
      <c r="Q189" t="s">
        <v>74</v>
      </c>
      <c r="R189" t="s">
        <v>74</v>
      </c>
      <c r="S189" t="s">
        <v>74</v>
      </c>
      <c r="T189" t="s">
        <v>3971</v>
      </c>
      <c r="U189" t="s">
        <v>3972</v>
      </c>
      <c r="V189" t="s">
        <v>3973</v>
      </c>
      <c r="W189" t="s">
        <v>3974</v>
      </c>
      <c r="X189" t="s">
        <v>3975</v>
      </c>
      <c r="Y189" t="s">
        <v>3976</v>
      </c>
      <c r="Z189" t="s">
        <v>3977</v>
      </c>
      <c r="AA189" t="s">
        <v>3978</v>
      </c>
      <c r="AB189" t="s">
        <v>3979</v>
      </c>
      <c r="AC189" t="s">
        <v>3980</v>
      </c>
      <c r="AD189" t="s">
        <v>3981</v>
      </c>
      <c r="AE189" t="s">
        <v>3982</v>
      </c>
      <c r="AF189" t="s">
        <v>74</v>
      </c>
      <c r="AG189">
        <v>59</v>
      </c>
      <c r="AH189">
        <v>2</v>
      </c>
      <c r="AI189">
        <v>2</v>
      </c>
      <c r="AJ189">
        <v>2</v>
      </c>
      <c r="AK189">
        <v>27</v>
      </c>
      <c r="AL189" t="s">
        <v>449</v>
      </c>
      <c r="AM189" t="s">
        <v>450</v>
      </c>
      <c r="AN189" t="s">
        <v>451</v>
      </c>
      <c r="AO189" t="s">
        <v>3983</v>
      </c>
      <c r="AP189" t="s">
        <v>3984</v>
      </c>
      <c r="AQ189" t="s">
        <v>74</v>
      </c>
      <c r="AR189" t="s">
        <v>3985</v>
      </c>
      <c r="AS189" t="s">
        <v>3986</v>
      </c>
      <c r="AT189" t="s">
        <v>2218</v>
      </c>
      <c r="AU189">
        <v>2016</v>
      </c>
      <c r="AV189">
        <v>157</v>
      </c>
      <c r="AW189">
        <v>4</v>
      </c>
      <c r="AX189" t="s">
        <v>74</v>
      </c>
      <c r="AY189" t="s">
        <v>74</v>
      </c>
      <c r="AZ189" t="s">
        <v>74</v>
      </c>
      <c r="BA189" t="s">
        <v>74</v>
      </c>
      <c r="BB189">
        <v>1103</v>
      </c>
      <c r="BC189">
        <v>1113</v>
      </c>
      <c r="BD189" t="s">
        <v>74</v>
      </c>
      <c r="BE189" t="s">
        <v>3987</v>
      </c>
      <c r="BF189" t="str">
        <f>HYPERLINK("http://dx.doi.org/10.1007/s10336-016-1355-1","http://dx.doi.org/10.1007/s10336-016-1355-1")</f>
        <v>http://dx.doi.org/10.1007/s10336-016-1355-1</v>
      </c>
      <c r="BG189" t="s">
        <v>74</v>
      </c>
      <c r="BH189" t="s">
        <v>74</v>
      </c>
      <c r="BI189">
        <v>11</v>
      </c>
      <c r="BJ189" t="s">
        <v>3988</v>
      </c>
      <c r="BK189" t="s">
        <v>156</v>
      </c>
      <c r="BL189" t="s">
        <v>3306</v>
      </c>
      <c r="BM189" t="s">
        <v>3989</v>
      </c>
      <c r="BN189" t="s">
        <v>74</v>
      </c>
      <c r="BO189" t="s">
        <v>74</v>
      </c>
      <c r="BP189" t="s">
        <v>74</v>
      </c>
      <c r="BQ189" t="s">
        <v>74</v>
      </c>
      <c r="BR189" t="s">
        <v>105</v>
      </c>
      <c r="BS189" t="s">
        <v>3990</v>
      </c>
      <c r="BT189" t="str">
        <f>HYPERLINK("https%3A%2F%2Fwww.webofscience.com%2Fwos%2Fwoscc%2Ffull-record%2FWOS:000382944500016","View Full Record in Web of Science")</f>
        <v>View Full Record in Web of Science</v>
      </c>
    </row>
    <row r="190" spans="1:72" x14ac:dyDescent="0.15">
      <c r="A190" t="s">
        <v>72</v>
      </c>
      <c r="B190" t="s">
        <v>3991</v>
      </c>
      <c r="C190" t="s">
        <v>74</v>
      </c>
      <c r="D190" t="s">
        <v>74</v>
      </c>
      <c r="E190" t="s">
        <v>74</v>
      </c>
      <c r="F190" t="s">
        <v>3992</v>
      </c>
      <c r="G190" t="s">
        <v>74</v>
      </c>
      <c r="H190" t="s">
        <v>74</v>
      </c>
      <c r="I190" t="s">
        <v>3993</v>
      </c>
      <c r="J190" t="s">
        <v>385</v>
      </c>
      <c r="K190" t="s">
        <v>74</v>
      </c>
      <c r="L190" t="s">
        <v>74</v>
      </c>
      <c r="M190" t="s">
        <v>78</v>
      </c>
      <c r="N190" t="s">
        <v>79</v>
      </c>
      <c r="O190" t="s">
        <v>74</v>
      </c>
      <c r="P190" t="s">
        <v>74</v>
      </c>
      <c r="Q190" t="s">
        <v>74</v>
      </c>
      <c r="R190" t="s">
        <v>74</v>
      </c>
      <c r="S190" t="s">
        <v>74</v>
      </c>
      <c r="T190" t="s">
        <v>74</v>
      </c>
      <c r="U190" t="s">
        <v>3994</v>
      </c>
      <c r="V190" t="s">
        <v>3995</v>
      </c>
      <c r="W190" t="s">
        <v>3996</v>
      </c>
      <c r="X190" t="s">
        <v>3997</v>
      </c>
      <c r="Y190" t="s">
        <v>3998</v>
      </c>
      <c r="Z190" t="s">
        <v>3999</v>
      </c>
      <c r="AA190" t="s">
        <v>4000</v>
      </c>
      <c r="AB190" t="s">
        <v>4001</v>
      </c>
      <c r="AC190" t="s">
        <v>4002</v>
      </c>
      <c r="AD190" t="s">
        <v>4003</v>
      </c>
      <c r="AE190" t="s">
        <v>4004</v>
      </c>
      <c r="AF190" t="s">
        <v>74</v>
      </c>
      <c r="AG190">
        <v>60</v>
      </c>
      <c r="AH190">
        <v>14</v>
      </c>
      <c r="AI190">
        <v>16</v>
      </c>
      <c r="AJ190">
        <v>1</v>
      </c>
      <c r="AK190">
        <v>7</v>
      </c>
      <c r="AL190" t="s">
        <v>397</v>
      </c>
      <c r="AM190" t="s">
        <v>398</v>
      </c>
      <c r="AN190" t="s">
        <v>399</v>
      </c>
      <c r="AO190" t="s">
        <v>400</v>
      </c>
      <c r="AP190" t="s">
        <v>401</v>
      </c>
      <c r="AQ190" t="s">
        <v>74</v>
      </c>
      <c r="AR190" t="s">
        <v>402</v>
      </c>
      <c r="AS190" t="s">
        <v>403</v>
      </c>
      <c r="AT190" t="s">
        <v>2218</v>
      </c>
      <c r="AU190">
        <v>2016</v>
      </c>
      <c r="AV190">
        <v>46</v>
      </c>
      <c r="AW190">
        <v>10</v>
      </c>
      <c r="AX190" t="s">
        <v>74</v>
      </c>
      <c r="AY190" t="s">
        <v>74</v>
      </c>
      <c r="AZ190" t="s">
        <v>74</v>
      </c>
      <c r="BA190" t="s">
        <v>74</v>
      </c>
      <c r="BB190">
        <v>2995</v>
      </c>
      <c r="BC190">
        <v>3010</v>
      </c>
      <c r="BD190" t="s">
        <v>74</v>
      </c>
      <c r="BE190" t="s">
        <v>4005</v>
      </c>
      <c r="BF190" t="str">
        <f>HYPERLINK("http://dx.doi.org/10.1175/JPO-D-16-0097.1","http://dx.doi.org/10.1175/JPO-D-16-0097.1")</f>
        <v>http://dx.doi.org/10.1175/JPO-D-16-0097.1</v>
      </c>
      <c r="BG190" t="s">
        <v>74</v>
      </c>
      <c r="BH190" t="s">
        <v>74</v>
      </c>
      <c r="BI190">
        <v>16</v>
      </c>
      <c r="BJ190" t="s">
        <v>405</v>
      </c>
      <c r="BK190" t="s">
        <v>156</v>
      </c>
      <c r="BL190" t="s">
        <v>405</v>
      </c>
      <c r="BM190" t="s">
        <v>4006</v>
      </c>
      <c r="BN190" t="s">
        <v>74</v>
      </c>
      <c r="BO190" t="s">
        <v>285</v>
      </c>
      <c r="BP190" t="s">
        <v>74</v>
      </c>
      <c r="BQ190" t="s">
        <v>74</v>
      </c>
      <c r="BR190" t="s">
        <v>105</v>
      </c>
      <c r="BS190" t="s">
        <v>4007</v>
      </c>
      <c r="BT190" t="str">
        <f>HYPERLINK("https%3A%2F%2Fwww.webofscience.com%2Fwos%2Fwoscc%2Ffull-record%2FWOS:000386330000003","View Full Record in Web of Science")</f>
        <v>View Full Record in Web of Science</v>
      </c>
    </row>
    <row r="191" spans="1:72" x14ac:dyDescent="0.15">
      <c r="A191" t="s">
        <v>72</v>
      </c>
      <c r="B191" t="s">
        <v>4008</v>
      </c>
      <c r="C191" t="s">
        <v>74</v>
      </c>
      <c r="D191" t="s">
        <v>74</v>
      </c>
      <c r="E191" t="s">
        <v>74</v>
      </c>
      <c r="F191" t="s">
        <v>4009</v>
      </c>
      <c r="G191" t="s">
        <v>74</v>
      </c>
      <c r="H191" t="s">
        <v>74</v>
      </c>
      <c r="I191" t="s">
        <v>4010</v>
      </c>
      <c r="J191" t="s">
        <v>4011</v>
      </c>
      <c r="K191" t="s">
        <v>74</v>
      </c>
      <c r="L191" t="s">
        <v>74</v>
      </c>
      <c r="M191" t="s">
        <v>78</v>
      </c>
      <c r="N191" t="s">
        <v>79</v>
      </c>
      <c r="O191" t="s">
        <v>74</v>
      </c>
      <c r="P191" t="s">
        <v>74</v>
      </c>
      <c r="Q191" t="s">
        <v>74</v>
      </c>
      <c r="R191" t="s">
        <v>74</v>
      </c>
      <c r="S191" t="s">
        <v>74</v>
      </c>
      <c r="T191" t="s">
        <v>74</v>
      </c>
      <c r="U191" t="s">
        <v>4012</v>
      </c>
      <c r="V191" t="s">
        <v>4013</v>
      </c>
      <c r="W191" t="s">
        <v>4014</v>
      </c>
      <c r="X191" t="s">
        <v>4015</v>
      </c>
      <c r="Y191" t="s">
        <v>4016</v>
      </c>
      <c r="Z191" t="s">
        <v>4017</v>
      </c>
      <c r="AA191" t="s">
        <v>74</v>
      </c>
      <c r="AB191" t="s">
        <v>74</v>
      </c>
      <c r="AC191" t="s">
        <v>4018</v>
      </c>
      <c r="AD191" t="s">
        <v>4019</v>
      </c>
      <c r="AE191" t="s">
        <v>4020</v>
      </c>
      <c r="AF191" t="s">
        <v>74</v>
      </c>
      <c r="AG191">
        <v>48</v>
      </c>
      <c r="AH191">
        <v>10</v>
      </c>
      <c r="AI191">
        <v>13</v>
      </c>
      <c r="AJ191">
        <v>0</v>
      </c>
      <c r="AK191">
        <v>18</v>
      </c>
      <c r="AL191" t="s">
        <v>4021</v>
      </c>
      <c r="AM191" t="s">
        <v>4022</v>
      </c>
      <c r="AN191" t="s">
        <v>4023</v>
      </c>
      <c r="AO191" t="s">
        <v>4024</v>
      </c>
      <c r="AP191" t="s">
        <v>4025</v>
      </c>
      <c r="AQ191" t="s">
        <v>74</v>
      </c>
      <c r="AR191" t="s">
        <v>4026</v>
      </c>
      <c r="AS191" t="s">
        <v>4027</v>
      </c>
      <c r="AT191" t="s">
        <v>2218</v>
      </c>
      <c r="AU191">
        <v>2016</v>
      </c>
      <c r="AV191">
        <v>140</v>
      </c>
      <c r="AW191">
        <v>4</v>
      </c>
      <c r="AX191" t="s">
        <v>74</v>
      </c>
      <c r="AY191" t="s">
        <v>74</v>
      </c>
      <c r="AZ191" t="s">
        <v>74</v>
      </c>
      <c r="BA191" t="s">
        <v>74</v>
      </c>
      <c r="BB191">
        <v>2274</v>
      </c>
      <c r="BC191">
        <v>2287</v>
      </c>
      <c r="BD191" t="s">
        <v>74</v>
      </c>
      <c r="BE191" t="s">
        <v>4028</v>
      </c>
      <c r="BF191" t="str">
        <f>HYPERLINK("http://dx.doi.org/10.1121/1.4963876","http://dx.doi.org/10.1121/1.4963876")</f>
        <v>http://dx.doi.org/10.1121/1.4963876</v>
      </c>
      <c r="BG191" t="s">
        <v>74</v>
      </c>
      <c r="BH191" t="s">
        <v>74</v>
      </c>
      <c r="BI191">
        <v>14</v>
      </c>
      <c r="BJ191" t="s">
        <v>4029</v>
      </c>
      <c r="BK191" t="s">
        <v>156</v>
      </c>
      <c r="BL191" t="s">
        <v>4029</v>
      </c>
      <c r="BM191" t="s">
        <v>4030</v>
      </c>
      <c r="BN191">
        <v>27794337</v>
      </c>
      <c r="BO191" t="s">
        <v>1002</v>
      </c>
      <c r="BP191" t="s">
        <v>74</v>
      </c>
      <c r="BQ191" t="s">
        <v>74</v>
      </c>
      <c r="BR191" t="s">
        <v>105</v>
      </c>
      <c r="BS191" t="s">
        <v>4031</v>
      </c>
      <c r="BT191" t="str">
        <f>HYPERLINK("https%3A%2F%2Fwww.webofscience.com%2Fwos%2Fwoscc%2Ffull-record%2FWOS:000387260600019","View Full Record in Web of Science")</f>
        <v>View Full Record in Web of Science</v>
      </c>
    </row>
    <row r="192" spans="1:72" x14ac:dyDescent="0.15">
      <c r="A192" t="s">
        <v>72</v>
      </c>
      <c r="B192" t="s">
        <v>4032</v>
      </c>
      <c r="C192" t="s">
        <v>74</v>
      </c>
      <c r="D192" t="s">
        <v>74</v>
      </c>
      <c r="E192" t="s">
        <v>74</v>
      </c>
      <c r="F192" t="s">
        <v>4033</v>
      </c>
      <c r="G192" t="s">
        <v>74</v>
      </c>
      <c r="H192" t="s">
        <v>74</v>
      </c>
      <c r="I192" t="s">
        <v>4034</v>
      </c>
      <c r="J192" t="s">
        <v>4035</v>
      </c>
      <c r="K192" t="s">
        <v>74</v>
      </c>
      <c r="L192" t="s">
        <v>74</v>
      </c>
      <c r="M192" t="s">
        <v>78</v>
      </c>
      <c r="N192" t="s">
        <v>79</v>
      </c>
      <c r="O192" t="s">
        <v>74</v>
      </c>
      <c r="P192" t="s">
        <v>74</v>
      </c>
      <c r="Q192" t="s">
        <v>74</v>
      </c>
      <c r="R192" t="s">
        <v>74</v>
      </c>
      <c r="S192" t="s">
        <v>74</v>
      </c>
      <c r="T192" t="s">
        <v>74</v>
      </c>
      <c r="U192" t="s">
        <v>4036</v>
      </c>
      <c r="V192" t="s">
        <v>4037</v>
      </c>
      <c r="W192" t="s">
        <v>4038</v>
      </c>
      <c r="X192" t="s">
        <v>4039</v>
      </c>
      <c r="Y192" t="s">
        <v>4040</v>
      </c>
      <c r="Z192" t="s">
        <v>4041</v>
      </c>
      <c r="AA192" t="s">
        <v>4042</v>
      </c>
      <c r="AB192" t="s">
        <v>4043</v>
      </c>
      <c r="AC192" t="s">
        <v>4044</v>
      </c>
      <c r="AD192" t="s">
        <v>4045</v>
      </c>
      <c r="AE192" t="s">
        <v>4046</v>
      </c>
      <c r="AF192" t="s">
        <v>74</v>
      </c>
      <c r="AG192">
        <v>50</v>
      </c>
      <c r="AH192">
        <v>7</v>
      </c>
      <c r="AI192">
        <v>8</v>
      </c>
      <c r="AJ192">
        <v>2</v>
      </c>
      <c r="AK192">
        <v>40</v>
      </c>
      <c r="AL192" t="s">
        <v>501</v>
      </c>
      <c r="AM192" t="s">
        <v>502</v>
      </c>
      <c r="AN192" t="s">
        <v>503</v>
      </c>
      <c r="AO192" t="s">
        <v>4047</v>
      </c>
      <c r="AP192" t="s">
        <v>74</v>
      </c>
      <c r="AQ192" t="s">
        <v>74</v>
      </c>
      <c r="AR192" t="s">
        <v>4048</v>
      </c>
      <c r="AS192" t="s">
        <v>4049</v>
      </c>
      <c r="AT192" t="s">
        <v>2218</v>
      </c>
      <c r="AU192">
        <v>2016</v>
      </c>
      <c r="AV192">
        <v>14</v>
      </c>
      <c r="AW192">
        <v>10</v>
      </c>
      <c r="AX192" t="s">
        <v>74</v>
      </c>
      <c r="AY192" t="s">
        <v>74</v>
      </c>
      <c r="AZ192" t="s">
        <v>74</v>
      </c>
      <c r="BA192" t="s">
        <v>74</v>
      </c>
      <c r="BB192">
        <v>623</v>
      </c>
      <c r="BC192">
        <v>636</v>
      </c>
      <c r="BD192" t="s">
        <v>74</v>
      </c>
      <c r="BE192" t="s">
        <v>4050</v>
      </c>
      <c r="BF192" t="str">
        <f>HYPERLINK("http://dx.doi.org/10.1002/lom3.10117","http://dx.doi.org/10.1002/lom3.10117")</f>
        <v>http://dx.doi.org/10.1002/lom3.10117</v>
      </c>
      <c r="BG192" t="s">
        <v>74</v>
      </c>
      <c r="BH192" t="s">
        <v>74</v>
      </c>
      <c r="BI192">
        <v>14</v>
      </c>
      <c r="BJ192" t="s">
        <v>4051</v>
      </c>
      <c r="BK192" t="s">
        <v>156</v>
      </c>
      <c r="BL192" t="s">
        <v>2120</v>
      </c>
      <c r="BM192" t="s">
        <v>4052</v>
      </c>
      <c r="BN192" t="s">
        <v>74</v>
      </c>
      <c r="BO192" t="s">
        <v>805</v>
      </c>
      <c r="BP192" t="s">
        <v>74</v>
      </c>
      <c r="BQ192" t="s">
        <v>74</v>
      </c>
      <c r="BR192" t="s">
        <v>105</v>
      </c>
      <c r="BS192" t="s">
        <v>4053</v>
      </c>
      <c r="BT192" t="str">
        <f>HYPERLINK("https%3A%2F%2Fwww.webofscience.com%2Fwos%2Fwoscc%2Ffull-record%2FWOS:000386966700001","View Full Record in Web of Science")</f>
        <v>View Full Record in Web of Science</v>
      </c>
    </row>
    <row r="193" spans="1:72" x14ac:dyDescent="0.15">
      <c r="A193" t="s">
        <v>72</v>
      </c>
      <c r="B193" t="s">
        <v>4054</v>
      </c>
      <c r="C193" t="s">
        <v>74</v>
      </c>
      <c r="D193" t="s">
        <v>74</v>
      </c>
      <c r="E193" t="s">
        <v>74</v>
      </c>
      <c r="F193" t="s">
        <v>4055</v>
      </c>
      <c r="G193" t="s">
        <v>74</v>
      </c>
      <c r="H193" t="s">
        <v>74</v>
      </c>
      <c r="I193" t="s">
        <v>4056</v>
      </c>
      <c r="J193" t="s">
        <v>4057</v>
      </c>
      <c r="K193" t="s">
        <v>74</v>
      </c>
      <c r="L193" t="s">
        <v>74</v>
      </c>
      <c r="M193" t="s">
        <v>78</v>
      </c>
      <c r="N193" t="s">
        <v>2730</v>
      </c>
      <c r="O193" t="s">
        <v>4058</v>
      </c>
      <c r="P193" t="s">
        <v>4059</v>
      </c>
      <c r="Q193" t="s">
        <v>4060</v>
      </c>
      <c r="R193" t="s">
        <v>74</v>
      </c>
      <c r="S193" t="s">
        <v>74</v>
      </c>
      <c r="T193" t="s">
        <v>4061</v>
      </c>
      <c r="U193" t="s">
        <v>4062</v>
      </c>
      <c r="V193" t="s">
        <v>4063</v>
      </c>
      <c r="W193" t="s">
        <v>4064</v>
      </c>
      <c r="X193" t="s">
        <v>4065</v>
      </c>
      <c r="Y193" t="s">
        <v>4066</v>
      </c>
      <c r="Z193" t="s">
        <v>4067</v>
      </c>
      <c r="AA193" t="s">
        <v>4068</v>
      </c>
      <c r="AB193" t="s">
        <v>4069</v>
      </c>
      <c r="AC193" t="s">
        <v>74</v>
      </c>
      <c r="AD193" t="s">
        <v>74</v>
      </c>
      <c r="AE193" t="s">
        <v>74</v>
      </c>
      <c r="AF193" t="s">
        <v>74</v>
      </c>
      <c r="AG193">
        <v>41</v>
      </c>
      <c r="AH193">
        <v>41</v>
      </c>
      <c r="AI193">
        <v>43</v>
      </c>
      <c r="AJ193">
        <v>3</v>
      </c>
      <c r="AK193">
        <v>73</v>
      </c>
      <c r="AL193" t="s">
        <v>474</v>
      </c>
      <c r="AM193" t="s">
        <v>304</v>
      </c>
      <c r="AN193" t="s">
        <v>475</v>
      </c>
      <c r="AO193" t="s">
        <v>4070</v>
      </c>
      <c r="AP193" t="s">
        <v>4071</v>
      </c>
      <c r="AQ193" t="s">
        <v>74</v>
      </c>
      <c r="AR193" t="s">
        <v>4072</v>
      </c>
      <c r="AS193" t="s">
        <v>4073</v>
      </c>
      <c r="AT193" t="s">
        <v>2218</v>
      </c>
      <c r="AU193">
        <v>2016</v>
      </c>
      <c r="AV193">
        <v>121</v>
      </c>
      <c r="AW193" t="s">
        <v>74</v>
      </c>
      <c r="AX193" t="s">
        <v>74</v>
      </c>
      <c r="AY193" t="s">
        <v>74</v>
      </c>
      <c r="AZ193" t="s">
        <v>650</v>
      </c>
      <c r="BA193" t="s">
        <v>74</v>
      </c>
      <c r="BB193">
        <v>20</v>
      </c>
      <c r="BC193">
        <v>30</v>
      </c>
      <c r="BD193" t="s">
        <v>74</v>
      </c>
      <c r="BE193" t="s">
        <v>4074</v>
      </c>
      <c r="BF193" t="str">
        <f>HYPERLINK("http://dx.doi.org/10.1016/j.marenvres.2016.03.011","http://dx.doi.org/10.1016/j.marenvres.2016.03.011")</f>
        <v>http://dx.doi.org/10.1016/j.marenvres.2016.03.011</v>
      </c>
      <c r="BG193" t="s">
        <v>74</v>
      </c>
      <c r="BH193" t="s">
        <v>74</v>
      </c>
      <c r="BI193">
        <v>11</v>
      </c>
      <c r="BJ193" t="s">
        <v>4075</v>
      </c>
      <c r="BK193" t="s">
        <v>2548</v>
      </c>
      <c r="BL193" t="s">
        <v>4076</v>
      </c>
      <c r="BM193" t="s">
        <v>4077</v>
      </c>
      <c r="BN193">
        <v>27085201</v>
      </c>
      <c r="BO193" t="s">
        <v>805</v>
      </c>
      <c r="BP193" t="s">
        <v>74</v>
      </c>
      <c r="BQ193" t="s">
        <v>74</v>
      </c>
      <c r="BR193" t="s">
        <v>105</v>
      </c>
      <c r="BS193" t="s">
        <v>4078</v>
      </c>
      <c r="BT193" t="str">
        <f>HYPERLINK("https%3A%2F%2Fwww.webofscience.com%2Fwos%2Fwoscc%2Ffull-record%2FWOS:000385602400004","View Full Record in Web of Science")</f>
        <v>View Full Record in Web of Science</v>
      </c>
    </row>
    <row r="194" spans="1:72" x14ac:dyDescent="0.15">
      <c r="A194" t="s">
        <v>72</v>
      </c>
      <c r="B194" t="s">
        <v>4079</v>
      </c>
      <c r="C194" t="s">
        <v>74</v>
      </c>
      <c r="D194" t="s">
        <v>74</v>
      </c>
      <c r="E194" t="s">
        <v>74</v>
      </c>
      <c r="F194" t="s">
        <v>4080</v>
      </c>
      <c r="G194" t="s">
        <v>74</v>
      </c>
      <c r="H194" t="s">
        <v>74</v>
      </c>
      <c r="I194" t="s">
        <v>4081</v>
      </c>
      <c r="J194" t="s">
        <v>4082</v>
      </c>
      <c r="K194" t="s">
        <v>74</v>
      </c>
      <c r="L194" t="s">
        <v>74</v>
      </c>
      <c r="M194" t="s">
        <v>78</v>
      </c>
      <c r="N194" t="s">
        <v>79</v>
      </c>
      <c r="O194" t="s">
        <v>74</v>
      </c>
      <c r="P194" t="s">
        <v>74</v>
      </c>
      <c r="Q194" t="s">
        <v>74</v>
      </c>
      <c r="R194" t="s">
        <v>74</v>
      </c>
      <c r="S194" t="s">
        <v>74</v>
      </c>
      <c r="T194" t="s">
        <v>4083</v>
      </c>
      <c r="U194" t="s">
        <v>4084</v>
      </c>
      <c r="V194" t="s">
        <v>4085</v>
      </c>
      <c r="W194" t="s">
        <v>4086</v>
      </c>
      <c r="X194" t="s">
        <v>4087</v>
      </c>
      <c r="Y194" t="s">
        <v>4088</v>
      </c>
      <c r="Z194" t="s">
        <v>4089</v>
      </c>
      <c r="AA194" t="s">
        <v>4090</v>
      </c>
      <c r="AB194" t="s">
        <v>4091</v>
      </c>
      <c r="AC194" t="s">
        <v>4092</v>
      </c>
      <c r="AD194" t="s">
        <v>4093</v>
      </c>
      <c r="AE194" t="s">
        <v>4094</v>
      </c>
      <c r="AF194" t="s">
        <v>74</v>
      </c>
      <c r="AG194">
        <v>45</v>
      </c>
      <c r="AH194">
        <v>22</v>
      </c>
      <c r="AI194">
        <v>25</v>
      </c>
      <c r="AJ194">
        <v>0</v>
      </c>
      <c r="AK194">
        <v>25</v>
      </c>
      <c r="AL194" t="s">
        <v>196</v>
      </c>
      <c r="AM194" t="s">
        <v>93</v>
      </c>
      <c r="AN194" t="s">
        <v>197</v>
      </c>
      <c r="AO194" t="s">
        <v>4095</v>
      </c>
      <c r="AP194" t="s">
        <v>4096</v>
      </c>
      <c r="AQ194" t="s">
        <v>74</v>
      </c>
      <c r="AR194" t="s">
        <v>4097</v>
      </c>
      <c r="AS194" t="s">
        <v>4098</v>
      </c>
      <c r="AT194" t="s">
        <v>2218</v>
      </c>
      <c r="AU194">
        <v>2016</v>
      </c>
      <c r="AV194">
        <v>29</v>
      </c>
      <c r="AW194" t="s">
        <v>74</v>
      </c>
      <c r="AX194" t="s">
        <v>74</v>
      </c>
      <c r="AY194" t="s">
        <v>74</v>
      </c>
      <c r="AZ194" t="s">
        <v>74</v>
      </c>
      <c r="BA194" t="s">
        <v>74</v>
      </c>
      <c r="BB194">
        <v>61</v>
      </c>
      <c r="BC194">
        <v>68</v>
      </c>
      <c r="BD194" t="s">
        <v>74</v>
      </c>
      <c r="BE194" t="s">
        <v>4099</v>
      </c>
      <c r="BF194" t="str">
        <f>HYPERLINK("http://dx.doi.org/10.1016/j.margen.2016.04.010","http://dx.doi.org/10.1016/j.margen.2016.04.010")</f>
        <v>http://dx.doi.org/10.1016/j.margen.2016.04.010</v>
      </c>
      <c r="BG194" t="s">
        <v>74</v>
      </c>
      <c r="BH194" t="s">
        <v>74</v>
      </c>
      <c r="BI194">
        <v>8</v>
      </c>
      <c r="BJ194" t="s">
        <v>4100</v>
      </c>
      <c r="BK194" t="s">
        <v>156</v>
      </c>
      <c r="BL194" t="s">
        <v>4100</v>
      </c>
      <c r="BM194" t="s">
        <v>4101</v>
      </c>
      <c r="BN194">
        <v>27157882</v>
      </c>
      <c r="BO194" t="s">
        <v>1002</v>
      </c>
      <c r="BP194" t="s">
        <v>74</v>
      </c>
      <c r="BQ194" t="s">
        <v>74</v>
      </c>
      <c r="BR194" t="s">
        <v>105</v>
      </c>
      <c r="BS194" t="s">
        <v>4102</v>
      </c>
      <c r="BT194" t="str">
        <f>HYPERLINK("https%3A%2F%2Fwww.webofscience.com%2Fwos%2Fwoscc%2Ffull-record%2FWOS:000385472900010","View Full Record in Web of Science")</f>
        <v>View Full Record in Web of Science</v>
      </c>
    </row>
    <row r="195" spans="1:72" x14ac:dyDescent="0.15">
      <c r="A195" t="s">
        <v>72</v>
      </c>
      <c r="B195" t="s">
        <v>4103</v>
      </c>
      <c r="C195" t="s">
        <v>74</v>
      </c>
      <c r="D195" t="s">
        <v>74</v>
      </c>
      <c r="E195" t="s">
        <v>74</v>
      </c>
      <c r="F195" t="s">
        <v>4104</v>
      </c>
      <c r="G195" t="s">
        <v>74</v>
      </c>
      <c r="H195" t="s">
        <v>74</v>
      </c>
      <c r="I195" t="s">
        <v>4105</v>
      </c>
      <c r="J195" t="s">
        <v>4106</v>
      </c>
      <c r="K195" t="s">
        <v>74</v>
      </c>
      <c r="L195" t="s">
        <v>74</v>
      </c>
      <c r="M195" t="s">
        <v>78</v>
      </c>
      <c r="N195" t="s">
        <v>79</v>
      </c>
      <c r="O195" t="s">
        <v>74</v>
      </c>
      <c r="P195" t="s">
        <v>74</v>
      </c>
      <c r="Q195" t="s">
        <v>74</v>
      </c>
      <c r="R195" t="s">
        <v>74</v>
      </c>
      <c r="S195" t="s">
        <v>74</v>
      </c>
      <c r="T195" t="s">
        <v>4107</v>
      </c>
      <c r="U195" t="s">
        <v>4108</v>
      </c>
      <c r="V195" t="s">
        <v>4109</v>
      </c>
      <c r="W195" t="s">
        <v>4110</v>
      </c>
      <c r="X195" t="s">
        <v>4111</v>
      </c>
      <c r="Y195" t="s">
        <v>4112</v>
      </c>
      <c r="Z195" t="s">
        <v>4113</v>
      </c>
      <c r="AA195" t="s">
        <v>74</v>
      </c>
      <c r="AB195" t="s">
        <v>74</v>
      </c>
      <c r="AC195" t="s">
        <v>4114</v>
      </c>
      <c r="AD195" t="s">
        <v>4115</v>
      </c>
      <c r="AE195" t="s">
        <v>4116</v>
      </c>
      <c r="AF195" t="s">
        <v>74</v>
      </c>
      <c r="AG195">
        <v>71</v>
      </c>
      <c r="AH195">
        <v>16</v>
      </c>
      <c r="AI195">
        <v>18</v>
      </c>
      <c r="AJ195">
        <v>2</v>
      </c>
      <c r="AK195">
        <v>27</v>
      </c>
      <c r="AL195" t="s">
        <v>501</v>
      </c>
      <c r="AM195" t="s">
        <v>502</v>
      </c>
      <c r="AN195" t="s">
        <v>503</v>
      </c>
      <c r="AO195" t="s">
        <v>4117</v>
      </c>
      <c r="AP195" t="s">
        <v>4118</v>
      </c>
      <c r="AQ195" t="s">
        <v>74</v>
      </c>
      <c r="AR195" t="s">
        <v>4119</v>
      </c>
      <c r="AS195" t="s">
        <v>4120</v>
      </c>
      <c r="AT195" t="s">
        <v>2218</v>
      </c>
      <c r="AU195">
        <v>2016</v>
      </c>
      <c r="AV195">
        <v>32</v>
      </c>
      <c r="AW195">
        <v>4</v>
      </c>
      <c r="AX195" t="s">
        <v>74</v>
      </c>
      <c r="AY195" t="s">
        <v>74</v>
      </c>
      <c r="AZ195" t="s">
        <v>74</v>
      </c>
      <c r="BA195" t="s">
        <v>74</v>
      </c>
      <c r="BB195">
        <v>1340</v>
      </c>
      <c r="BC195">
        <v>1369</v>
      </c>
      <c r="BD195" t="s">
        <v>74</v>
      </c>
      <c r="BE195" t="s">
        <v>4121</v>
      </c>
      <c r="BF195" t="str">
        <f>HYPERLINK("http://dx.doi.org/10.1111/mms.12341","http://dx.doi.org/10.1111/mms.12341")</f>
        <v>http://dx.doi.org/10.1111/mms.12341</v>
      </c>
      <c r="BG195" t="s">
        <v>74</v>
      </c>
      <c r="BH195" t="s">
        <v>74</v>
      </c>
      <c r="BI195">
        <v>30</v>
      </c>
      <c r="BJ195" t="s">
        <v>4122</v>
      </c>
      <c r="BK195" t="s">
        <v>156</v>
      </c>
      <c r="BL195" t="s">
        <v>4122</v>
      </c>
      <c r="BM195" t="s">
        <v>4123</v>
      </c>
      <c r="BN195" t="s">
        <v>74</v>
      </c>
      <c r="BO195" t="s">
        <v>74</v>
      </c>
      <c r="BP195" t="s">
        <v>74</v>
      </c>
      <c r="BQ195" t="s">
        <v>74</v>
      </c>
      <c r="BR195" t="s">
        <v>105</v>
      </c>
      <c r="BS195" t="s">
        <v>4124</v>
      </c>
      <c r="BT195" t="str">
        <f>HYPERLINK("https%3A%2F%2Fwww.webofscience.com%2Fwos%2Fwoscc%2Ffull-record%2FWOS:000388631400009","View Full Record in Web of Science")</f>
        <v>View Full Record in Web of Science</v>
      </c>
    </row>
    <row r="196" spans="1:72" x14ac:dyDescent="0.15">
      <c r="A196" t="s">
        <v>72</v>
      </c>
      <c r="B196" t="s">
        <v>4125</v>
      </c>
      <c r="C196" t="s">
        <v>74</v>
      </c>
      <c r="D196" t="s">
        <v>74</v>
      </c>
      <c r="E196" t="s">
        <v>74</v>
      </c>
      <c r="F196" t="s">
        <v>4126</v>
      </c>
      <c r="G196" t="s">
        <v>74</v>
      </c>
      <c r="H196" t="s">
        <v>74</v>
      </c>
      <c r="I196" t="s">
        <v>4127</v>
      </c>
      <c r="J196" t="s">
        <v>4128</v>
      </c>
      <c r="K196" t="s">
        <v>74</v>
      </c>
      <c r="L196" t="s">
        <v>74</v>
      </c>
      <c r="M196" t="s">
        <v>78</v>
      </c>
      <c r="N196" t="s">
        <v>79</v>
      </c>
      <c r="O196" t="s">
        <v>74</v>
      </c>
      <c r="P196" t="s">
        <v>74</v>
      </c>
      <c r="Q196" t="s">
        <v>74</v>
      </c>
      <c r="R196" t="s">
        <v>74</v>
      </c>
      <c r="S196" t="s">
        <v>74</v>
      </c>
      <c r="T196" t="s">
        <v>74</v>
      </c>
      <c r="U196" t="s">
        <v>4129</v>
      </c>
      <c r="V196" t="s">
        <v>74</v>
      </c>
      <c r="W196" t="s">
        <v>4130</v>
      </c>
      <c r="X196" t="s">
        <v>4131</v>
      </c>
      <c r="Y196" t="s">
        <v>4132</v>
      </c>
      <c r="Z196" t="s">
        <v>4133</v>
      </c>
      <c r="AA196" t="s">
        <v>4134</v>
      </c>
      <c r="AB196" t="s">
        <v>4135</v>
      </c>
      <c r="AC196" t="s">
        <v>74</v>
      </c>
      <c r="AD196" t="s">
        <v>74</v>
      </c>
      <c r="AE196" t="s">
        <v>74</v>
      </c>
      <c r="AF196" t="s">
        <v>74</v>
      </c>
      <c r="AG196">
        <v>23</v>
      </c>
      <c r="AH196">
        <v>1</v>
      </c>
      <c r="AI196">
        <v>1</v>
      </c>
      <c r="AJ196">
        <v>0</v>
      </c>
      <c r="AK196">
        <v>2</v>
      </c>
      <c r="AL196" t="s">
        <v>4136</v>
      </c>
      <c r="AM196" t="s">
        <v>4137</v>
      </c>
      <c r="AN196" t="s">
        <v>4138</v>
      </c>
      <c r="AO196" t="s">
        <v>4139</v>
      </c>
      <c r="AP196" t="s">
        <v>4140</v>
      </c>
      <c r="AQ196" t="s">
        <v>74</v>
      </c>
      <c r="AR196" t="s">
        <v>4141</v>
      </c>
      <c r="AS196" t="s">
        <v>4142</v>
      </c>
      <c r="AT196" t="s">
        <v>2218</v>
      </c>
      <c r="AU196">
        <v>2016</v>
      </c>
      <c r="AV196">
        <v>44</v>
      </c>
      <c r="AW196">
        <v>2</v>
      </c>
      <c r="AX196" t="s">
        <v>74</v>
      </c>
      <c r="AY196" t="s">
        <v>74</v>
      </c>
      <c r="AZ196" t="s">
        <v>74</v>
      </c>
      <c r="BA196" t="s">
        <v>74</v>
      </c>
      <c r="BB196">
        <v>203</v>
      </c>
      <c r="BC196">
        <v>205</v>
      </c>
      <c r="BD196" t="s">
        <v>74</v>
      </c>
      <c r="BE196" t="s">
        <v>74</v>
      </c>
      <c r="BF196" t="s">
        <v>74</v>
      </c>
      <c r="BG196" t="s">
        <v>74</v>
      </c>
      <c r="BH196" t="s">
        <v>74</v>
      </c>
      <c r="BI196">
        <v>3</v>
      </c>
      <c r="BJ196" t="s">
        <v>4143</v>
      </c>
      <c r="BK196" t="s">
        <v>156</v>
      </c>
      <c r="BL196" t="s">
        <v>4122</v>
      </c>
      <c r="BM196" t="s">
        <v>4144</v>
      </c>
      <c r="BN196" t="s">
        <v>74</v>
      </c>
      <c r="BO196" t="s">
        <v>74</v>
      </c>
      <c r="BP196" t="s">
        <v>74</v>
      </c>
      <c r="BQ196" t="s">
        <v>74</v>
      </c>
      <c r="BR196" t="s">
        <v>105</v>
      </c>
      <c r="BS196" t="s">
        <v>4145</v>
      </c>
      <c r="BT196" t="str">
        <f>HYPERLINK("https%3A%2F%2Fwww.webofscience.com%2Fwos%2Fwoscc%2Ffull-record%2FWOS:000456309200011","View Full Record in Web of Science")</f>
        <v>View Full Record in Web of Science</v>
      </c>
    </row>
    <row r="197" spans="1:72" x14ac:dyDescent="0.15">
      <c r="A197" t="s">
        <v>72</v>
      </c>
      <c r="B197" t="s">
        <v>4146</v>
      </c>
      <c r="C197" t="s">
        <v>74</v>
      </c>
      <c r="D197" t="s">
        <v>74</v>
      </c>
      <c r="E197" t="s">
        <v>74</v>
      </c>
      <c r="F197" t="s">
        <v>4147</v>
      </c>
      <c r="G197" t="s">
        <v>74</v>
      </c>
      <c r="H197" t="s">
        <v>74</v>
      </c>
      <c r="I197" t="s">
        <v>4148</v>
      </c>
      <c r="J197" t="s">
        <v>4149</v>
      </c>
      <c r="K197" t="s">
        <v>74</v>
      </c>
      <c r="L197" t="s">
        <v>74</v>
      </c>
      <c r="M197" t="s">
        <v>78</v>
      </c>
      <c r="N197" t="s">
        <v>79</v>
      </c>
      <c r="O197" t="s">
        <v>74</v>
      </c>
      <c r="P197" t="s">
        <v>74</v>
      </c>
      <c r="Q197" t="s">
        <v>74</v>
      </c>
      <c r="R197" t="s">
        <v>74</v>
      </c>
      <c r="S197" t="s">
        <v>74</v>
      </c>
      <c r="T197" t="s">
        <v>4150</v>
      </c>
      <c r="U197" t="s">
        <v>4151</v>
      </c>
      <c r="V197" t="s">
        <v>4152</v>
      </c>
      <c r="W197" t="s">
        <v>4153</v>
      </c>
      <c r="X197" t="s">
        <v>4154</v>
      </c>
      <c r="Y197" t="s">
        <v>4155</v>
      </c>
      <c r="Z197" t="s">
        <v>4156</v>
      </c>
      <c r="AA197" t="s">
        <v>4157</v>
      </c>
      <c r="AB197" t="s">
        <v>4158</v>
      </c>
      <c r="AC197" t="s">
        <v>4159</v>
      </c>
      <c r="AD197" t="s">
        <v>4160</v>
      </c>
      <c r="AE197" t="s">
        <v>4161</v>
      </c>
      <c r="AF197" t="s">
        <v>74</v>
      </c>
      <c r="AG197">
        <v>61</v>
      </c>
      <c r="AH197">
        <v>45</v>
      </c>
      <c r="AI197">
        <v>50</v>
      </c>
      <c r="AJ197">
        <v>1</v>
      </c>
      <c r="AK197">
        <v>54</v>
      </c>
      <c r="AL197" t="s">
        <v>644</v>
      </c>
      <c r="AM197" t="s">
        <v>594</v>
      </c>
      <c r="AN197" t="s">
        <v>645</v>
      </c>
      <c r="AO197" t="s">
        <v>4162</v>
      </c>
      <c r="AP197" t="s">
        <v>4163</v>
      </c>
      <c r="AQ197" t="s">
        <v>74</v>
      </c>
      <c r="AR197" t="s">
        <v>4164</v>
      </c>
      <c r="AS197" t="s">
        <v>4165</v>
      </c>
      <c r="AT197" t="s">
        <v>2218</v>
      </c>
      <c r="AU197">
        <v>2016</v>
      </c>
      <c r="AV197">
        <v>72</v>
      </c>
      <c r="AW197">
        <v>3</v>
      </c>
      <c r="AX197" t="s">
        <v>74</v>
      </c>
      <c r="AY197" t="s">
        <v>74</v>
      </c>
      <c r="AZ197" t="s">
        <v>74</v>
      </c>
      <c r="BA197" t="s">
        <v>74</v>
      </c>
      <c r="BB197">
        <v>633</v>
      </c>
      <c r="BC197">
        <v>646</v>
      </c>
      <c r="BD197" t="s">
        <v>74</v>
      </c>
      <c r="BE197" t="s">
        <v>4166</v>
      </c>
      <c r="BF197" t="str">
        <f>HYPERLINK("http://dx.doi.org/10.1007/s00248-016-0813-x","http://dx.doi.org/10.1007/s00248-016-0813-x")</f>
        <v>http://dx.doi.org/10.1007/s00248-016-0813-x</v>
      </c>
      <c r="BG197" t="s">
        <v>74</v>
      </c>
      <c r="BH197" t="s">
        <v>74</v>
      </c>
      <c r="BI197">
        <v>14</v>
      </c>
      <c r="BJ197" t="s">
        <v>4167</v>
      </c>
      <c r="BK197" t="s">
        <v>156</v>
      </c>
      <c r="BL197" t="s">
        <v>4168</v>
      </c>
      <c r="BM197" t="s">
        <v>4169</v>
      </c>
      <c r="BN197">
        <v>27406732</v>
      </c>
      <c r="BO197" t="s">
        <v>74</v>
      </c>
      <c r="BP197" t="s">
        <v>74</v>
      </c>
      <c r="BQ197" t="s">
        <v>74</v>
      </c>
      <c r="BR197" t="s">
        <v>105</v>
      </c>
      <c r="BS197" t="s">
        <v>4170</v>
      </c>
      <c r="BT197" t="str">
        <f>HYPERLINK("https%3A%2F%2Fwww.webofscience.com%2Fwos%2Fwoscc%2Ffull-record%2FWOS:000383470800014","View Full Record in Web of Science")</f>
        <v>View Full Record in Web of Science</v>
      </c>
    </row>
    <row r="198" spans="1:72" x14ac:dyDescent="0.15">
      <c r="A198" t="s">
        <v>72</v>
      </c>
      <c r="B198" t="s">
        <v>4171</v>
      </c>
      <c r="C198" t="s">
        <v>74</v>
      </c>
      <c r="D198" t="s">
        <v>74</v>
      </c>
      <c r="E198" t="s">
        <v>74</v>
      </c>
      <c r="F198" t="s">
        <v>4172</v>
      </c>
      <c r="G198" t="s">
        <v>74</v>
      </c>
      <c r="H198" t="s">
        <v>74</v>
      </c>
      <c r="I198" t="s">
        <v>4173</v>
      </c>
      <c r="J198" t="s">
        <v>4174</v>
      </c>
      <c r="K198" t="s">
        <v>74</v>
      </c>
      <c r="L198" t="s">
        <v>74</v>
      </c>
      <c r="M198" t="s">
        <v>78</v>
      </c>
      <c r="N198" t="s">
        <v>317</v>
      </c>
      <c r="O198" t="s">
        <v>74</v>
      </c>
      <c r="P198" t="s">
        <v>74</v>
      </c>
      <c r="Q198" t="s">
        <v>74</v>
      </c>
      <c r="R198" t="s">
        <v>74</v>
      </c>
      <c r="S198" t="s">
        <v>74</v>
      </c>
      <c r="T198" t="s">
        <v>74</v>
      </c>
      <c r="U198" t="s">
        <v>4175</v>
      </c>
      <c r="V198" t="s">
        <v>4176</v>
      </c>
      <c r="W198" t="s">
        <v>4177</v>
      </c>
      <c r="X198" t="s">
        <v>4178</v>
      </c>
      <c r="Y198" t="s">
        <v>4179</v>
      </c>
      <c r="Z198" t="s">
        <v>4180</v>
      </c>
      <c r="AA198" t="s">
        <v>4181</v>
      </c>
      <c r="AB198" t="s">
        <v>4182</v>
      </c>
      <c r="AC198" t="s">
        <v>4183</v>
      </c>
      <c r="AD198" t="s">
        <v>4184</v>
      </c>
      <c r="AE198" t="s">
        <v>4185</v>
      </c>
      <c r="AF198" t="s">
        <v>74</v>
      </c>
      <c r="AG198">
        <v>100</v>
      </c>
      <c r="AH198">
        <v>223</v>
      </c>
      <c r="AI198">
        <v>232</v>
      </c>
      <c r="AJ198">
        <v>6</v>
      </c>
      <c r="AK198">
        <v>165</v>
      </c>
      <c r="AL198" t="s">
        <v>574</v>
      </c>
      <c r="AM198" t="s">
        <v>575</v>
      </c>
      <c r="AN198" t="s">
        <v>576</v>
      </c>
      <c r="AO198" t="s">
        <v>4186</v>
      </c>
      <c r="AP198" t="s">
        <v>4187</v>
      </c>
      <c r="AQ198" t="s">
        <v>74</v>
      </c>
      <c r="AR198" t="s">
        <v>4188</v>
      </c>
      <c r="AS198" t="s">
        <v>4189</v>
      </c>
      <c r="AT198" t="s">
        <v>2218</v>
      </c>
      <c r="AU198">
        <v>2016</v>
      </c>
      <c r="AV198">
        <v>6</v>
      </c>
      <c r="AW198">
        <v>10</v>
      </c>
      <c r="AX198" t="s">
        <v>74</v>
      </c>
      <c r="AY198" t="s">
        <v>74</v>
      </c>
      <c r="AZ198" t="s">
        <v>74</v>
      </c>
      <c r="BA198" t="s">
        <v>74</v>
      </c>
      <c r="BB198">
        <v>917</v>
      </c>
      <c r="BC198">
        <v>926</v>
      </c>
      <c r="BD198" t="s">
        <v>74</v>
      </c>
      <c r="BE198" t="s">
        <v>4190</v>
      </c>
      <c r="BF198" t="str">
        <f>HYPERLINK("http://dx.doi.org/10.1038/NCLIMATE3103","http://dx.doi.org/10.1038/NCLIMATE3103")</f>
        <v>http://dx.doi.org/10.1038/NCLIMATE3103</v>
      </c>
      <c r="BG198" t="s">
        <v>74</v>
      </c>
      <c r="BH198" t="s">
        <v>74</v>
      </c>
      <c r="BI198">
        <v>10</v>
      </c>
      <c r="BJ198" t="s">
        <v>4191</v>
      </c>
      <c r="BK198" t="s">
        <v>102</v>
      </c>
      <c r="BL198" t="s">
        <v>825</v>
      </c>
      <c r="BM198" t="s">
        <v>4192</v>
      </c>
      <c r="BN198" t="s">
        <v>74</v>
      </c>
      <c r="BO198" t="s">
        <v>4193</v>
      </c>
      <c r="BP198" t="s">
        <v>74</v>
      </c>
      <c r="BQ198" t="s">
        <v>74</v>
      </c>
      <c r="BR198" t="s">
        <v>105</v>
      </c>
      <c r="BS198" t="s">
        <v>4194</v>
      </c>
      <c r="BT198" t="str">
        <f>HYPERLINK("https%3A%2F%2Fwww.webofscience.com%2Fwos%2Fwoscc%2Ffull-record%2FWOS:000388292800013","View Full Record in Web of Science")</f>
        <v>View Full Record in Web of Science</v>
      </c>
    </row>
    <row r="199" spans="1:72" x14ac:dyDescent="0.15">
      <c r="A199" t="s">
        <v>72</v>
      </c>
      <c r="B199" t="s">
        <v>4195</v>
      </c>
      <c r="C199" t="s">
        <v>74</v>
      </c>
      <c r="D199" t="s">
        <v>74</v>
      </c>
      <c r="E199" t="s">
        <v>74</v>
      </c>
      <c r="F199" t="s">
        <v>4196</v>
      </c>
      <c r="G199" t="s">
        <v>74</v>
      </c>
      <c r="H199" t="s">
        <v>74</v>
      </c>
      <c r="I199" t="s">
        <v>4197</v>
      </c>
      <c r="J199" t="s">
        <v>562</v>
      </c>
      <c r="K199" t="s">
        <v>74</v>
      </c>
      <c r="L199" t="s">
        <v>74</v>
      </c>
      <c r="M199" t="s">
        <v>78</v>
      </c>
      <c r="N199" t="s">
        <v>79</v>
      </c>
      <c r="O199" t="s">
        <v>74</v>
      </c>
      <c r="P199" t="s">
        <v>74</v>
      </c>
      <c r="Q199" t="s">
        <v>74</v>
      </c>
      <c r="R199" t="s">
        <v>74</v>
      </c>
      <c r="S199" t="s">
        <v>74</v>
      </c>
      <c r="T199" t="s">
        <v>74</v>
      </c>
      <c r="U199" t="s">
        <v>4198</v>
      </c>
      <c r="V199" t="s">
        <v>4199</v>
      </c>
      <c r="W199" t="s">
        <v>4200</v>
      </c>
      <c r="X199" t="s">
        <v>4201</v>
      </c>
      <c r="Y199" t="s">
        <v>4202</v>
      </c>
      <c r="Z199" t="s">
        <v>4203</v>
      </c>
      <c r="AA199" t="s">
        <v>4204</v>
      </c>
      <c r="AB199" t="s">
        <v>4205</v>
      </c>
      <c r="AC199" t="s">
        <v>4206</v>
      </c>
      <c r="AD199" t="s">
        <v>4207</v>
      </c>
      <c r="AE199" t="s">
        <v>4208</v>
      </c>
      <c r="AF199" t="s">
        <v>74</v>
      </c>
      <c r="AG199">
        <v>93</v>
      </c>
      <c r="AH199">
        <v>120</v>
      </c>
      <c r="AI199">
        <v>135</v>
      </c>
      <c r="AJ199">
        <v>17</v>
      </c>
      <c r="AK199">
        <v>212</v>
      </c>
      <c r="AL199" t="s">
        <v>574</v>
      </c>
      <c r="AM199" t="s">
        <v>575</v>
      </c>
      <c r="AN199" t="s">
        <v>576</v>
      </c>
      <c r="AO199" t="s">
        <v>577</v>
      </c>
      <c r="AP199" t="s">
        <v>74</v>
      </c>
      <c r="AQ199" t="s">
        <v>74</v>
      </c>
      <c r="AR199" t="s">
        <v>578</v>
      </c>
      <c r="AS199" t="s">
        <v>579</v>
      </c>
      <c r="AT199" t="s">
        <v>2218</v>
      </c>
      <c r="AU199">
        <v>2016</v>
      </c>
      <c r="AV199">
        <v>1</v>
      </c>
      <c r="AW199">
        <v>10</v>
      </c>
      <c r="AX199" t="s">
        <v>74</v>
      </c>
      <c r="AY199" t="s">
        <v>74</v>
      </c>
      <c r="AZ199" t="s">
        <v>74</v>
      </c>
      <c r="BA199" t="s">
        <v>74</v>
      </c>
      <c r="BB199" t="s">
        <v>74</v>
      </c>
      <c r="BC199" t="s">
        <v>74</v>
      </c>
      <c r="BD199">
        <v>16127</v>
      </c>
      <c r="BE199" t="s">
        <v>4209</v>
      </c>
      <c r="BF199" t="str">
        <f>HYPERLINK("http://dx.doi.org/10.1038/NMICROBIOL.2016.127","http://dx.doi.org/10.1038/NMICROBIOL.2016.127")</f>
        <v>http://dx.doi.org/10.1038/NMICROBIOL.2016.127</v>
      </c>
      <c r="BG199" t="s">
        <v>74</v>
      </c>
      <c r="BH199" t="s">
        <v>74</v>
      </c>
      <c r="BI199">
        <v>12</v>
      </c>
      <c r="BJ199" t="s">
        <v>130</v>
      </c>
      <c r="BK199" t="s">
        <v>156</v>
      </c>
      <c r="BL199" t="s">
        <v>130</v>
      </c>
      <c r="BM199" t="s">
        <v>4210</v>
      </c>
      <c r="BN199">
        <v>27670112</v>
      </c>
      <c r="BO199" t="s">
        <v>74</v>
      </c>
      <c r="BP199" t="s">
        <v>74</v>
      </c>
      <c r="BQ199" t="s">
        <v>74</v>
      </c>
      <c r="BR199" t="s">
        <v>105</v>
      </c>
      <c r="BS199" t="s">
        <v>4211</v>
      </c>
      <c r="BT199" t="str">
        <f>HYPERLINK("https%3A%2F%2Fwww.webofscience.com%2Fwos%2Fwoscc%2Ffull-record%2FWOS:000389139200004","View Full Record in Web of Science")</f>
        <v>View Full Record in Web of Science</v>
      </c>
    </row>
    <row r="200" spans="1:72" x14ac:dyDescent="0.15">
      <c r="A200" t="s">
        <v>72</v>
      </c>
      <c r="B200" t="s">
        <v>4212</v>
      </c>
      <c r="C200" t="s">
        <v>74</v>
      </c>
      <c r="D200" t="s">
        <v>74</v>
      </c>
      <c r="E200" t="s">
        <v>74</v>
      </c>
      <c r="F200" t="s">
        <v>4213</v>
      </c>
      <c r="G200" t="s">
        <v>74</v>
      </c>
      <c r="H200" t="s">
        <v>74</v>
      </c>
      <c r="I200" t="s">
        <v>4214</v>
      </c>
      <c r="J200" t="s">
        <v>4215</v>
      </c>
      <c r="K200" t="s">
        <v>74</v>
      </c>
      <c r="L200" t="s">
        <v>74</v>
      </c>
      <c r="M200" t="s">
        <v>78</v>
      </c>
      <c r="N200" t="s">
        <v>79</v>
      </c>
      <c r="O200" t="s">
        <v>74</v>
      </c>
      <c r="P200" t="s">
        <v>74</v>
      </c>
      <c r="Q200" t="s">
        <v>74</v>
      </c>
      <c r="R200" t="s">
        <v>74</v>
      </c>
      <c r="S200" t="s">
        <v>74</v>
      </c>
      <c r="T200" t="s">
        <v>4216</v>
      </c>
      <c r="U200" t="s">
        <v>4217</v>
      </c>
      <c r="V200" t="s">
        <v>4218</v>
      </c>
      <c r="W200" t="s">
        <v>4219</v>
      </c>
      <c r="X200" t="s">
        <v>4220</v>
      </c>
      <c r="Y200" t="s">
        <v>4221</v>
      </c>
      <c r="Z200" t="s">
        <v>4222</v>
      </c>
      <c r="AA200" t="s">
        <v>4223</v>
      </c>
      <c r="AB200" t="s">
        <v>4224</v>
      </c>
      <c r="AC200" t="s">
        <v>4225</v>
      </c>
      <c r="AD200" t="s">
        <v>4226</v>
      </c>
      <c r="AE200" t="s">
        <v>4227</v>
      </c>
      <c r="AF200" t="s">
        <v>74</v>
      </c>
      <c r="AG200">
        <v>79</v>
      </c>
      <c r="AH200">
        <v>27</v>
      </c>
      <c r="AI200">
        <v>29</v>
      </c>
      <c r="AJ200">
        <v>4</v>
      </c>
      <c r="AK200">
        <v>32</v>
      </c>
      <c r="AL200" t="s">
        <v>149</v>
      </c>
      <c r="AM200" t="s">
        <v>123</v>
      </c>
      <c r="AN200" t="s">
        <v>150</v>
      </c>
      <c r="AO200" t="s">
        <v>4228</v>
      </c>
      <c r="AP200" t="s">
        <v>4229</v>
      </c>
      <c r="AQ200" t="s">
        <v>74</v>
      </c>
      <c r="AR200" t="s">
        <v>4215</v>
      </c>
      <c r="AS200" t="s">
        <v>4230</v>
      </c>
      <c r="AT200" t="s">
        <v>2218</v>
      </c>
      <c r="AU200">
        <v>2016</v>
      </c>
      <c r="AV200">
        <v>31</v>
      </c>
      <c r="AW200">
        <v>10</v>
      </c>
      <c r="AX200" t="s">
        <v>74</v>
      </c>
      <c r="AY200" t="s">
        <v>74</v>
      </c>
      <c r="AZ200" t="s">
        <v>74</v>
      </c>
      <c r="BA200" t="s">
        <v>74</v>
      </c>
      <c r="BB200">
        <v>1302</v>
      </c>
      <c r="BC200">
        <v>1314</v>
      </c>
      <c r="BD200" t="s">
        <v>74</v>
      </c>
      <c r="BE200" t="s">
        <v>4231</v>
      </c>
      <c r="BF200" t="str">
        <f>HYPERLINK("http://dx.doi.org/10.1002/2016PA002975","http://dx.doi.org/10.1002/2016PA002975")</f>
        <v>http://dx.doi.org/10.1002/2016PA002975</v>
      </c>
      <c r="BG200" t="s">
        <v>74</v>
      </c>
      <c r="BH200" t="s">
        <v>74</v>
      </c>
      <c r="BI200">
        <v>13</v>
      </c>
      <c r="BJ200" t="s">
        <v>4232</v>
      </c>
      <c r="BK200" t="s">
        <v>156</v>
      </c>
      <c r="BL200" t="s">
        <v>4233</v>
      </c>
      <c r="BM200" t="s">
        <v>4234</v>
      </c>
      <c r="BN200" t="s">
        <v>74</v>
      </c>
      <c r="BO200" t="s">
        <v>2653</v>
      </c>
      <c r="BP200" t="s">
        <v>74</v>
      </c>
      <c r="BQ200" t="s">
        <v>74</v>
      </c>
      <c r="BR200" t="s">
        <v>105</v>
      </c>
      <c r="BS200" t="s">
        <v>4235</v>
      </c>
      <c r="BT200" t="str">
        <f>HYPERLINK("https%3A%2F%2Fwww.webofscience.com%2Fwos%2Fwoscc%2Ffull-record%2FWOS:000387775200001","View Full Record in Web of Science")</f>
        <v>View Full Record in Web of Science</v>
      </c>
    </row>
    <row r="201" spans="1:72" x14ac:dyDescent="0.15">
      <c r="A201" t="s">
        <v>72</v>
      </c>
      <c r="B201" t="s">
        <v>4236</v>
      </c>
      <c r="C201" t="s">
        <v>74</v>
      </c>
      <c r="D201" t="s">
        <v>74</v>
      </c>
      <c r="E201" t="s">
        <v>74</v>
      </c>
      <c r="F201" t="s">
        <v>4237</v>
      </c>
      <c r="G201" t="s">
        <v>74</v>
      </c>
      <c r="H201" t="s">
        <v>74</v>
      </c>
      <c r="I201" t="s">
        <v>4238</v>
      </c>
      <c r="J201" t="s">
        <v>631</v>
      </c>
      <c r="K201" t="s">
        <v>74</v>
      </c>
      <c r="L201" t="s">
        <v>74</v>
      </c>
      <c r="M201" t="s">
        <v>78</v>
      </c>
      <c r="N201" t="s">
        <v>79</v>
      </c>
      <c r="O201" t="s">
        <v>74</v>
      </c>
      <c r="P201" t="s">
        <v>74</v>
      </c>
      <c r="Q201" t="s">
        <v>74</v>
      </c>
      <c r="R201" t="s">
        <v>74</v>
      </c>
      <c r="S201" t="s">
        <v>74</v>
      </c>
      <c r="T201" t="s">
        <v>4239</v>
      </c>
      <c r="U201" t="s">
        <v>4240</v>
      </c>
      <c r="V201" t="s">
        <v>4241</v>
      </c>
      <c r="W201" t="s">
        <v>4242</v>
      </c>
      <c r="X201" t="s">
        <v>4243</v>
      </c>
      <c r="Y201" t="s">
        <v>4244</v>
      </c>
      <c r="Z201" t="s">
        <v>4245</v>
      </c>
      <c r="AA201" t="s">
        <v>4246</v>
      </c>
      <c r="AB201" t="s">
        <v>4247</v>
      </c>
      <c r="AC201" t="s">
        <v>4248</v>
      </c>
      <c r="AD201" t="s">
        <v>4249</v>
      </c>
      <c r="AE201" t="s">
        <v>4250</v>
      </c>
      <c r="AF201" t="s">
        <v>74</v>
      </c>
      <c r="AG201">
        <v>91</v>
      </c>
      <c r="AH201">
        <v>19</v>
      </c>
      <c r="AI201">
        <v>22</v>
      </c>
      <c r="AJ201">
        <v>1</v>
      </c>
      <c r="AK201">
        <v>29</v>
      </c>
      <c r="AL201" t="s">
        <v>644</v>
      </c>
      <c r="AM201" t="s">
        <v>594</v>
      </c>
      <c r="AN201" t="s">
        <v>3025</v>
      </c>
      <c r="AO201" t="s">
        <v>646</v>
      </c>
      <c r="AP201" t="s">
        <v>647</v>
      </c>
      <c r="AQ201" t="s">
        <v>74</v>
      </c>
      <c r="AR201" t="s">
        <v>648</v>
      </c>
      <c r="AS201" t="s">
        <v>649</v>
      </c>
      <c r="AT201" t="s">
        <v>2218</v>
      </c>
      <c r="AU201">
        <v>2016</v>
      </c>
      <c r="AV201">
        <v>39</v>
      </c>
      <c r="AW201">
        <v>10</v>
      </c>
      <c r="AX201">
        <v>1</v>
      </c>
      <c r="AY201" t="s">
        <v>74</v>
      </c>
      <c r="AZ201" t="s">
        <v>650</v>
      </c>
      <c r="BA201" t="s">
        <v>74</v>
      </c>
      <c r="BB201">
        <v>1879</v>
      </c>
      <c r="BC201">
        <v>1895</v>
      </c>
      <c r="BD201" t="s">
        <v>74</v>
      </c>
      <c r="BE201" t="s">
        <v>4251</v>
      </c>
      <c r="BF201" t="str">
        <f>HYPERLINK("http://dx.doi.org/10.1007/s00300-016-2015-x","http://dx.doi.org/10.1007/s00300-016-2015-x")</f>
        <v>http://dx.doi.org/10.1007/s00300-016-2015-x</v>
      </c>
      <c r="BG201" t="s">
        <v>74</v>
      </c>
      <c r="BH201" t="s">
        <v>74</v>
      </c>
      <c r="BI201">
        <v>17</v>
      </c>
      <c r="BJ201" t="s">
        <v>652</v>
      </c>
      <c r="BK201" t="s">
        <v>156</v>
      </c>
      <c r="BL201" t="s">
        <v>653</v>
      </c>
      <c r="BM201" t="s">
        <v>3154</v>
      </c>
      <c r="BN201" t="s">
        <v>74</v>
      </c>
      <c r="BO201" t="s">
        <v>74</v>
      </c>
      <c r="BP201" t="s">
        <v>74</v>
      </c>
      <c r="BQ201" t="s">
        <v>74</v>
      </c>
      <c r="BR201" t="s">
        <v>105</v>
      </c>
      <c r="BS201" t="s">
        <v>4252</v>
      </c>
      <c r="BT201" t="str">
        <f>HYPERLINK("https%3A%2F%2Fwww.webofscience.com%2Fwos%2Fwoscc%2Ffull-record%2FWOS:000384551800014","View Full Record in Web of Science")</f>
        <v>View Full Record in Web of Science</v>
      </c>
    </row>
    <row r="202" spans="1:72" x14ac:dyDescent="0.15">
      <c r="A202" t="s">
        <v>72</v>
      </c>
      <c r="B202" t="s">
        <v>4253</v>
      </c>
      <c r="C202" t="s">
        <v>74</v>
      </c>
      <c r="D202" t="s">
        <v>74</v>
      </c>
      <c r="E202" t="s">
        <v>74</v>
      </c>
      <c r="F202" t="s">
        <v>4254</v>
      </c>
      <c r="G202" t="s">
        <v>74</v>
      </c>
      <c r="H202" t="s">
        <v>74</v>
      </c>
      <c r="I202" t="s">
        <v>4255</v>
      </c>
      <c r="J202" t="s">
        <v>631</v>
      </c>
      <c r="K202" t="s">
        <v>74</v>
      </c>
      <c r="L202" t="s">
        <v>74</v>
      </c>
      <c r="M202" t="s">
        <v>78</v>
      </c>
      <c r="N202" t="s">
        <v>79</v>
      </c>
      <c r="O202" t="s">
        <v>74</v>
      </c>
      <c r="P202" t="s">
        <v>74</v>
      </c>
      <c r="Q202" t="s">
        <v>74</v>
      </c>
      <c r="R202" t="s">
        <v>74</v>
      </c>
      <c r="S202" t="s">
        <v>74</v>
      </c>
      <c r="T202" t="s">
        <v>4256</v>
      </c>
      <c r="U202" t="s">
        <v>4257</v>
      </c>
      <c r="V202" t="s">
        <v>4258</v>
      </c>
      <c r="W202" t="s">
        <v>4259</v>
      </c>
      <c r="X202" t="s">
        <v>3145</v>
      </c>
      <c r="Y202" t="s">
        <v>4260</v>
      </c>
      <c r="Z202" t="s">
        <v>4261</v>
      </c>
      <c r="AA202" t="s">
        <v>74</v>
      </c>
      <c r="AB202" t="s">
        <v>4262</v>
      </c>
      <c r="AC202" t="s">
        <v>74</v>
      </c>
      <c r="AD202" t="s">
        <v>74</v>
      </c>
      <c r="AE202" t="s">
        <v>74</v>
      </c>
      <c r="AF202" t="s">
        <v>74</v>
      </c>
      <c r="AG202">
        <v>67</v>
      </c>
      <c r="AH202">
        <v>14</v>
      </c>
      <c r="AI202">
        <v>16</v>
      </c>
      <c r="AJ202">
        <v>2</v>
      </c>
      <c r="AK202">
        <v>20</v>
      </c>
      <c r="AL202" t="s">
        <v>644</v>
      </c>
      <c r="AM202" t="s">
        <v>594</v>
      </c>
      <c r="AN202" t="s">
        <v>3025</v>
      </c>
      <c r="AO202" t="s">
        <v>646</v>
      </c>
      <c r="AP202" t="s">
        <v>647</v>
      </c>
      <c r="AQ202" t="s">
        <v>74</v>
      </c>
      <c r="AR202" t="s">
        <v>648</v>
      </c>
      <c r="AS202" t="s">
        <v>649</v>
      </c>
      <c r="AT202" t="s">
        <v>2218</v>
      </c>
      <c r="AU202">
        <v>2016</v>
      </c>
      <c r="AV202">
        <v>39</v>
      </c>
      <c r="AW202">
        <v>10</v>
      </c>
      <c r="AX202">
        <v>1</v>
      </c>
      <c r="AY202" t="s">
        <v>74</v>
      </c>
      <c r="AZ202" t="s">
        <v>650</v>
      </c>
      <c r="BA202" t="s">
        <v>74</v>
      </c>
      <c r="BB202">
        <v>1897</v>
      </c>
      <c r="BC202">
        <v>1912</v>
      </c>
      <c r="BD202" t="s">
        <v>74</v>
      </c>
      <c r="BE202" t="s">
        <v>4263</v>
      </c>
      <c r="BF202" t="str">
        <f>HYPERLINK("http://dx.doi.org/10.1007/s00300-015-1799-4","http://dx.doi.org/10.1007/s00300-015-1799-4")</f>
        <v>http://dx.doi.org/10.1007/s00300-015-1799-4</v>
      </c>
      <c r="BG202" t="s">
        <v>74</v>
      </c>
      <c r="BH202" t="s">
        <v>74</v>
      </c>
      <c r="BI202">
        <v>16</v>
      </c>
      <c r="BJ202" t="s">
        <v>652</v>
      </c>
      <c r="BK202" t="s">
        <v>156</v>
      </c>
      <c r="BL202" t="s">
        <v>653</v>
      </c>
      <c r="BM202" t="s">
        <v>3154</v>
      </c>
      <c r="BN202" t="s">
        <v>74</v>
      </c>
      <c r="BO202" t="s">
        <v>74</v>
      </c>
      <c r="BP202" t="s">
        <v>74</v>
      </c>
      <c r="BQ202" t="s">
        <v>74</v>
      </c>
      <c r="BR202" t="s">
        <v>105</v>
      </c>
      <c r="BS202" t="s">
        <v>4264</v>
      </c>
      <c r="BT202" t="str">
        <f>HYPERLINK("https%3A%2F%2Fwww.webofscience.com%2Fwos%2Fwoscc%2Ffull-record%2FWOS:000384551800015","View Full Record in Web of Science")</f>
        <v>View Full Record in Web of Science</v>
      </c>
    </row>
    <row r="203" spans="1:72" x14ac:dyDescent="0.15">
      <c r="A203" t="s">
        <v>72</v>
      </c>
      <c r="B203" t="s">
        <v>4265</v>
      </c>
      <c r="C203" t="s">
        <v>74</v>
      </c>
      <c r="D203" t="s">
        <v>74</v>
      </c>
      <c r="E203" t="s">
        <v>74</v>
      </c>
      <c r="F203" t="s">
        <v>4266</v>
      </c>
      <c r="G203" t="s">
        <v>74</v>
      </c>
      <c r="H203" t="s">
        <v>74</v>
      </c>
      <c r="I203" t="s">
        <v>4267</v>
      </c>
      <c r="J203" t="s">
        <v>4268</v>
      </c>
      <c r="K203" t="s">
        <v>74</v>
      </c>
      <c r="L203" t="s">
        <v>74</v>
      </c>
      <c r="M203" t="s">
        <v>78</v>
      </c>
      <c r="N203" t="s">
        <v>79</v>
      </c>
      <c r="O203" t="s">
        <v>74</v>
      </c>
      <c r="P203" t="s">
        <v>74</v>
      </c>
      <c r="Q203" t="s">
        <v>74</v>
      </c>
      <c r="R203" t="s">
        <v>74</v>
      </c>
      <c r="S203" t="s">
        <v>74</v>
      </c>
      <c r="T203" t="s">
        <v>4269</v>
      </c>
      <c r="U203" t="s">
        <v>4270</v>
      </c>
      <c r="V203" t="s">
        <v>4271</v>
      </c>
      <c r="W203" t="s">
        <v>4272</v>
      </c>
      <c r="X203" t="s">
        <v>4273</v>
      </c>
      <c r="Y203" t="s">
        <v>4274</v>
      </c>
      <c r="Z203" t="s">
        <v>4275</v>
      </c>
      <c r="AA203" t="s">
        <v>4276</v>
      </c>
      <c r="AB203" t="s">
        <v>4277</v>
      </c>
      <c r="AC203" t="s">
        <v>4278</v>
      </c>
      <c r="AD203" t="s">
        <v>4279</v>
      </c>
      <c r="AE203" t="s">
        <v>4280</v>
      </c>
      <c r="AF203" t="s">
        <v>74</v>
      </c>
      <c r="AG203">
        <v>51</v>
      </c>
      <c r="AH203">
        <v>38</v>
      </c>
      <c r="AI203">
        <v>40</v>
      </c>
      <c r="AJ203">
        <v>2</v>
      </c>
      <c r="AK203">
        <v>12</v>
      </c>
      <c r="AL203" t="s">
        <v>2541</v>
      </c>
      <c r="AM203" t="s">
        <v>502</v>
      </c>
      <c r="AN203" t="s">
        <v>503</v>
      </c>
      <c r="AO203" t="s">
        <v>4281</v>
      </c>
      <c r="AP203" t="s">
        <v>4282</v>
      </c>
      <c r="AQ203" t="s">
        <v>74</v>
      </c>
      <c r="AR203" t="s">
        <v>4283</v>
      </c>
      <c r="AS203" t="s">
        <v>4284</v>
      </c>
      <c r="AT203" t="s">
        <v>2218</v>
      </c>
      <c r="AU203">
        <v>2016</v>
      </c>
      <c r="AV203">
        <v>142</v>
      </c>
      <c r="AW203">
        <v>700</v>
      </c>
      <c r="AX203" t="s">
        <v>4285</v>
      </c>
      <c r="AY203" t="s">
        <v>74</v>
      </c>
      <c r="AZ203" t="s">
        <v>74</v>
      </c>
      <c r="BA203" t="s">
        <v>74</v>
      </c>
      <c r="BB203">
        <v>2679</v>
      </c>
      <c r="BC203">
        <v>2691</v>
      </c>
      <c r="BD203" t="s">
        <v>74</v>
      </c>
      <c r="BE203" t="s">
        <v>4286</v>
      </c>
      <c r="BF203" t="str">
        <f>HYPERLINK("http://dx.doi.org/10.1002/qj.2858","http://dx.doi.org/10.1002/qj.2858")</f>
        <v>http://dx.doi.org/10.1002/qj.2858</v>
      </c>
      <c r="BG203" t="s">
        <v>74</v>
      </c>
      <c r="BH203" t="s">
        <v>74</v>
      </c>
      <c r="BI203">
        <v>13</v>
      </c>
      <c r="BJ203" t="s">
        <v>2482</v>
      </c>
      <c r="BK203" t="s">
        <v>156</v>
      </c>
      <c r="BL203" t="s">
        <v>2482</v>
      </c>
      <c r="BM203" t="s">
        <v>4287</v>
      </c>
      <c r="BN203" t="s">
        <v>74</v>
      </c>
      <c r="BO203" t="s">
        <v>329</v>
      </c>
      <c r="BP203" t="s">
        <v>74</v>
      </c>
      <c r="BQ203" t="s">
        <v>74</v>
      </c>
      <c r="BR203" t="s">
        <v>105</v>
      </c>
      <c r="BS203" t="s">
        <v>4288</v>
      </c>
      <c r="BT203" t="str">
        <f>HYPERLINK("https%3A%2F%2Fwww.webofscience.com%2Fwos%2Fwoscc%2Ffull-record%2FWOS:000390652500008","View Full Record in Web of Science")</f>
        <v>View Full Record in Web of Science</v>
      </c>
    </row>
    <row r="204" spans="1:72" x14ac:dyDescent="0.15">
      <c r="A204" t="s">
        <v>72</v>
      </c>
      <c r="B204" t="s">
        <v>4289</v>
      </c>
      <c r="C204" t="s">
        <v>74</v>
      </c>
      <c r="D204" t="s">
        <v>74</v>
      </c>
      <c r="E204" t="s">
        <v>74</v>
      </c>
      <c r="F204" t="s">
        <v>4290</v>
      </c>
      <c r="G204" t="s">
        <v>74</v>
      </c>
      <c r="H204" t="s">
        <v>74</v>
      </c>
      <c r="I204" t="s">
        <v>4291</v>
      </c>
      <c r="J204" t="s">
        <v>1654</v>
      </c>
      <c r="K204" t="s">
        <v>74</v>
      </c>
      <c r="L204" t="s">
        <v>74</v>
      </c>
      <c r="M204" t="s">
        <v>78</v>
      </c>
      <c r="N204" t="s">
        <v>79</v>
      </c>
      <c r="O204" t="s">
        <v>74</v>
      </c>
      <c r="P204" t="s">
        <v>74</v>
      </c>
      <c r="Q204" t="s">
        <v>74</v>
      </c>
      <c r="R204" t="s">
        <v>74</v>
      </c>
      <c r="S204" t="s">
        <v>74</v>
      </c>
      <c r="T204" t="s">
        <v>4292</v>
      </c>
      <c r="U204" t="s">
        <v>4293</v>
      </c>
      <c r="V204" t="s">
        <v>4294</v>
      </c>
      <c r="W204" t="s">
        <v>4295</v>
      </c>
      <c r="X204" t="s">
        <v>4296</v>
      </c>
      <c r="Y204" t="s">
        <v>4297</v>
      </c>
      <c r="Z204" t="s">
        <v>4298</v>
      </c>
      <c r="AA204" t="s">
        <v>4299</v>
      </c>
      <c r="AB204" t="s">
        <v>4300</v>
      </c>
      <c r="AC204" t="s">
        <v>4301</v>
      </c>
      <c r="AD204" t="s">
        <v>4302</v>
      </c>
      <c r="AE204" t="s">
        <v>4303</v>
      </c>
      <c r="AF204" t="s">
        <v>74</v>
      </c>
      <c r="AG204">
        <v>115</v>
      </c>
      <c r="AH204">
        <v>50</v>
      </c>
      <c r="AI204">
        <v>54</v>
      </c>
      <c r="AJ204">
        <v>0</v>
      </c>
      <c r="AK204">
        <v>43</v>
      </c>
      <c r="AL204" t="s">
        <v>303</v>
      </c>
      <c r="AM204" t="s">
        <v>304</v>
      </c>
      <c r="AN204" t="s">
        <v>305</v>
      </c>
      <c r="AO204" t="s">
        <v>1666</v>
      </c>
      <c r="AP204" t="s">
        <v>74</v>
      </c>
      <c r="AQ204" t="s">
        <v>74</v>
      </c>
      <c r="AR204" t="s">
        <v>1668</v>
      </c>
      <c r="AS204" t="s">
        <v>1669</v>
      </c>
      <c r="AT204" t="s">
        <v>2415</v>
      </c>
      <c r="AU204">
        <v>2016</v>
      </c>
      <c r="AV204">
        <v>149</v>
      </c>
      <c r="AW204" t="s">
        <v>74</v>
      </c>
      <c r="AX204" t="s">
        <v>74</v>
      </c>
      <c r="AY204" t="s">
        <v>74</v>
      </c>
      <c r="AZ204" t="s">
        <v>74</v>
      </c>
      <c r="BA204" t="s">
        <v>74</v>
      </c>
      <c r="BB204">
        <v>200</v>
      </c>
      <c r="BC204">
        <v>214</v>
      </c>
      <c r="BD204" t="s">
        <v>74</v>
      </c>
      <c r="BE204" t="s">
        <v>4304</v>
      </c>
      <c r="BF204" t="str">
        <f>HYPERLINK("http://dx.doi.org/10.1016/j.quascirev.2016.07.024","http://dx.doi.org/10.1016/j.quascirev.2016.07.024")</f>
        <v>http://dx.doi.org/10.1016/j.quascirev.2016.07.024</v>
      </c>
      <c r="BG204" t="s">
        <v>74</v>
      </c>
      <c r="BH204" t="s">
        <v>74</v>
      </c>
      <c r="BI204">
        <v>15</v>
      </c>
      <c r="BJ204" t="s">
        <v>203</v>
      </c>
      <c r="BK204" t="s">
        <v>156</v>
      </c>
      <c r="BL204" t="s">
        <v>204</v>
      </c>
      <c r="BM204" t="s">
        <v>3399</v>
      </c>
      <c r="BN204" t="s">
        <v>74</v>
      </c>
      <c r="BO204" t="s">
        <v>459</v>
      </c>
      <c r="BP204" t="s">
        <v>74</v>
      </c>
      <c r="BQ204" t="s">
        <v>74</v>
      </c>
      <c r="BR204" t="s">
        <v>105</v>
      </c>
      <c r="BS204" t="s">
        <v>4305</v>
      </c>
      <c r="BT204" t="str">
        <f>HYPERLINK("https%3A%2F%2Fwww.webofscience.com%2Fwos%2Fwoscc%2Ffull-record%2FWOS:000383825400013","View Full Record in Web of Science")</f>
        <v>View Full Record in Web of Science</v>
      </c>
    </row>
    <row r="205" spans="1:72" x14ac:dyDescent="0.15">
      <c r="A205" t="s">
        <v>72</v>
      </c>
      <c r="B205" t="s">
        <v>4306</v>
      </c>
      <c r="C205" t="s">
        <v>74</v>
      </c>
      <c r="D205" t="s">
        <v>74</v>
      </c>
      <c r="E205" t="s">
        <v>74</v>
      </c>
      <c r="F205" t="s">
        <v>4307</v>
      </c>
      <c r="G205" t="s">
        <v>74</v>
      </c>
      <c r="H205" t="s">
        <v>74</v>
      </c>
      <c r="I205" t="s">
        <v>4308</v>
      </c>
      <c r="J205" t="s">
        <v>2554</v>
      </c>
      <c r="K205" t="s">
        <v>74</v>
      </c>
      <c r="L205" t="s">
        <v>74</v>
      </c>
      <c r="M205" t="s">
        <v>78</v>
      </c>
      <c r="N205" t="s">
        <v>79</v>
      </c>
      <c r="O205" t="s">
        <v>74</v>
      </c>
      <c r="P205" t="s">
        <v>74</v>
      </c>
      <c r="Q205" t="s">
        <v>74</v>
      </c>
      <c r="R205" t="s">
        <v>74</v>
      </c>
      <c r="S205" t="s">
        <v>74</v>
      </c>
      <c r="T205" t="s">
        <v>4309</v>
      </c>
      <c r="U205" t="s">
        <v>4310</v>
      </c>
      <c r="V205" t="s">
        <v>4311</v>
      </c>
      <c r="W205" t="s">
        <v>4312</v>
      </c>
      <c r="X205" t="s">
        <v>4313</v>
      </c>
      <c r="Y205" t="s">
        <v>4314</v>
      </c>
      <c r="Z205" t="s">
        <v>4315</v>
      </c>
      <c r="AA205" t="s">
        <v>74</v>
      </c>
      <c r="AB205" t="s">
        <v>4316</v>
      </c>
      <c r="AC205" t="s">
        <v>4317</v>
      </c>
      <c r="AD205" t="s">
        <v>4318</v>
      </c>
      <c r="AE205" t="s">
        <v>4319</v>
      </c>
      <c r="AF205" t="s">
        <v>74</v>
      </c>
      <c r="AG205">
        <v>63</v>
      </c>
      <c r="AH205">
        <v>17</v>
      </c>
      <c r="AI205">
        <v>21</v>
      </c>
      <c r="AJ205">
        <v>3</v>
      </c>
      <c r="AK205">
        <v>30</v>
      </c>
      <c r="AL205" t="s">
        <v>4320</v>
      </c>
      <c r="AM205" t="s">
        <v>2567</v>
      </c>
      <c r="AN205" t="s">
        <v>2568</v>
      </c>
      <c r="AO205" t="s">
        <v>74</v>
      </c>
      <c r="AP205" t="s">
        <v>2569</v>
      </c>
      <c r="AQ205" t="s">
        <v>74</v>
      </c>
      <c r="AR205" t="s">
        <v>2570</v>
      </c>
      <c r="AS205" t="s">
        <v>2571</v>
      </c>
      <c r="AT205" t="s">
        <v>2218</v>
      </c>
      <c r="AU205">
        <v>2016</v>
      </c>
      <c r="AV205">
        <v>8</v>
      </c>
      <c r="AW205">
        <v>10</v>
      </c>
      <c r="AX205" t="s">
        <v>74</v>
      </c>
      <c r="AY205" t="s">
        <v>74</v>
      </c>
      <c r="AZ205" t="s">
        <v>74</v>
      </c>
      <c r="BA205" t="s">
        <v>74</v>
      </c>
      <c r="BB205" t="s">
        <v>74</v>
      </c>
      <c r="BC205" t="s">
        <v>74</v>
      </c>
      <c r="BD205">
        <v>843</v>
      </c>
      <c r="BE205" t="s">
        <v>4321</v>
      </c>
      <c r="BF205" t="str">
        <f>HYPERLINK("http://dx.doi.org/10.3390/rs8100843","http://dx.doi.org/10.3390/rs8100843")</f>
        <v>http://dx.doi.org/10.3390/rs8100843</v>
      </c>
      <c r="BG205" t="s">
        <v>74</v>
      </c>
      <c r="BH205" t="s">
        <v>74</v>
      </c>
      <c r="BI205">
        <v>20</v>
      </c>
      <c r="BJ205" t="s">
        <v>2573</v>
      </c>
      <c r="BK205" t="s">
        <v>156</v>
      </c>
      <c r="BL205" t="s">
        <v>2574</v>
      </c>
      <c r="BM205" t="s">
        <v>2575</v>
      </c>
      <c r="BN205" t="s">
        <v>74</v>
      </c>
      <c r="BO205" t="s">
        <v>4322</v>
      </c>
      <c r="BP205" t="s">
        <v>74</v>
      </c>
      <c r="BQ205" t="s">
        <v>74</v>
      </c>
      <c r="BR205" t="s">
        <v>105</v>
      </c>
      <c r="BS205" t="s">
        <v>4323</v>
      </c>
      <c r="BT205" t="str">
        <f>HYPERLINK("https%3A%2F%2Fwww.webofscience.com%2Fwos%2Fwoscc%2Ffull-record%2FWOS:000387357300057","View Full Record in Web of Science")</f>
        <v>View Full Record in Web of Science</v>
      </c>
    </row>
    <row r="206" spans="1:72" x14ac:dyDescent="0.15">
      <c r="A206" t="s">
        <v>72</v>
      </c>
      <c r="B206" t="s">
        <v>4324</v>
      </c>
      <c r="C206" t="s">
        <v>74</v>
      </c>
      <c r="D206" t="s">
        <v>74</v>
      </c>
      <c r="E206" t="s">
        <v>74</v>
      </c>
      <c r="F206" t="s">
        <v>4325</v>
      </c>
      <c r="G206" t="s">
        <v>74</v>
      </c>
      <c r="H206" t="s">
        <v>74</v>
      </c>
      <c r="I206" t="s">
        <v>4326</v>
      </c>
      <c r="J206" t="s">
        <v>4327</v>
      </c>
      <c r="K206" t="s">
        <v>74</v>
      </c>
      <c r="L206" t="s">
        <v>74</v>
      </c>
      <c r="M206" t="s">
        <v>78</v>
      </c>
      <c r="N206" t="s">
        <v>79</v>
      </c>
      <c r="O206" t="s">
        <v>74</v>
      </c>
      <c r="P206" t="s">
        <v>74</v>
      </c>
      <c r="Q206" t="s">
        <v>74</v>
      </c>
      <c r="R206" t="s">
        <v>74</v>
      </c>
      <c r="S206" t="s">
        <v>74</v>
      </c>
      <c r="T206" t="s">
        <v>4328</v>
      </c>
      <c r="U206" t="s">
        <v>4329</v>
      </c>
      <c r="V206" t="s">
        <v>4330</v>
      </c>
      <c r="W206" t="s">
        <v>4331</v>
      </c>
      <c r="X206" t="s">
        <v>4332</v>
      </c>
      <c r="Y206" t="s">
        <v>4333</v>
      </c>
      <c r="Z206" t="s">
        <v>4334</v>
      </c>
      <c r="AA206" t="s">
        <v>4335</v>
      </c>
      <c r="AB206" t="s">
        <v>4336</v>
      </c>
      <c r="AC206" t="s">
        <v>4337</v>
      </c>
      <c r="AD206" t="s">
        <v>4338</v>
      </c>
      <c r="AE206" t="s">
        <v>4339</v>
      </c>
      <c r="AF206" t="s">
        <v>74</v>
      </c>
      <c r="AG206">
        <v>104</v>
      </c>
      <c r="AH206">
        <v>7</v>
      </c>
      <c r="AI206">
        <v>7</v>
      </c>
      <c r="AJ206">
        <v>0</v>
      </c>
      <c r="AK206">
        <v>7</v>
      </c>
      <c r="AL206" t="s">
        <v>92</v>
      </c>
      <c r="AM206" t="s">
        <v>93</v>
      </c>
      <c r="AN206" t="s">
        <v>94</v>
      </c>
      <c r="AO206" t="s">
        <v>4340</v>
      </c>
      <c r="AP206" t="s">
        <v>4341</v>
      </c>
      <c r="AQ206" t="s">
        <v>74</v>
      </c>
      <c r="AR206" t="s">
        <v>4342</v>
      </c>
      <c r="AS206" t="s">
        <v>4343</v>
      </c>
      <c r="AT206" t="s">
        <v>2218</v>
      </c>
      <c r="AU206">
        <v>2016</v>
      </c>
      <c r="AV206">
        <v>233</v>
      </c>
      <c r="AW206" t="s">
        <v>74</v>
      </c>
      <c r="AX206" t="s">
        <v>74</v>
      </c>
      <c r="AY206" t="s">
        <v>74</v>
      </c>
      <c r="AZ206" t="s">
        <v>74</v>
      </c>
      <c r="BA206" t="s">
        <v>74</v>
      </c>
      <c r="BB206">
        <v>104</v>
      </c>
      <c r="BC206">
        <v>114</v>
      </c>
      <c r="BD206" t="s">
        <v>74</v>
      </c>
      <c r="BE206" t="s">
        <v>4344</v>
      </c>
      <c r="BF206" t="str">
        <f>HYPERLINK("http://dx.doi.org/10.1016/j.revpalbo.2016.07.006","http://dx.doi.org/10.1016/j.revpalbo.2016.07.006")</f>
        <v>http://dx.doi.org/10.1016/j.revpalbo.2016.07.006</v>
      </c>
      <c r="BG206" t="s">
        <v>74</v>
      </c>
      <c r="BH206" t="s">
        <v>74</v>
      </c>
      <c r="BI206">
        <v>11</v>
      </c>
      <c r="BJ206" t="s">
        <v>4345</v>
      </c>
      <c r="BK206" t="s">
        <v>156</v>
      </c>
      <c r="BL206" t="s">
        <v>4345</v>
      </c>
      <c r="BM206" t="s">
        <v>4346</v>
      </c>
      <c r="BN206" t="s">
        <v>74</v>
      </c>
      <c r="BO206" t="s">
        <v>74</v>
      </c>
      <c r="BP206" t="s">
        <v>74</v>
      </c>
      <c r="BQ206" t="s">
        <v>74</v>
      </c>
      <c r="BR206" t="s">
        <v>105</v>
      </c>
      <c r="BS206" t="s">
        <v>4347</v>
      </c>
      <c r="BT206" t="str">
        <f>HYPERLINK("https%3A%2F%2Fwww.webofscience.com%2Fwos%2Fwoscc%2Ffull-record%2FWOS:000384869800009","View Full Record in Web of Science")</f>
        <v>View Full Record in Web of Science</v>
      </c>
    </row>
    <row r="207" spans="1:72" x14ac:dyDescent="0.15">
      <c r="A207" t="s">
        <v>72</v>
      </c>
      <c r="B207" t="s">
        <v>4348</v>
      </c>
      <c r="C207" t="s">
        <v>74</v>
      </c>
      <c r="D207" t="s">
        <v>74</v>
      </c>
      <c r="E207" t="s">
        <v>74</v>
      </c>
      <c r="F207" t="s">
        <v>4349</v>
      </c>
      <c r="G207" t="s">
        <v>74</v>
      </c>
      <c r="H207" t="s">
        <v>74</v>
      </c>
      <c r="I207" t="s">
        <v>4350</v>
      </c>
      <c r="J207" t="s">
        <v>966</v>
      </c>
      <c r="K207" t="s">
        <v>74</v>
      </c>
      <c r="L207" t="s">
        <v>74</v>
      </c>
      <c r="M207" t="s">
        <v>78</v>
      </c>
      <c r="N207" t="s">
        <v>317</v>
      </c>
      <c r="O207" t="s">
        <v>74</v>
      </c>
      <c r="P207" t="s">
        <v>74</v>
      </c>
      <c r="Q207" t="s">
        <v>74</v>
      </c>
      <c r="R207" t="s">
        <v>74</v>
      </c>
      <c r="S207" t="s">
        <v>74</v>
      </c>
      <c r="T207" t="s">
        <v>4351</v>
      </c>
      <c r="U207" t="s">
        <v>4352</v>
      </c>
      <c r="V207" t="s">
        <v>4353</v>
      </c>
      <c r="W207" t="s">
        <v>4354</v>
      </c>
      <c r="X207" t="s">
        <v>4355</v>
      </c>
      <c r="Y207" t="s">
        <v>4356</v>
      </c>
      <c r="Z207" t="s">
        <v>4357</v>
      </c>
      <c r="AA207" t="s">
        <v>4358</v>
      </c>
      <c r="AB207" t="s">
        <v>4359</v>
      </c>
      <c r="AC207" t="s">
        <v>4360</v>
      </c>
      <c r="AD207" t="s">
        <v>4361</v>
      </c>
      <c r="AE207" t="s">
        <v>4362</v>
      </c>
      <c r="AF207" t="s">
        <v>74</v>
      </c>
      <c r="AG207">
        <v>224</v>
      </c>
      <c r="AH207">
        <v>947</v>
      </c>
      <c r="AI207">
        <v>1015</v>
      </c>
      <c r="AJ207">
        <v>92</v>
      </c>
      <c r="AK207">
        <v>2019</v>
      </c>
      <c r="AL207" t="s">
        <v>196</v>
      </c>
      <c r="AM207" t="s">
        <v>93</v>
      </c>
      <c r="AN207" t="s">
        <v>197</v>
      </c>
      <c r="AO207" t="s">
        <v>979</v>
      </c>
      <c r="AP207" t="s">
        <v>980</v>
      </c>
      <c r="AQ207" t="s">
        <v>74</v>
      </c>
      <c r="AR207" t="s">
        <v>981</v>
      </c>
      <c r="AS207" t="s">
        <v>982</v>
      </c>
      <c r="AT207" t="s">
        <v>2415</v>
      </c>
      <c r="AU207">
        <v>2016</v>
      </c>
      <c r="AV207">
        <v>566</v>
      </c>
      <c r="AW207" t="s">
        <v>74</v>
      </c>
      <c r="AX207" t="s">
        <v>74</v>
      </c>
      <c r="AY207" t="s">
        <v>74</v>
      </c>
      <c r="AZ207" t="s">
        <v>74</v>
      </c>
      <c r="BA207" t="s">
        <v>74</v>
      </c>
      <c r="BB207">
        <v>333</v>
      </c>
      <c r="BC207">
        <v>349</v>
      </c>
      <c r="BD207" t="s">
        <v>74</v>
      </c>
      <c r="BE207" t="s">
        <v>4363</v>
      </c>
      <c r="BF207" t="str">
        <f>HYPERLINK("http://dx.doi.org/10.1016/j.scitotenv.2016.05.084","http://dx.doi.org/10.1016/j.scitotenv.2016.05.084")</f>
        <v>http://dx.doi.org/10.1016/j.scitotenv.2016.05.084</v>
      </c>
      <c r="BG207" t="s">
        <v>74</v>
      </c>
      <c r="BH207" t="s">
        <v>74</v>
      </c>
      <c r="BI207">
        <v>17</v>
      </c>
      <c r="BJ207" t="s">
        <v>846</v>
      </c>
      <c r="BK207" t="s">
        <v>156</v>
      </c>
      <c r="BL207" t="s">
        <v>532</v>
      </c>
      <c r="BM207" t="s">
        <v>4364</v>
      </c>
      <c r="BN207">
        <v>27232963</v>
      </c>
      <c r="BO207" t="s">
        <v>74</v>
      </c>
      <c r="BP207" t="s">
        <v>1447</v>
      </c>
      <c r="BQ207" t="s">
        <v>1448</v>
      </c>
      <c r="BR207" t="s">
        <v>105</v>
      </c>
      <c r="BS207" t="s">
        <v>4365</v>
      </c>
      <c r="BT207" t="str">
        <f>HYPERLINK("https%3A%2F%2Fwww.webofscience.com%2Fwos%2Fwoscc%2Ffull-record%2FWOS:000381060900036","View Full Record in Web of Science")</f>
        <v>View Full Record in Web of Science</v>
      </c>
    </row>
    <row r="208" spans="1:72" x14ac:dyDescent="0.15">
      <c r="A208" t="s">
        <v>72</v>
      </c>
      <c r="B208" t="s">
        <v>4366</v>
      </c>
      <c r="C208" t="s">
        <v>74</v>
      </c>
      <c r="D208" t="s">
        <v>74</v>
      </c>
      <c r="E208" t="s">
        <v>74</v>
      </c>
      <c r="F208" t="s">
        <v>4367</v>
      </c>
      <c r="G208" t="s">
        <v>74</v>
      </c>
      <c r="H208" t="s">
        <v>74</v>
      </c>
      <c r="I208" t="s">
        <v>4368</v>
      </c>
      <c r="J208" t="s">
        <v>4369</v>
      </c>
      <c r="K208" t="s">
        <v>74</v>
      </c>
      <c r="L208" t="s">
        <v>74</v>
      </c>
      <c r="M208" t="s">
        <v>78</v>
      </c>
      <c r="N208" t="s">
        <v>79</v>
      </c>
      <c r="O208" t="s">
        <v>74</v>
      </c>
      <c r="P208" t="s">
        <v>74</v>
      </c>
      <c r="Q208" t="s">
        <v>74</v>
      </c>
      <c r="R208" t="s">
        <v>74</v>
      </c>
      <c r="S208" t="s">
        <v>74</v>
      </c>
      <c r="T208" t="s">
        <v>4370</v>
      </c>
      <c r="U208" t="s">
        <v>4371</v>
      </c>
      <c r="V208" t="s">
        <v>4372</v>
      </c>
      <c r="W208" t="s">
        <v>4373</v>
      </c>
      <c r="X208" t="s">
        <v>4374</v>
      </c>
      <c r="Y208" t="s">
        <v>4375</v>
      </c>
      <c r="Z208" t="s">
        <v>4376</v>
      </c>
      <c r="AA208" t="s">
        <v>4377</v>
      </c>
      <c r="AB208" t="s">
        <v>74</v>
      </c>
      <c r="AC208" t="s">
        <v>74</v>
      </c>
      <c r="AD208" t="s">
        <v>74</v>
      </c>
      <c r="AE208" t="s">
        <v>74</v>
      </c>
      <c r="AF208" t="s">
        <v>74</v>
      </c>
      <c r="AG208">
        <v>81</v>
      </c>
      <c r="AH208">
        <v>26</v>
      </c>
      <c r="AI208">
        <v>26</v>
      </c>
      <c r="AJ208">
        <v>2</v>
      </c>
      <c r="AK208">
        <v>74</v>
      </c>
      <c r="AL208" t="s">
        <v>644</v>
      </c>
      <c r="AM208" t="s">
        <v>740</v>
      </c>
      <c r="AN208" t="s">
        <v>741</v>
      </c>
      <c r="AO208" t="s">
        <v>4378</v>
      </c>
      <c r="AP208" t="s">
        <v>4379</v>
      </c>
      <c r="AQ208" t="s">
        <v>74</v>
      </c>
      <c r="AR208" t="s">
        <v>4369</v>
      </c>
      <c r="AS208" t="s">
        <v>4380</v>
      </c>
      <c r="AT208" t="s">
        <v>2218</v>
      </c>
      <c r="AU208">
        <v>2016</v>
      </c>
      <c r="AV208">
        <v>109</v>
      </c>
      <c r="AW208">
        <v>1</v>
      </c>
      <c r="AX208" t="s">
        <v>74</v>
      </c>
      <c r="AY208" t="s">
        <v>74</v>
      </c>
      <c r="AZ208" t="s">
        <v>74</v>
      </c>
      <c r="BA208" t="s">
        <v>74</v>
      </c>
      <c r="BB208">
        <v>337</v>
      </c>
      <c r="BC208">
        <v>357</v>
      </c>
      <c r="BD208" t="s">
        <v>74</v>
      </c>
      <c r="BE208" t="s">
        <v>4381</v>
      </c>
      <c r="BF208" t="str">
        <f>HYPERLINK("http://dx.doi.org/10.1007/s11192-016-1992-4","http://dx.doi.org/10.1007/s11192-016-1992-4")</f>
        <v>http://dx.doi.org/10.1007/s11192-016-1992-4</v>
      </c>
      <c r="BG208" t="s">
        <v>74</v>
      </c>
      <c r="BH208" t="s">
        <v>74</v>
      </c>
      <c r="BI208">
        <v>21</v>
      </c>
      <c r="BJ208" t="s">
        <v>4382</v>
      </c>
      <c r="BK208" t="s">
        <v>102</v>
      </c>
      <c r="BL208" t="s">
        <v>4383</v>
      </c>
      <c r="BM208" t="s">
        <v>4384</v>
      </c>
      <c r="BN208" t="s">
        <v>74</v>
      </c>
      <c r="BO208" t="s">
        <v>74</v>
      </c>
      <c r="BP208" t="s">
        <v>74</v>
      </c>
      <c r="BQ208" t="s">
        <v>74</v>
      </c>
      <c r="BR208" t="s">
        <v>105</v>
      </c>
      <c r="BS208" t="s">
        <v>4385</v>
      </c>
      <c r="BT208" t="str">
        <f>HYPERLINK("https%3A%2F%2Fwww.webofscience.com%2Fwos%2Fwoscc%2Ffull-record%2FWOS:000382915800017","View Full Record in Web of Science")</f>
        <v>View Full Record in Web of Science</v>
      </c>
    </row>
    <row r="209" spans="1:72" x14ac:dyDescent="0.15">
      <c r="A209" t="s">
        <v>72</v>
      </c>
      <c r="B209" t="s">
        <v>4386</v>
      </c>
      <c r="C209" t="s">
        <v>74</v>
      </c>
      <c r="D209" t="s">
        <v>74</v>
      </c>
      <c r="E209" t="s">
        <v>74</v>
      </c>
      <c r="F209" t="s">
        <v>4387</v>
      </c>
      <c r="G209" t="s">
        <v>74</v>
      </c>
      <c r="H209" t="s">
        <v>74</v>
      </c>
      <c r="I209" t="s">
        <v>4388</v>
      </c>
      <c r="J209" t="s">
        <v>4389</v>
      </c>
      <c r="K209" t="s">
        <v>74</v>
      </c>
      <c r="L209" t="s">
        <v>74</v>
      </c>
      <c r="M209" t="s">
        <v>78</v>
      </c>
      <c r="N209" t="s">
        <v>79</v>
      </c>
      <c r="O209" t="s">
        <v>74</v>
      </c>
      <c r="P209" t="s">
        <v>74</v>
      </c>
      <c r="Q209" t="s">
        <v>74</v>
      </c>
      <c r="R209" t="s">
        <v>74</v>
      </c>
      <c r="S209" t="s">
        <v>74</v>
      </c>
      <c r="T209" t="s">
        <v>4390</v>
      </c>
      <c r="U209" t="s">
        <v>4391</v>
      </c>
      <c r="V209" t="s">
        <v>4392</v>
      </c>
      <c r="W209" t="s">
        <v>4393</v>
      </c>
      <c r="X209" t="s">
        <v>4394</v>
      </c>
      <c r="Y209" t="s">
        <v>4395</v>
      </c>
      <c r="Z209" t="s">
        <v>4396</v>
      </c>
      <c r="AA209" t="s">
        <v>4397</v>
      </c>
      <c r="AB209" t="s">
        <v>4398</v>
      </c>
      <c r="AC209" t="s">
        <v>4399</v>
      </c>
      <c r="AD209" t="s">
        <v>4400</v>
      </c>
      <c r="AE209" t="s">
        <v>4401</v>
      </c>
      <c r="AF209" t="s">
        <v>74</v>
      </c>
      <c r="AG209">
        <v>73</v>
      </c>
      <c r="AH209">
        <v>24</v>
      </c>
      <c r="AI209">
        <v>26</v>
      </c>
      <c r="AJ209">
        <v>0</v>
      </c>
      <c r="AK209">
        <v>28</v>
      </c>
      <c r="AL209" t="s">
        <v>196</v>
      </c>
      <c r="AM209" t="s">
        <v>93</v>
      </c>
      <c r="AN209" t="s">
        <v>197</v>
      </c>
      <c r="AO209" t="s">
        <v>4402</v>
      </c>
      <c r="AP209" t="s">
        <v>4403</v>
      </c>
      <c r="AQ209" t="s">
        <v>74</v>
      </c>
      <c r="AR209" t="s">
        <v>4404</v>
      </c>
      <c r="AS209" t="s">
        <v>4405</v>
      </c>
      <c r="AT209" t="s">
        <v>2415</v>
      </c>
      <c r="AU209">
        <v>2016</v>
      </c>
      <c r="AV209">
        <v>459</v>
      </c>
      <c r="AW209" t="s">
        <v>74</v>
      </c>
      <c r="AX209" t="s">
        <v>74</v>
      </c>
      <c r="AY209" t="s">
        <v>74</v>
      </c>
      <c r="AZ209" t="s">
        <v>74</v>
      </c>
      <c r="BA209" t="s">
        <v>74</v>
      </c>
      <c r="BB209">
        <v>471</v>
      </c>
      <c r="BC209">
        <v>487</v>
      </c>
      <c r="BD209" t="s">
        <v>74</v>
      </c>
      <c r="BE209" t="s">
        <v>4406</v>
      </c>
      <c r="BF209" t="str">
        <f>HYPERLINK("http://dx.doi.org/10.1016/j.palaeo.2016.07.034","http://dx.doi.org/10.1016/j.palaeo.2016.07.034")</f>
        <v>http://dx.doi.org/10.1016/j.palaeo.2016.07.034</v>
      </c>
      <c r="BG209" t="s">
        <v>74</v>
      </c>
      <c r="BH209" t="s">
        <v>74</v>
      </c>
      <c r="BI209">
        <v>17</v>
      </c>
      <c r="BJ209" t="s">
        <v>4407</v>
      </c>
      <c r="BK209" t="s">
        <v>156</v>
      </c>
      <c r="BL209" t="s">
        <v>4408</v>
      </c>
      <c r="BM209" t="s">
        <v>4409</v>
      </c>
      <c r="BN209" t="s">
        <v>74</v>
      </c>
      <c r="BO209" t="s">
        <v>104</v>
      </c>
      <c r="BP209" t="s">
        <v>74</v>
      </c>
      <c r="BQ209" t="s">
        <v>74</v>
      </c>
      <c r="BR209" t="s">
        <v>105</v>
      </c>
      <c r="BS209" t="s">
        <v>4410</v>
      </c>
      <c r="BT209" t="str">
        <f>HYPERLINK("https%3A%2F%2Fwww.webofscience.com%2Fwos%2Fwoscc%2Ffull-record%2FWOS:000382591600032","View Full Record in Web of Science")</f>
        <v>View Full Record in Web of Science</v>
      </c>
    </row>
    <row r="210" spans="1:72" x14ac:dyDescent="0.15">
      <c r="A210" t="s">
        <v>72</v>
      </c>
      <c r="B210" t="s">
        <v>4411</v>
      </c>
      <c r="C210" t="s">
        <v>74</v>
      </c>
      <c r="D210" t="s">
        <v>74</v>
      </c>
      <c r="E210" t="s">
        <v>74</v>
      </c>
      <c r="F210" t="s">
        <v>4412</v>
      </c>
      <c r="G210" t="s">
        <v>74</v>
      </c>
      <c r="H210" t="s">
        <v>74</v>
      </c>
      <c r="I210" t="s">
        <v>4413</v>
      </c>
      <c r="J210" t="s">
        <v>4414</v>
      </c>
      <c r="K210" t="s">
        <v>74</v>
      </c>
      <c r="L210" t="s">
        <v>74</v>
      </c>
      <c r="M210" t="s">
        <v>78</v>
      </c>
      <c r="N210" t="s">
        <v>79</v>
      </c>
      <c r="O210" t="s">
        <v>74</v>
      </c>
      <c r="P210" t="s">
        <v>74</v>
      </c>
      <c r="Q210" t="s">
        <v>74</v>
      </c>
      <c r="R210" t="s">
        <v>74</v>
      </c>
      <c r="S210" t="s">
        <v>74</v>
      </c>
      <c r="T210" t="s">
        <v>4415</v>
      </c>
      <c r="U210" t="s">
        <v>4416</v>
      </c>
      <c r="V210" t="s">
        <v>4417</v>
      </c>
      <c r="W210" t="s">
        <v>4418</v>
      </c>
      <c r="X210" t="s">
        <v>4419</v>
      </c>
      <c r="Y210" t="s">
        <v>4420</v>
      </c>
      <c r="Z210" t="s">
        <v>4421</v>
      </c>
      <c r="AA210" t="s">
        <v>4422</v>
      </c>
      <c r="AB210" t="s">
        <v>4423</v>
      </c>
      <c r="AC210" t="s">
        <v>4424</v>
      </c>
      <c r="AD210" t="s">
        <v>4424</v>
      </c>
      <c r="AE210" t="s">
        <v>4425</v>
      </c>
      <c r="AF210" t="s">
        <v>74</v>
      </c>
      <c r="AG210">
        <v>31</v>
      </c>
      <c r="AH210">
        <v>11</v>
      </c>
      <c r="AI210">
        <v>11</v>
      </c>
      <c r="AJ210">
        <v>1</v>
      </c>
      <c r="AK210">
        <v>55</v>
      </c>
      <c r="AL210" t="s">
        <v>474</v>
      </c>
      <c r="AM210" t="s">
        <v>304</v>
      </c>
      <c r="AN210" t="s">
        <v>475</v>
      </c>
      <c r="AO210" t="s">
        <v>4426</v>
      </c>
      <c r="AP210" t="s">
        <v>4427</v>
      </c>
      <c r="AQ210" t="s">
        <v>74</v>
      </c>
      <c r="AR210" t="s">
        <v>4428</v>
      </c>
      <c r="AS210" t="s">
        <v>4429</v>
      </c>
      <c r="AT210" t="s">
        <v>2218</v>
      </c>
      <c r="AU210">
        <v>2016</v>
      </c>
      <c r="AV210">
        <v>130</v>
      </c>
      <c r="AW210" t="s">
        <v>74</v>
      </c>
      <c r="AX210" t="s">
        <v>74</v>
      </c>
      <c r="AY210" t="s">
        <v>74</v>
      </c>
      <c r="AZ210" t="s">
        <v>74</v>
      </c>
      <c r="BA210" t="s">
        <v>74</v>
      </c>
      <c r="BB210">
        <v>162</v>
      </c>
      <c r="BC210">
        <v>171</v>
      </c>
      <c r="BD210" t="s">
        <v>74</v>
      </c>
      <c r="BE210" t="s">
        <v>4430</v>
      </c>
      <c r="BF210" t="str">
        <f>HYPERLINK("http://dx.doi.org/10.1016/j.ocecoaman.2016.06.008","http://dx.doi.org/10.1016/j.ocecoaman.2016.06.008")</f>
        <v>http://dx.doi.org/10.1016/j.ocecoaman.2016.06.008</v>
      </c>
      <c r="BG210" t="s">
        <v>74</v>
      </c>
      <c r="BH210" t="s">
        <v>74</v>
      </c>
      <c r="BI210">
        <v>10</v>
      </c>
      <c r="BJ210" t="s">
        <v>4431</v>
      </c>
      <c r="BK210" t="s">
        <v>156</v>
      </c>
      <c r="BL210" t="s">
        <v>4431</v>
      </c>
      <c r="BM210" t="s">
        <v>4432</v>
      </c>
      <c r="BN210" t="s">
        <v>74</v>
      </c>
      <c r="BO210" t="s">
        <v>74</v>
      </c>
      <c r="BP210" t="s">
        <v>74</v>
      </c>
      <c r="BQ210" t="s">
        <v>74</v>
      </c>
      <c r="BR210" t="s">
        <v>105</v>
      </c>
      <c r="BS210" t="s">
        <v>4433</v>
      </c>
      <c r="BT210" t="str">
        <f>HYPERLINK("https%3A%2F%2Fwww.webofscience.com%2Fwos%2Fwoscc%2Ffull-record%2FWOS:000381837700016","View Full Record in Web of Science")</f>
        <v>View Full Record in Web of Science</v>
      </c>
    </row>
    <row r="211" spans="1:72" x14ac:dyDescent="0.15">
      <c r="A211" t="s">
        <v>72</v>
      </c>
      <c r="B211" t="s">
        <v>4434</v>
      </c>
      <c r="C211" t="s">
        <v>74</v>
      </c>
      <c r="D211" t="s">
        <v>74</v>
      </c>
      <c r="E211" t="s">
        <v>74</v>
      </c>
      <c r="F211" t="s">
        <v>4435</v>
      </c>
      <c r="G211" t="s">
        <v>74</v>
      </c>
      <c r="H211" t="s">
        <v>74</v>
      </c>
      <c r="I211" t="s">
        <v>4436</v>
      </c>
      <c r="J211" t="s">
        <v>4437</v>
      </c>
      <c r="K211" t="s">
        <v>74</v>
      </c>
      <c r="L211" t="s">
        <v>74</v>
      </c>
      <c r="M211" t="s">
        <v>78</v>
      </c>
      <c r="N211" t="s">
        <v>79</v>
      </c>
      <c r="O211" t="s">
        <v>74</v>
      </c>
      <c r="P211" t="s">
        <v>74</v>
      </c>
      <c r="Q211" t="s">
        <v>74</v>
      </c>
      <c r="R211" t="s">
        <v>74</v>
      </c>
      <c r="S211" t="s">
        <v>74</v>
      </c>
      <c r="T211" t="s">
        <v>4438</v>
      </c>
      <c r="U211" t="s">
        <v>4439</v>
      </c>
      <c r="V211" t="s">
        <v>4440</v>
      </c>
      <c r="W211" t="s">
        <v>4441</v>
      </c>
      <c r="X211" t="s">
        <v>74</v>
      </c>
      <c r="Y211" t="s">
        <v>4442</v>
      </c>
      <c r="Z211" t="s">
        <v>4443</v>
      </c>
      <c r="AA211" t="s">
        <v>74</v>
      </c>
      <c r="AB211" t="s">
        <v>74</v>
      </c>
      <c r="AC211" t="s">
        <v>4444</v>
      </c>
      <c r="AD211" t="s">
        <v>4445</v>
      </c>
      <c r="AE211" t="s">
        <v>4446</v>
      </c>
      <c r="AF211" t="s">
        <v>74</v>
      </c>
      <c r="AG211">
        <v>90</v>
      </c>
      <c r="AH211">
        <v>12</v>
      </c>
      <c r="AI211">
        <v>13</v>
      </c>
      <c r="AJ211">
        <v>0</v>
      </c>
      <c r="AK211">
        <v>6</v>
      </c>
      <c r="AL211" t="s">
        <v>303</v>
      </c>
      <c r="AM211" t="s">
        <v>304</v>
      </c>
      <c r="AN211" t="s">
        <v>305</v>
      </c>
      <c r="AO211" t="s">
        <v>4447</v>
      </c>
      <c r="AP211" t="s">
        <v>74</v>
      </c>
      <c r="AQ211" t="s">
        <v>74</v>
      </c>
      <c r="AR211" t="s">
        <v>4448</v>
      </c>
      <c r="AS211" t="s">
        <v>4449</v>
      </c>
      <c r="AT211" t="s">
        <v>2218</v>
      </c>
      <c r="AU211">
        <v>2016</v>
      </c>
      <c r="AV211">
        <v>70</v>
      </c>
      <c r="AW211" t="s">
        <v>74</v>
      </c>
      <c r="AX211" t="s">
        <v>74</v>
      </c>
      <c r="AY211" t="s">
        <v>74</v>
      </c>
      <c r="AZ211" t="s">
        <v>74</v>
      </c>
      <c r="BA211" t="s">
        <v>74</v>
      </c>
      <c r="BB211">
        <v>69</v>
      </c>
      <c r="BC211">
        <v>82</v>
      </c>
      <c r="BD211" t="s">
        <v>74</v>
      </c>
      <c r="BE211" t="s">
        <v>4450</v>
      </c>
      <c r="BF211" t="str">
        <f>HYPERLINK("http://dx.doi.org/10.1016/j.jsames.2016.04.009","http://dx.doi.org/10.1016/j.jsames.2016.04.009")</f>
        <v>http://dx.doi.org/10.1016/j.jsames.2016.04.009</v>
      </c>
      <c r="BG211" t="s">
        <v>74</v>
      </c>
      <c r="BH211" t="s">
        <v>74</v>
      </c>
      <c r="BI211">
        <v>14</v>
      </c>
      <c r="BJ211" t="s">
        <v>352</v>
      </c>
      <c r="BK211" t="s">
        <v>156</v>
      </c>
      <c r="BL211" t="s">
        <v>177</v>
      </c>
      <c r="BM211" t="s">
        <v>4451</v>
      </c>
      <c r="BN211" t="s">
        <v>74</v>
      </c>
      <c r="BO211" t="s">
        <v>1002</v>
      </c>
      <c r="BP211" t="s">
        <v>74</v>
      </c>
      <c r="BQ211" t="s">
        <v>74</v>
      </c>
      <c r="BR211" t="s">
        <v>105</v>
      </c>
      <c r="BS211" t="s">
        <v>4452</v>
      </c>
      <c r="BT211" t="str">
        <f>HYPERLINK("https%3A%2F%2Fwww.webofscience.com%2Fwos%2Fwoscc%2Ffull-record%2FWOS:000380593400006","View Full Record in Web of Science")</f>
        <v>View Full Record in Web of Science</v>
      </c>
    </row>
    <row r="212" spans="1:72" x14ac:dyDescent="0.15">
      <c r="A212" t="s">
        <v>72</v>
      </c>
      <c r="B212" t="s">
        <v>4453</v>
      </c>
      <c r="C212" t="s">
        <v>74</v>
      </c>
      <c r="D212" t="s">
        <v>74</v>
      </c>
      <c r="E212" t="s">
        <v>74</v>
      </c>
      <c r="F212" t="s">
        <v>4454</v>
      </c>
      <c r="G212" t="s">
        <v>74</v>
      </c>
      <c r="H212" t="s">
        <v>74</v>
      </c>
      <c r="I212" t="s">
        <v>4455</v>
      </c>
      <c r="J212" t="s">
        <v>4456</v>
      </c>
      <c r="K212" t="s">
        <v>74</v>
      </c>
      <c r="L212" t="s">
        <v>74</v>
      </c>
      <c r="M212" t="s">
        <v>78</v>
      </c>
      <c r="N212" t="s">
        <v>2730</v>
      </c>
      <c r="O212" t="s">
        <v>4457</v>
      </c>
      <c r="P212" t="s">
        <v>4458</v>
      </c>
      <c r="Q212" t="s">
        <v>4459</v>
      </c>
      <c r="R212" t="s">
        <v>74</v>
      </c>
      <c r="S212" t="s">
        <v>74</v>
      </c>
      <c r="T212" t="s">
        <v>4460</v>
      </c>
      <c r="U212" t="s">
        <v>4461</v>
      </c>
      <c r="V212" t="s">
        <v>4462</v>
      </c>
      <c r="W212" t="s">
        <v>4463</v>
      </c>
      <c r="X212" t="s">
        <v>4464</v>
      </c>
      <c r="Y212" t="s">
        <v>4465</v>
      </c>
      <c r="Z212" t="s">
        <v>3760</v>
      </c>
      <c r="AA212" t="s">
        <v>4466</v>
      </c>
      <c r="AB212" t="s">
        <v>4467</v>
      </c>
      <c r="AC212" t="s">
        <v>74</v>
      </c>
      <c r="AD212" t="s">
        <v>74</v>
      </c>
      <c r="AE212" t="s">
        <v>74</v>
      </c>
      <c r="AF212" t="s">
        <v>74</v>
      </c>
      <c r="AG212">
        <v>53</v>
      </c>
      <c r="AH212">
        <v>45</v>
      </c>
      <c r="AI212">
        <v>47</v>
      </c>
      <c r="AJ212">
        <v>1</v>
      </c>
      <c r="AK212">
        <v>39</v>
      </c>
      <c r="AL212" t="s">
        <v>474</v>
      </c>
      <c r="AM212" t="s">
        <v>304</v>
      </c>
      <c r="AN212" t="s">
        <v>475</v>
      </c>
      <c r="AO212" t="s">
        <v>4468</v>
      </c>
      <c r="AP212" t="s">
        <v>4469</v>
      </c>
      <c r="AQ212" t="s">
        <v>74</v>
      </c>
      <c r="AR212" t="s">
        <v>4470</v>
      </c>
      <c r="AS212" t="s">
        <v>4471</v>
      </c>
      <c r="AT212" t="s">
        <v>2218</v>
      </c>
      <c r="AU212">
        <v>2016</v>
      </c>
      <c r="AV212">
        <v>44</v>
      </c>
      <c r="AW212">
        <v>5</v>
      </c>
      <c r="AX212" t="s">
        <v>74</v>
      </c>
      <c r="AY212" t="s">
        <v>74</v>
      </c>
      <c r="AZ212" t="s">
        <v>74</v>
      </c>
      <c r="BA212" t="s">
        <v>74</v>
      </c>
      <c r="BB212">
        <v>673</v>
      </c>
      <c r="BC212">
        <v>685</v>
      </c>
      <c r="BD212" t="s">
        <v>74</v>
      </c>
      <c r="BE212" t="s">
        <v>4472</v>
      </c>
      <c r="BF212" t="str">
        <f>HYPERLINK("http://dx.doi.org/10.1016/j.geotexmem.2016.06.001","http://dx.doi.org/10.1016/j.geotexmem.2016.06.001")</f>
        <v>http://dx.doi.org/10.1016/j.geotexmem.2016.06.001</v>
      </c>
      <c r="BG212" t="s">
        <v>74</v>
      </c>
      <c r="BH212" t="s">
        <v>74</v>
      </c>
      <c r="BI212">
        <v>13</v>
      </c>
      <c r="BJ212" t="s">
        <v>4473</v>
      </c>
      <c r="BK212" t="s">
        <v>2548</v>
      </c>
      <c r="BL212" t="s">
        <v>4474</v>
      </c>
      <c r="BM212" t="s">
        <v>4475</v>
      </c>
      <c r="BN212" t="s">
        <v>74</v>
      </c>
      <c r="BO212" t="s">
        <v>74</v>
      </c>
      <c r="BP212" t="s">
        <v>74</v>
      </c>
      <c r="BQ212" t="s">
        <v>74</v>
      </c>
      <c r="BR212" t="s">
        <v>105</v>
      </c>
      <c r="BS212" t="s">
        <v>4476</v>
      </c>
      <c r="BT212" t="str">
        <f>HYPERLINK("https%3A%2F%2Fwww.webofscience.com%2Fwos%2Fwoscc%2Ffull-record%2FWOS:000380079300003","View Full Record in Web of Science")</f>
        <v>View Full Record in Web of Science</v>
      </c>
    </row>
    <row r="213" spans="1:72" x14ac:dyDescent="0.15">
      <c r="A213" t="s">
        <v>72</v>
      </c>
      <c r="B213" t="s">
        <v>4477</v>
      </c>
      <c r="C213" t="s">
        <v>74</v>
      </c>
      <c r="D213" t="s">
        <v>74</v>
      </c>
      <c r="E213" t="s">
        <v>74</v>
      </c>
      <c r="F213" t="s">
        <v>4478</v>
      </c>
      <c r="G213" t="s">
        <v>74</v>
      </c>
      <c r="H213" t="s">
        <v>74</v>
      </c>
      <c r="I213" t="s">
        <v>4479</v>
      </c>
      <c r="J213" t="s">
        <v>1293</v>
      </c>
      <c r="K213" t="s">
        <v>74</v>
      </c>
      <c r="L213" t="s">
        <v>74</v>
      </c>
      <c r="M213" t="s">
        <v>78</v>
      </c>
      <c r="N213" t="s">
        <v>79</v>
      </c>
      <c r="O213" t="s">
        <v>74</v>
      </c>
      <c r="P213" t="s">
        <v>74</v>
      </c>
      <c r="Q213" t="s">
        <v>74</v>
      </c>
      <c r="R213" t="s">
        <v>74</v>
      </c>
      <c r="S213" t="s">
        <v>74</v>
      </c>
      <c r="T213" t="s">
        <v>74</v>
      </c>
      <c r="U213" t="s">
        <v>4480</v>
      </c>
      <c r="V213" t="s">
        <v>4481</v>
      </c>
      <c r="W213" t="s">
        <v>4482</v>
      </c>
      <c r="X213" t="s">
        <v>4483</v>
      </c>
      <c r="Y213" t="s">
        <v>4484</v>
      </c>
      <c r="Z213" t="s">
        <v>4485</v>
      </c>
      <c r="AA213" t="s">
        <v>4486</v>
      </c>
      <c r="AB213" t="s">
        <v>4487</v>
      </c>
      <c r="AC213" t="s">
        <v>4488</v>
      </c>
      <c r="AD213" t="s">
        <v>4489</v>
      </c>
      <c r="AE213" t="s">
        <v>4490</v>
      </c>
      <c r="AF213" t="s">
        <v>74</v>
      </c>
      <c r="AG213">
        <v>37</v>
      </c>
      <c r="AH213">
        <v>12</v>
      </c>
      <c r="AI213">
        <v>12</v>
      </c>
      <c r="AJ213">
        <v>0</v>
      </c>
      <c r="AK213">
        <v>13</v>
      </c>
      <c r="AL213" t="s">
        <v>1305</v>
      </c>
      <c r="AM213" t="s">
        <v>1306</v>
      </c>
      <c r="AN213" t="s">
        <v>1307</v>
      </c>
      <c r="AO213" t="s">
        <v>1308</v>
      </c>
      <c r="AP213" t="s">
        <v>1309</v>
      </c>
      <c r="AQ213" t="s">
        <v>74</v>
      </c>
      <c r="AR213" t="s">
        <v>1293</v>
      </c>
      <c r="AS213" t="s">
        <v>1310</v>
      </c>
      <c r="AT213" t="s">
        <v>4491</v>
      </c>
      <c r="AU213">
        <v>2016</v>
      </c>
      <c r="AV213">
        <v>10</v>
      </c>
      <c r="AW213">
        <v>5</v>
      </c>
      <c r="AX213" t="s">
        <v>74</v>
      </c>
      <c r="AY213" t="s">
        <v>74</v>
      </c>
      <c r="AZ213" t="s">
        <v>74</v>
      </c>
      <c r="BA213" t="s">
        <v>74</v>
      </c>
      <c r="BB213">
        <v>2317</v>
      </c>
      <c r="BC213">
        <v>2328</v>
      </c>
      <c r="BD213" t="s">
        <v>74</v>
      </c>
      <c r="BE213" t="s">
        <v>4492</v>
      </c>
      <c r="BF213" t="str">
        <f>HYPERLINK("http://dx.doi.org/10.5194/tc-10-2317-2016","http://dx.doi.org/10.5194/tc-10-2317-2016")</f>
        <v>http://dx.doi.org/10.5194/tc-10-2317-2016</v>
      </c>
      <c r="BG213" t="s">
        <v>74</v>
      </c>
      <c r="BH213" t="s">
        <v>74</v>
      </c>
      <c r="BI213">
        <v>12</v>
      </c>
      <c r="BJ213" t="s">
        <v>203</v>
      </c>
      <c r="BK213" t="s">
        <v>156</v>
      </c>
      <c r="BL213" t="s">
        <v>204</v>
      </c>
      <c r="BM213" t="s">
        <v>4493</v>
      </c>
      <c r="BN213" t="s">
        <v>74</v>
      </c>
      <c r="BO213" t="s">
        <v>1314</v>
      </c>
      <c r="BP213" t="s">
        <v>74</v>
      </c>
      <c r="BQ213" t="s">
        <v>74</v>
      </c>
      <c r="BR213" t="s">
        <v>105</v>
      </c>
      <c r="BS213" t="s">
        <v>4494</v>
      </c>
      <c r="BT213" t="str">
        <f>HYPERLINK("https%3A%2F%2Fwww.webofscience.com%2Fwos%2Fwoscc%2Ffull-record%2FWOS:000385413800002","View Full Record in Web of Science")</f>
        <v>View Full Record in Web of Science</v>
      </c>
    </row>
    <row r="214" spans="1:72" x14ac:dyDescent="0.15">
      <c r="A214" t="s">
        <v>72</v>
      </c>
      <c r="B214" t="s">
        <v>4495</v>
      </c>
      <c r="C214" t="s">
        <v>74</v>
      </c>
      <c r="D214" t="s">
        <v>74</v>
      </c>
      <c r="E214" t="s">
        <v>74</v>
      </c>
      <c r="F214" t="s">
        <v>4496</v>
      </c>
      <c r="G214" t="s">
        <v>74</v>
      </c>
      <c r="H214" t="s">
        <v>74</v>
      </c>
      <c r="I214" t="s">
        <v>4497</v>
      </c>
      <c r="J214" t="s">
        <v>4498</v>
      </c>
      <c r="K214" t="s">
        <v>74</v>
      </c>
      <c r="L214" t="s">
        <v>74</v>
      </c>
      <c r="M214" t="s">
        <v>78</v>
      </c>
      <c r="N214" t="s">
        <v>79</v>
      </c>
      <c r="O214" t="s">
        <v>74</v>
      </c>
      <c r="P214" t="s">
        <v>74</v>
      </c>
      <c r="Q214" t="s">
        <v>74</v>
      </c>
      <c r="R214" t="s">
        <v>74</v>
      </c>
      <c r="S214" t="s">
        <v>74</v>
      </c>
      <c r="T214" t="s">
        <v>4499</v>
      </c>
      <c r="U214" t="s">
        <v>4500</v>
      </c>
      <c r="V214" t="s">
        <v>4501</v>
      </c>
      <c r="W214" t="s">
        <v>4502</v>
      </c>
      <c r="X214" t="s">
        <v>4503</v>
      </c>
      <c r="Y214" t="s">
        <v>4504</v>
      </c>
      <c r="Z214" t="s">
        <v>4505</v>
      </c>
      <c r="AA214" t="s">
        <v>4506</v>
      </c>
      <c r="AB214" t="s">
        <v>4507</v>
      </c>
      <c r="AC214" t="s">
        <v>4508</v>
      </c>
      <c r="AD214" t="s">
        <v>4509</v>
      </c>
      <c r="AE214" t="s">
        <v>4510</v>
      </c>
      <c r="AF214" t="s">
        <v>74</v>
      </c>
      <c r="AG214">
        <v>38</v>
      </c>
      <c r="AH214">
        <v>3</v>
      </c>
      <c r="AI214">
        <v>3</v>
      </c>
      <c r="AJ214">
        <v>0</v>
      </c>
      <c r="AK214">
        <v>3</v>
      </c>
      <c r="AL214" t="s">
        <v>1572</v>
      </c>
      <c r="AM214" t="s">
        <v>1573</v>
      </c>
      <c r="AN214" t="s">
        <v>1574</v>
      </c>
      <c r="AO214" t="s">
        <v>4511</v>
      </c>
      <c r="AP214" t="s">
        <v>4512</v>
      </c>
      <c r="AQ214" t="s">
        <v>74</v>
      </c>
      <c r="AR214" t="s">
        <v>4498</v>
      </c>
      <c r="AS214" t="s">
        <v>4513</v>
      </c>
      <c r="AT214" t="s">
        <v>4514</v>
      </c>
      <c r="AU214">
        <v>2016</v>
      </c>
      <c r="AV214">
        <v>4171</v>
      </c>
      <c r="AW214">
        <v>3</v>
      </c>
      <c r="AX214" t="s">
        <v>74</v>
      </c>
      <c r="AY214" t="s">
        <v>74</v>
      </c>
      <c r="AZ214" t="s">
        <v>74</v>
      </c>
      <c r="BA214" t="s">
        <v>74</v>
      </c>
      <c r="BB214">
        <v>595</v>
      </c>
      <c r="BC214">
        <v>600</v>
      </c>
      <c r="BD214" t="s">
        <v>74</v>
      </c>
      <c r="BE214" t="s">
        <v>4515</v>
      </c>
      <c r="BF214" t="str">
        <f>HYPERLINK("http://dx.doi.org/10.11646/zootaxa.4171.3.13","http://dx.doi.org/10.11646/zootaxa.4171.3.13")</f>
        <v>http://dx.doi.org/10.11646/zootaxa.4171.3.13</v>
      </c>
      <c r="BG214" t="s">
        <v>74</v>
      </c>
      <c r="BH214" t="s">
        <v>74</v>
      </c>
      <c r="BI214">
        <v>6</v>
      </c>
      <c r="BJ214" t="s">
        <v>3306</v>
      </c>
      <c r="BK214" t="s">
        <v>156</v>
      </c>
      <c r="BL214" t="s">
        <v>3306</v>
      </c>
      <c r="BM214" t="s">
        <v>4516</v>
      </c>
      <c r="BN214">
        <v>27701221</v>
      </c>
      <c r="BO214" t="s">
        <v>74</v>
      </c>
      <c r="BP214" t="s">
        <v>74</v>
      </c>
      <c r="BQ214" t="s">
        <v>74</v>
      </c>
      <c r="BR214" t="s">
        <v>105</v>
      </c>
      <c r="BS214" t="s">
        <v>4517</v>
      </c>
      <c r="BT214" t="str">
        <f>HYPERLINK("https%3A%2F%2Fwww.webofscience.com%2Fwos%2Fwoscc%2Ffull-record%2FWOS:000384113300013","View Full Record in Web of Science")</f>
        <v>View Full Record in Web of Science</v>
      </c>
    </row>
    <row r="215" spans="1:72" x14ac:dyDescent="0.15">
      <c r="A215" t="s">
        <v>72</v>
      </c>
      <c r="B215" t="s">
        <v>4518</v>
      </c>
      <c r="C215" t="s">
        <v>74</v>
      </c>
      <c r="D215" t="s">
        <v>74</v>
      </c>
      <c r="E215" t="s">
        <v>74</v>
      </c>
      <c r="F215" t="s">
        <v>4519</v>
      </c>
      <c r="G215" t="s">
        <v>74</v>
      </c>
      <c r="H215" t="s">
        <v>74</v>
      </c>
      <c r="I215" t="s">
        <v>4520</v>
      </c>
      <c r="J215" t="s">
        <v>1838</v>
      </c>
      <c r="K215" t="s">
        <v>74</v>
      </c>
      <c r="L215" t="s">
        <v>74</v>
      </c>
      <c r="M215" t="s">
        <v>78</v>
      </c>
      <c r="N215" t="s">
        <v>79</v>
      </c>
      <c r="O215" t="s">
        <v>74</v>
      </c>
      <c r="P215" t="s">
        <v>74</v>
      </c>
      <c r="Q215" t="s">
        <v>74</v>
      </c>
      <c r="R215" t="s">
        <v>74</v>
      </c>
      <c r="S215" t="s">
        <v>74</v>
      </c>
      <c r="T215" t="s">
        <v>74</v>
      </c>
      <c r="U215" t="s">
        <v>4521</v>
      </c>
      <c r="V215" t="s">
        <v>4522</v>
      </c>
      <c r="W215" t="s">
        <v>4523</v>
      </c>
      <c r="X215" t="s">
        <v>4524</v>
      </c>
      <c r="Y215" t="s">
        <v>4525</v>
      </c>
      <c r="Z215" t="s">
        <v>4526</v>
      </c>
      <c r="AA215" t="s">
        <v>4527</v>
      </c>
      <c r="AB215" t="s">
        <v>4528</v>
      </c>
      <c r="AC215" t="s">
        <v>4529</v>
      </c>
      <c r="AD215" t="s">
        <v>4530</v>
      </c>
      <c r="AE215" t="s">
        <v>4531</v>
      </c>
      <c r="AF215" t="s">
        <v>74</v>
      </c>
      <c r="AG215">
        <v>71</v>
      </c>
      <c r="AH215">
        <v>22</v>
      </c>
      <c r="AI215">
        <v>22</v>
      </c>
      <c r="AJ215">
        <v>0</v>
      </c>
      <c r="AK215">
        <v>35</v>
      </c>
      <c r="AL215" t="s">
        <v>1305</v>
      </c>
      <c r="AM215" t="s">
        <v>1306</v>
      </c>
      <c r="AN215" t="s">
        <v>1307</v>
      </c>
      <c r="AO215" t="s">
        <v>1850</v>
      </c>
      <c r="AP215" t="s">
        <v>1851</v>
      </c>
      <c r="AQ215" t="s">
        <v>74</v>
      </c>
      <c r="AR215" t="s">
        <v>1852</v>
      </c>
      <c r="AS215" t="s">
        <v>1853</v>
      </c>
      <c r="AT215" t="s">
        <v>4514</v>
      </c>
      <c r="AU215">
        <v>2016</v>
      </c>
      <c r="AV215">
        <v>12</v>
      </c>
      <c r="AW215">
        <v>9</v>
      </c>
      <c r="AX215" t="s">
        <v>74</v>
      </c>
      <c r="AY215" t="s">
        <v>74</v>
      </c>
      <c r="AZ215" t="s">
        <v>74</v>
      </c>
      <c r="BA215" t="s">
        <v>74</v>
      </c>
      <c r="BB215">
        <v>1919</v>
      </c>
      <c r="BC215">
        <v>1932</v>
      </c>
      <c r="BD215" t="s">
        <v>74</v>
      </c>
      <c r="BE215" t="s">
        <v>4532</v>
      </c>
      <c r="BF215" t="str">
        <f>HYPERLINK("http://dx.doi.org/10.5194/cp-12-1919-2016","http://dx.doi.org/10.5194/cp-12-1919-2016")</f>
        <v>http://dx.doi.org/10.5194/cp-12-1919-2016</v>
      </c>
      <c r="BG215" t="s">
        <v>74</v>
      </c>
      <c r="BH215" t="s">
        <v>74</v>
      </c>
      <c r="BI215">
        <v>14</v>
      </c>
      <c r="BJ215" t="s">
        <v>1336</v>
      </c>
      <c r="BK215" t="s">
        <v>156</v>
      </c>
      <c r="BL215" t="s">
        <v>1337</v>
      </c>
      <c r="BM215" t="s">
        <v>4533</v>
      </c>
      <c r="BN215" t="s">
        <v>74</v>
      </c>
      <c r="BO215" t="s">
        <v>4534</v>
      </c>
      <c r="BP215" t="s">
        <v>74</v>
      </c>
      <c r="BQ215" t="s">
        <v>74</v>
      </c>
      <c r="BR215" t="s">
        <v>105</v>
      </c>
      <c r="BS215" t="s">
        <v>4535</v>
      </c>
      <c r="BT215" t="str">
        <f>HYPERLINK("https%3A%2F%2Fwww.webofscience.com%2Fwos%2Fwoscc%2Ffull-record%2FWOS:000385443900001","View Full Record in Web of Science")</f>
        <v>View Full Record in Web of Science</v>
      </c>
    </row>
    <row r="216" spans="1:72" x14ac:dyDescent="0.15">
      <c r="A216" t="s">
        <v>72</v>
      </c>
      <c r="B216" t="s">
        <v>4536</v>
      </c>
      <c r="C216" t="s">
        <v>74</v>
      </c>
      <c r="D216" t="s">
        <v>74</v>
      </c>
      <c r="E216" t="s">
        <v>74</v>
      </c>
      <c r="F216" t="s">
        <v>4537</v>
      </c>
      <c r="G216" t="s">
        <v>74</v>
      </c>
      <c r="H216" t="s">
        <v>74</v>
      </c>
      <c r="I216" t="s">
        <v>4538</v>
      </c>
      <c r="J216" t="s">
        <v>1838</v>
      </c>
      <c r="K216" t="s">
        <v>74</v>
      </c>
      <c r="L216" t="s">
        <v>74</v>
      </c>
      <c r="M216" t="s">
        <v>78</v>
      </c>
      <c r="N216" t="s">
        <v>79</v>
      </c>
      <c r="O216" t="s">
        <v>74</v>
      </c>
      <c r="P216" t="s">
        <v>74</v>
      </c>
      <c r="Q216" t="s">
        <v>74</v>
      </c>
      <c r="R216" t="s">
        <v>74</v>
      </c>
      <c r="S216" t="s">
        <v>74</v>
      </c>
      <c r="T216" t="s">
        <v>74</v>
      </c>
      <c r="U216" t="s">
        <v>4539</v>
      </c>
      <c r="V216" t="s">
        <v>4540</v>
      </c>
      <c r="W216" t="s">
        <v>4541</v>
      </c>
      <c r="X216" t="s">
        <v>4542</v>
      </c>
      <c r="Y216" t="s">
        <v>4543</v>
      </c>
      <c r="Z216" t="s">
        <v>4544</v>
      </c>
      <c r="AA216" t="s">
        <v>4545</v>
      </c>
      <c r="AB216" t="s">
        <v>4546</v>
      </c>
      <c r="AC216" t="s">
        <v>4547</v>
      </c>
      <c r="AD216" t="s">
        <v>4548</v>
      </c>
      <c r="AE216" t="s">
        <v>4549</v>
      </c>
      <c r="AF216" t="s">
        <v>74</v>
      </c>
      <c r="AG216">
        <v>70</v>
      </c>
      <c r="AH216">
        <v>25</v>
      </c>
      <c r="AI216">
        <v>28</v>
      </c>
      <c r="AJ216">
        <v>0</v>
      </c>
      <c r="AK216">
        <v>36</v>
      </c>
      <c r="AL216" t="s">
        <v>1305</v>
      </c>
      <c r="AM216" t="s">
        <v>1306</v>
      </c>
      <c r="AN216" t="s">
        <v>1307</v>
      </c>
      <c r="AO216" t="s">
        <v>1850</v>
      </c>
      <c r="AP216" t="s">
        <v>1851</v>
      </c>
      <c r="AQ216" t="s">
        <v>74</v>
      </c>
      <c r="AR216" t="s">
        <v>1852</v>
      </c>
      <c r="AS216" t="s">
        <v>1853</v>
      </c>
      <c r="AT216" t="s">
        <v>4514</v>
      </c>
      <c r="AU216">
        <v>2016</v>
      </c>
      <c r="AV216">
        <v>12</v>
      </c>
      <c r="AW216">
        <v>9</v>
      </c>
      <c r="AX216" t="s">
        <v>74</v>
      </c>
      <c r="AY216" t="s">
        <v>74</v>
      </c>
      <c r="AZ216" t="s">
        <v>74</v>
      </c>
      <c r="BA216" t="s">
        <v>74</v>
      </c>
      <c r="BB216">
        <v>1933</v>
      </c>
      <c r="BC216">
        <v>1948</v>
      </c>
      <c r="BD216" t="s">
        <v>74</v>
      </c>
      <c r="BE216" t="s">
        <v>4550</v>
      </c>
      <c r="BF216" t="str">
        <f>HYPERLINK("http://dx.doi.org/10.5194/cp-12-1933-2016","http://dx.doi.org/10.5194/cp-12-1933-2016")</f>
        <v>http://dx.doi.org/10.5194/cp-12-1933-2016</v>
      </c>
      <c r="BG216" t="s">
        <v>74</v>
      </c>
      <c r="BH216" t="s">
        <v>74</v>
      </c>
      <c r="BI216">
        <v>16</v>
      </c>
      <c r="BJ216" t="s">
        <v>1336</v>
      </c>
      <c r="BK216" t="s">
        <v>156</v>
      </c>
      <c r="BL216" t="s">
        <v>1337</v>
      </c>
      <c r="BM216" t="s">
        <v>4533</v>
      </c>
      <c r="BN216" t="s">
        <v>74</v>
      </c>
      <c r="BO216" t="s">
        <v>4551</v>
      </c>
      <c r="BP216" t="s">
        <v>74</v>
      </c>
      <c r="BQ216" t="s">
        <v>74</v>
      </c>
      <c r="BR216" t="s">
        <v>105</v>
      </c>
      <c r="BS216" t="s">
        <v>4552</v>
      </c>
      <c r="BT216" t="str">
        <f>HYPERLINK("https%3A%2F%2Fwww.webofscience.com%2Fwos%2Fwoscc%2Ffull-record%2FWOS:000385443900002","View Full Record in Web of Science")</f>
        <v>View Full Record in Web of Science</v>
      </c>
    </row>
    <row r="217" spans="1:72" x14ac:dyDescent="0.15">
      <c r="A217" t="s">
        <v>72</v>
      </c>
      <c r="B217" t="s">
        <v>4553</v>
      </c>
      <c r="C217" t="s">
        <v>74</v>
      </c>
      <c r="D217" t="s">
        <v>74</v>
      </c>
      <c r="E217" t="s">
        <v>74</v>
      </c>
      <c r="F217" t="s">
        <v>4554</v>
      </c>
      <c r="G217" t="s">
        <v>74</v>
      </c>
      <c r="H217" t="s">
        <v>74</v>
      </c>
      <c r="I217" t="s">
        <v>4555</v>
      </c>
      <c r="J217" t="s">
        <v>4556</v>
      </c>
      <c r="K217" t="s">
        <v>74</v>
      </c>
      <c r="L217" t="s">
        <v>74</v>
      </c>
      <c r="M217" t="s">
        <v>78</v>
      </c>
      <c r="N217" t="s">
        <v>79</v>
      </c>
      <c r="O217" t="s">
        <v>74</v>
      </c>
      <c r="P217" t="s">
        <v>74</v>
      </c>
      <c r="Q217" t="s">
        <v>74</v>
      </c>
      <c r="R217" t="s">
        <v>74</v>
      </c>
      <c r="S217" t="s">
        <v>74</v>
      </c>
      <c r="T217" t="s">
        <v>4557</v>
      </c>
      <c r="U217" t="s">
        <v>4558</v>
      </c>
      <c r="V217" t="s">
        <v>4559</v>
      </c>
      <c r="W217" t="s">
        <v>4560</v>
      </c>
      <c r="X217" t="s">
        <v>4561</v>
      </c>
      <c r="Y217" t="s">
        <v>4562</v>
      </c>
      <c r="Z217" t="s">
        <v>4563</v>
      </c>
      <c r="AA217" t="s">
        <v>4564</v>
      </c>
      <c r="AB217" t="s">
        <v>4565</v>
      </c>
      <c r="AC217" t="s">
        <v>4566</v>
      </c>
      <c r="AD217" t="s">
        <v>4567</v>
      </c>
      <c r="AE217" t="s">
        <v>4568</v>
      </c>
      <c r="AF217" t="s">
        <v>74</v>
      </c>
      <c r="AG217">
        <v>90</v>
      </c>
      <c r="AH217">
        <v>23</v>
      </c>
      <c r="AI217">
        <v>23</v>
      </c>
      <c r="AJ217">
        <v>1</v>
      </c>
      <c r="AK217">
        <v>24</v>
      </c>
      <c r="AL217" t="s">
        <v>4569</v>
      </c>
      <c r="AM217" t="s">
        <v>4570</v>
      </c>
      <c r="AN217" t="s">
        <v>4571</v>
      </c>
      <c r="AO217" t="s">
        <v>4572</v>
      </c>
      <c r="AP217" t="s">
        <v>4573</v>
      </c>
      <c r="AQ217" t="s">
        <v>74</v>
      </c>
      <c r="AR217" t="s">
        <v>4574</v>
      </c>
      <c r="AS217" t="s">
        <v>4575</v>
      </c>
      <c r="AT217" t="s">
        <v>4576</v>
      </c>
      <c r="AU217">
        <v>2016</v>
      </c>
      <c r="AV217">
        <v>557</v>
      </c>
      <c r="AW217" t="s">
        <v>74</v>
      </c>
      <c r="AX217" t="s">
        <v>74</v>
      </c>
      <c r="AY217" t="s">
        <v>74</v>
      </c>
      <c r="AZ217" t="s">
        <v>74</v>
      </c>
      <c r="BA217" t="s">
        <v>74</v>
      </c>
      <c r="BB217">
        <v>91</v>
      </c>
      <c r="BC217">
        <v>110</v>
      </c>
      <c r="BD217" t="s">
        <v>74</v>
      </c>
      <c r="BE217" t="s">
        <v>4577</v>
      </c>
      <c r="BF217" t="str">
        <f>HYPERLINK("http://dx.doi.org/10.3354/meps11826","http://dx.doi.org/10.3354/meps11826")</f>
        <v>http://dx.doi.org/10.3354/meps11826</v>
      </c>
      <c r="BG217" t="s">
        <v>74</v>
      </c>
      <c r="BH217" t="s">
        <v>74</v>
      </c>
      <c r="BI217">
        <v>20</v>
      </c>
      <c r="BJ217" t="s">
        <v>4578</v>
      </c>
      <c r="BK217" t="s">
        <v>156</v>
      </c>
      <c r="BL217" t="s">
        <v>4579</v>
      </c>
      <c r="BM217" t="s">
        <v>4580</v>
      </c>
      <c r="BN217" t="s">
        <v>74</v>
      </c>
      <c r="BO217" t="s">
        <v>805</v>
      </c>
      <c r="BP217" t="s">
        <v>74</v>
      </c>
      <c r="BQ217" t="s">
        <v>74</v>
      </c>
      <c r="BR217" t="s">
        <v>105</v>
      </c>
      <c r="BS217" t="s">
        <v>4581</v>
      </c>
      <c r="BT217" t="str">
        <f>HYPERLINK("https%3A%2F%2Fwww.webofscience.com%2Fwos%2Fwoscc%2Ffull-record%2FWOS:000387114000007","View Full Record in Web of Science")</f>
        <v>View Full Record in Web of Science</v>
      </c>
    </row>
    <row r="218" spans="1:72" x14ac:dyDescent="0.15">
      <c r="A218" t="s">
        <v>72</v>
      </c>
      <c r="B218" t="s">
        <v>4582</v>
      </c>
      <c r="C218" t="s">
        <v>74</v>
      </c>
      <c r="D218" t="s">
        <v>74</v>
      </c>
      <c r="E218" t="s">
        <v>74</v>
      </c>
      <c r="F218" t="s">
        <v>4583</v>
      </c>
      <c r="G218" t="s">
        <v>74</v>
      </c>
      <c r="H218" t="s">
        <v>74</v>
      </c>
      <c r="I218" t="s">
        <v>4584</v>
      </c>
      <c r="J218" t="s">
        <v>1293</v>
      </c>
      <c r="K218" t="s">
        <v>74</v>
      </c>
      <c r="L218" t="s">
        <v>74</v>
      </c>
      <c r="M218" t="s">
        <v>78</v>
      </c>
      <c r="N218" t="s">
        <v>79</v>
      </c>
      <c r="O218" t="s">
        <v>74</v>
      </c>
      <c r="P218" t="s">
        <v>74</v>
      </c>
      <c r="Q218" t="s">
        <v>74</v>
      </c>
      <c r="R218" t="s">
        <v>74</v>
      </c>
      <c r="S218" t="s">
        <v>74</v>
      </c>
      <c r="T218" t="s">
        <v>74</v>
      </c>
      <c r="U218" t="s">
        <v>4585</v>
      </c>
      <c r="V218" t="s">
        <v>4586</v>
      </c>
      <c r="W218" t="s">
        <v>4587</v>
      </c>
      <c r="X218" t="s">
        <v>4588</v>
      </c>
      <c r="Y218" t="s">
        <v>4589</v>
      </c>
      <c r="Z218" t="s">
        <v>4590</v>
      </c>
      <c r="AA218" t="s">
        <v>4591</v>
      </c>
      <c r="AB218" t="s">
        <v>4592</v>
      </c>
      <c r="AC218" t="s">
        <v>4593</v>
      </c>
      <c r="AD218" t="s">
        <v>4593</v>
      </c>
      <c r="AE218" t="s">
        <v>4594</v>
      </c>
      <c r="AF218" t="s">
        <v>74</v>
      </c>
      <c r="AG218">
        <v>46</v>
      </c>
      <c r="AH218">
        <v>73</v>
      </c>
      <c r="AI218">
        <v>78</v>
      </c>
      <c r="AJ218">
        <v>0</v>
      </c>
      <c r="AK218">
        <v>11</v>
      </c>
      <c r="AL218" t="s">
        <v>1305</v>
      </c>
      <c r="AM218" t="s">
        <v>1306</v>
      </c>
      <c r="AN218" t="s">
        <v>1307</v>
      </c>
      <c r="AO218" t="s">
        <v>1308</v>
      </c>
      <c r="AP218" t="s">
        <v>1309</v>
      </c>
      <c r="AQ218" t="s">
        <v>74</v>
      </c>
      <c r="AR218" t="s">
        <v>1293</v>
      </c>
      <c r="AS218" t="s">
        <v>1310</v>
      </c>
      <c r="AT218" t="s">
        <v>4576</v>
      </c>
      <c r="AU218">
        <v>2016</v>
      </c>
      <c r="AV218">
        <v>10</v>
      </c>
      <c r="AW218">
        <v>5</v>
      </c>
      <c r="AX218" t="s">
        <v>74</v>
      </c>
      <c r="AY218" t="s">
        <v>74</v>
      </c>
      <c r="AZ218" t="s">
        <v>74</v>
      </c>
      <c r="BA218" t="s">
        <v>74</v>
      </c>
      <c r="BB218">
        <v>2275</v>
      </c>
      <c r="BC218">
        <v>2290</v>
      </c>
      <c r="BD218" t="s">
        <v>74</v>
      </c>
      <c r="BE218" t="s">
        <v>4595</v>
      </c>
      <c r="BF218" t="str">
        <f>HYPERLINK("http://dx.doi.org/10.5194/tc-10-2275-2016","http://dx.doi.org/10.5194/tc-10-2275-2016")</f>
        <v>http://dx.doi.org/10.5194/tc-10-2275-2016</v>
      </c>
      <c r="BG218" t="s">
        <v>74</v>
      </c>
      <c r="BH218" t="s">
        <v>74</v>
      </c>
      <c r="BI218">
        <v>16</v>
      </c>
      <c r="BJ218" t="s">
        <v>203</v>
      </c>
      <c r="BK218" t="s">
        <v>156</v>
      </c>
      <c r="BL218" t="s">
        <v>204</v>
      </c>
      <c r="BM218" t="s">
        <v>4596</v>
      </c>
      <c r="BN218" t="s">
        <v>74</v>
      </c>
      <c r="BO218" t="s">
        <v>1339</v>
      </c>
      <c r="BP218" t="s">
        <v>74</v>
      </c>
      <c r="BQ218" t="s">
        <v>74</v>
      </c>
      <c r="BR218" t="s">
        <v>105</v>
      </c>
      <c r="BS218" t="s">
        <v>4597</v>
      </c>
      <c r="BT218" t="str">
        <f>HYPERLINK("https%3A%2F%2Fwww.webofscience.com%2Fwos%2Fwoscc%2Ffull-record%2FWOS:000385413600001","View Full Record in Web of Science")</f>
        <v>View Full Record in Web of Science</v>
      </c>
    </row>
    <row r="219" spans="1:72" x14ac:dyDescent="0.15">
      <c r="A219" t="s">
        <v>72</v>
      </c>
      <c r="B219" t="s">
        <v>4598</v>
      </c>
      <c r="C219" t="s">
        <v>74</v>
      </c>
      <c r="D219" t="s">
        <v>74</v>
      </c>
      <c r="E219" t="s">
        <v>74</v>
      </c>
      <c r="F219" t="s">
        <v>4599</v>
      </c>
      <c r="G219" t="s">
        <v>74</v>
      </c>
      <c r="H219" t="s">
        <v>74</v>
      </c>
      <c r="I219" t="s">
        <v>4600</v>
      </c>
      <c r="J219" t="s">
        <v>1088</v>
      </c>
      <c r="K219" t="s">
        <v>74</v>
      </c>
      <c r="L219" t="s">
        <v>74</v>
      </c>
      <c r="M219" t="s">
        <v>78</v>
      </c>
      <c r="N219" t="s">
        <v>79</v>
      </c>
      <c r="O219" t="s">
        <v>74</v>
      </c>
      <c r="P219" t="s">
        <v>74</v>
      </c>
      <c r="Q219" t="s">
        <v>74</v>
      </c>
      <c r="R219" t="s">
        <v>74</v>
      </c>
      <c r="S219" t="s">
        <v>74</v>
      </c>
      <c r="T219" t="s">
        <v>74</v>
      </c>
      <c r="U219" t="s">
        <v>4601</v>
      </c>
      <c r="V219" t="s">
        <v>4602</v>
      </c>
      <c r="W219" t="s">
        <v>4603</v>
      </c>
      <c r="X219" t="s">
        <v>4604</v>
      </c>
      <c r="Y219" t="s">
        <v>4605</v>
      </c>
      <c r="Z219" t="s">
        <v>4606</v>
      </c>
      <c r="AA219" t="s">
        <v>4607</v>
      </c>
      <c r="AB219" t="s">
        <v>4608</v>
      </c>
      <c r="AC219" t="s">
        <v>4609</v>
      </c>
      <c r="AD219" t="s">
        <v>4609</v>
      </c>
      <c r="AE219" t="s">
        <v>4610</v>
      </c>
      <c r="AF219" t="s">
        <v>74</v>
      </c>
      <c r="AG219">
        <v>39</v>
      </c>
      <c r="AH219">
        <v>23</v>
      </c>
      <c r="AI219">
        <v>25</v>
      </c>
      <c r="AJ219">
        <v>2</v>
      </c>
      <c r="AK219">
        <v>23</v>
      </c>
      <c r="AL219" t="s">
        <v>149</v>
      </c>
      <c r="AM219" t="s">
        <v>123</v>
      </c>
      <c r="AN219" t="s">
        <v>150</v>
      </c>
      <c r="AO219" t="s">
        <v>1100</v>
      </c>
      <c r="AP219" t="s">
        <v>1101</v>
      </c>
      <c r="AQ219" t="s">
        <v>74</v>
      </c>
      <c r="AR219" t="s">
        <v>1102</v>
      </c>
      <c r="AS219" t="s">
        <v>1103</v>
      </c>
      <c r="AT219" t="s">
        <v>4576</v>
      </c>
      <c r="AU219">
        <v>2016</v>
      </c>
      <c r="AV219">
        <v>43</v>
      </c>
      <c r="AW219">
        <v>18</v>
      </c>
      <c r="AX219" t="s">
        <v>74</v>
      </c>
      <c r="AY219" t="s">
        <v>74</v>
      </c>
      <c r="AZ219" t="s">
        <v>74</v>
      </c>
      <c r="BA219" t="s">
        <v>74</v>
      </c>
      <c r="BB219">
        <v>9869</v>
      </c>
      <c r="BC219">
        <v>9876</v>
      </c>
      <c r="BD219" t="s">
        <v>74</v>
      </c>
      <c r="BE219" t="s">
        <v>4611</v>
      </c>
      <c r="BF219" t="str">
        <f>HYPERLINK("http://dx.doi.org/10.1002/2016GL070471","http://dx.doi.org/10.1002/2016GL070471")</f>
        <v>http://dx.doi.org/10.1002/2016GL070471</v>
      </c>
      <c r="BG219" t="s">
        <v>74</v>
      </c>
      <c r="BH219" t="s">
        <v>74</v>
      </c>
      <c r="BI219">
        <v>8</v>
      </c>
      <c r="BJ219" t="s">
        <v>352</v>
      </c>
      <c r="BK219" t="s">
        <v>156</v>
      </c>
      <c r="BL219" t="s">
        <v>177</v>
      </c>
      <c r="BM219" t="s">
        <v>4612</v>
      </c>
      <c r="BN219">
        <v>29551840</v>
      </c>
      <c r="BO219" t="s">
        <v>2822</v>
      </c>
      <c r="BP219" t="s">
        <v>74</v>
      </c>
      <c r="BQ219" t="s">
        <v>74</v>
      </c>
      <c r="BR219" t="s">
        <v>105</v>
      </c>
      <c r="BS219" t="s">
        <v>4613</v>
      </c>
      <c r="BT219" t="str">
        <f>HYPERLINK("https%3A%2F%2Fwww.webofscience.com%2Fwos%2Fwoscc%2Ffull-record%2FWOS:000385392900062","View Full Record in Web of Science")</f>
        <v>View Full Record in Web of Science</v>
      </c>
    </row>
    <row r="220" spans="1:72" x14ac:dyDescent="0.15">
      <c r="A220" t="s">
        <v>72</v>
      </c>
      <c r="B220" t="s">
        <v>4614</v>
      </c>
      <c r="C220" t="s">
        <v>74</v>
      </c>
      <c r="D220" t="s">
        <v>74</v>
      </c>
      <c r="E220" t="s">
        <v>74</v>
      </c>
      <c r="F220" t="s">
        <v>4615</v>
      </c>
      <c r="G220" t="s">
        <v>74</v>
      </c>
      <c r="H220" t="s">
        <v>74</v>
      </c>
      <c r="I220" t="s">
        <v>4616</v>
      </c>
      <c r="J220" t="s">
        <v>1088</v>
      </c>
      <c r="K220" t="s">
        <v>74</v>
      </c>
      <c r="L220" t="s">
        <v>74</v>
      </c>
      <c r="M220" t="s">
        <v>78</v>
      </c>
      <c r="N220" t="s">
        <v>79</v>
      </c>
      <c r="O220" t="s">
        <v>74</v>
      </c>
      <c r="P220" t="s">
        <v>74</v>
      </c>
      <c r="Q220" t="s">
        <v>74</v>
      </c>
      <c r="R220" t="s">
        <v>74</v>
      </c>
      <c r="S220" t="s">
        <v>74</v>
      </c>
      <c r="T220" t="s">
        <v>74</v>
      </c>
      <c r="U220" t="s">
        <v>4617</v>
      </c>
      <c r="V220" t="s">
        <v>4618</v>
      </c>
      <c r="W220" t="s">
        <v>4619</v>
      </c>
      <c r="X220" t="s">
        <v>4620</v>
      </c>
      <c r="Y220" t="s">
        <v>4621</v>
      </c>
      <c r="Z220" t="s">
        <v>4622</v>
      </c>
      <c r="AA220" t="s">
        <v>4623</v>
      </c>
      <c r="AB220" t="s">
        <v>4624</v>
      </c>
      <c r="AC220" t="s">
        <v>4625</v>
      </c>
      <c r="AD220" t="s">
        <v>4626</v>
      </c>
      <c r="AE220" t="s">
        <v>4627</v>
      </c>
      <c r="AF220" t="s">
        <v>74</v>
      </c>
      <c r="AG220">
        <v>38</v>
      </c>
      <c r="AH220">
        <v>18</v>
      </c>
      <c r="AI220">
        <v>21</v>
      </c>
      <c r="AJ220">
        <v>3</v>
      </c>
      <c r="AK220">
        <v>25</v>
      </c>
      <c r="AL220" t="s">
        <v>149</v>
      </c>
      <c r="AM220" t="s">
        <v>123</v>
      </c>
      <c r="AN220" t="s">
        <v>150</v>
      </c>
      <c r="AO220" t="s">
        <v>1100</v>
      </c>
      <c r="AP220" t="s">
        <v>1101</v>
      </c>
      <c r="AQ220" t="s">
        <v>74</v>
      </c>
      <c r="AR220" t="s">
        <v>1102</v>
      </c>
      <c r="AS220" t="s">
        <v>1103</v>
      </c>
      <c r="AT220" t="s">
        <v>4576</v>
      </c>
      <c r="AU220">
        <v>2016</v>
      </c>
      <c r="AV220">
        <v>43</v>
      </c>
      <c r="AW220">
        <v>18</v>
      </c>
      <c r="AX220" t="s">
        <v>74</v>
      </c>
      <c r="AY220" t="s">
        <v>74</v>
      </c>
      <c r="AZ220" t="s">
        <v>74</v>
      </c>
      <c r="BA220" t="s">
        <v>74</v>
      </c>
      <c r="BB220">
        <v>9913</v>
      </c>
      <c r="BC220">
        <v>9919</v>
      </c>
      <c r="BD220" t="s">
        <v>74</v>
      </c>
      <c r="BE220" t="s">
        <v>4628</v>
      </c>
      <c r="BF220" t="str">
        <f>HYPERLINK("http://dx.doi.org/10.1002/2016GL070203","http://dx.doi.org/10.1002/2016GL070203")</f>
        <v>http://dx.doi.org/10.1002/2016GL070203</v>
      </c>
      <c r="BG220" t="s">
        <v>74</v>
      </c>
      <c r="BH220" t="s">
        <v>74</v>
      </c>
      <c r="BI220">
        <v>7</v>
      </c>
      <c r="BJ220" t="s">
        <v>352</v>
      </c>
      <c r="BK220" t="s">
        <v>156</v>
      </c>
      <c r="BL220" t="s">
        <v>177</v>
      </c>
      <c r="BM220" t="s">
        <v>4612</v>
      </c>
      <c r="BN220" t="s">
        <v>74</v>
      </c>
      <c r="BO220" t="s">
        <v>258</v>
      </c>
      <c r="BP220" t="s">
        <v>74</v>
      </c>
      <c r="BQ220" t="s">
        <v>74</v>
      </c>
      <c r="BR220" t="s">
        <v>105</v>
      </c>
      <c r="BS220" t="s">
        <v>4629</v>
      </c>
      <c r="BT220" t="str">
        <f>HYPERLINK("https%3A%2F%2Fwww.webofscience.com%2Fwos%2Fwoscc%2Ffull-record%2FWOS:000385392900067","View Full Record in Web of Science")</f>
        <v>View Full Record in Web of Science</v>
      </c>
    </row>
    <row r="221" spans="1:72" x14ac:dyDescent="0.15">
      <c r="A221" t="s">
        <v>72</v>
      </c>
      <c r="B221" t="s">
        <v>4630</v>
      </c>
      <c r="C221" t="s">
        <v>74</v>
      </c>
      <c r="D221" t="s">
        <v>74</v>
      </c>
      <c r="E221" t="s">
        <v>74</v>
      </c>
      <c r="F221" t="s">
        <v>4631</v>
      </c>
      <c r="G221" t="s">
        <v>74</v>
      </c>
      <c r="H221" t="s">
        <v>74</v>
      </c>
      <c r="I221" t="s">
        <v>4632</v>
      </c>
      <c r="J221" t="s">
        <v>1242</v>
      </c>
      <c r="K221" t="s">
        <v>74</v>
      </c>
      <c r="L221" t="s">
        <v>74</v>
      </c>
      <c r="M221" t="s">
        <v>78</v>
      </c>
      <c r="N221" t="s">
        <v>79</v>
      </c>
      <c r="O221" t="s">
        <v>74</v>
      </c>
      <c r="P221" t="s">
        <v>74</v>
      </c>
      <c r="Q221" t="s">
        <v>74</v>
      </c>
      <c r="R221" t="s">
        <v>74</v>
      </c>
      <c r="S221" t="s">
        <v>74</v>
      </c>
      <c r="T221" t="s">
        <v>4633</v>
      </c>
      <c r="U221" t="s">
        <v>4634</v>
      </c>
      <c r="V221" t="s">
        <v>4635</v>
      </c>
      <c r="W221" t="s">
        <v>4636</v>
      </c>
      <c r="X221" t="s">
        <v>4637</v>
      </c>
      <c r="Y221" t="s">
        <v>4638</v>
      </c>
      <c r="Z221" t="s">
        <v>4639</v>
      </c>
      <c r="AA221" t="s">
        <v>74</v>
      </c>
      <c r="AB221" t="s">
        <v>4640</v>
      </c>
      <c r="AC221" t="s">
        <v>4641</v>
      </c>
      <c r="AD221" t="s">
        <v>2632</v>
      </c>
      <c r="AE221" t="s">
        <v>4642</v>
      </c>
      <c r="AF221" t="s">
        <v>74</v>
      </c>
      <c r="AG221">
        <v>61</v>
      </c>
      <c r="AH221">
        <v>10</v>
      </c>
      <c r="AI221">
        <v>10</v>
      </c>
      <c r="AJ221">
        <v>0</v>
      </c>
      <c r="AK221">
        <v>22</v>
      </c>
      <c r="AL221" t="s">
        <v>1255</v>
      </c>
      <c r="AM221" t="s">
        <v>1256</v>
      </c>
      <c r="AN221" t="s">
        <v>4643</v>
      </c>
      <c r="AO221" t="s">
        <v>1258</v>
      </c>
      <c r="AP221" t="s">
        <v>74</v>
      </c>
      <c r="AQ221" t="s">
        <v>74</v>
      </c>
      <c r="AR221" t="s">
        <v>1259</v>
      </c>
      <c r="AS221" t="s">
        <v>1260</v>
      </c>
      <c r="AT221" t="s">
        <v>4576</v>
      </c>
      <c r="AU221">
        <v>2016</v>
      </c>
      <c r="AV221">
        <v>7</v>
      </c>
      <c r="AW221" t="s">
        <v>74</v>
      </c>
      <c r="AX221" t="s">
        <v>74</v>
      </c>
      <c r="AY221" t="s">
        <v>74</v>
      </c>
      <c r="AZ221" t="s">
        <v>74</v>
      </c>
      <c r="BA221" t="s">
        <v>74</v>
      </c>
      <c r="BB221" t="s">
        <v>74</v>
      </c>
      <c r="BC221" t="s">
        <v>74</v>
      </c>
      <c r="BD221">
        <v>1534</v>
      </c>
      <c r="BE221" t="s">
        <v>4644</v>
      </c>
      <c r="BF221" t="str">
        <f>HYPERLINK("http://dx.doi.org/10.3389/fmicb.2016.01534","http://dx.doi.org/10.3389/fmicb.2016.01534")</f>
        <v>http://dx.doi.org/10.3389/fmicb.2016.01534</v>
      </c>
      <c r="BG221" t="s">
        <v>74</v>
      </c>
      <c r="BH221" t="s">
        <v>74</v>
      </c>
      <c r="BI221">
        <v>9</v>
      </c>
      <c r="BJ221" t="s">
        <v>130</v>
      </c>
      <c r="BK221" t="s">
        <v>156</v>
      </c>
      <c r="BL221" t="s">
        <v>130</v>
      </c>
      <c r="BM221" t="s">
        <v>4645</v>
      </c>
      <c r="BN221">
        <v>27733846</v>
      </c>
      <c r="BO221" t="s">
        <v>3908</v>
      </c>
      <c r="BP221" t="s">
        <v>74</v>
      </c>
      <c r="BQ221" t="s">
        <v>74</v>
      </c>
      <c r="BR221" t="s">
        <v>105</v>
      </c>
      <c r="BS221" t="s">
        <v>4646</v>
      </c>
      <c r="BT221" t="str">
        <f>HYPERLINK("https%3A%2F%2Fwww.webofscience.com%2Fwos%2Fwoscc%2Ffull-record%2FWOS:000384202100001","View Full Record in Web of Science")</f>
        <v>View Full Record in Web of Science</v>
      </c>
    </row>
    <row r="222" spans="1:72" x14ac:dyDescent="0.15">
      <c r="A222" t="s">
        <v>72</v>
      </c>
      <c r="B222" t="s">
        <v>4647</v>
      </c>
      <c r="C222" t="s">
        <v>74</v>
      </c>
      <c r="D222" t="s">
        <v>74</v>
      </c>
      <c r="E222" t="s">
        <v>74</v>
      </c>
      <c r="F222" t="s">
        <v>4648</v>
      </c>
      <c r="G222" t="s">
        <v>74</v>
      </c>
      <c r="H222" t="s">
        <v>74</v>
      </c>
      <c r="I222" t="s">
        <v>4649</v>
      </c>
      <c r="J222" t="s">
        <v>1860</v>
      </c>
      <c r="K222" t="s">
        <v>74</v>
      </c>
      <c r="L222" t="s">
        <v>74</v>
      </c>
      <c r="M222" t="s">
        <v>78</v>
      </c>
      <c r="N222" t="s">
        <v>79</v>
      </c>
      <c r="O222" t="s">
        <v>74</v>
      </c>
      <c r="P222" t="s">
        <v>74</v>
      </c>
      <c r="Q222" t="s">
        <v>74</v>
      </c>
      <c r="R222" t="s">
        <v>74</v>
      </c>
      <c r="S222" t="s">
        <v>74</v>
      </c>
      <c r="T222" t="s">
        <v>74</v>
      </c>
      <c r="U222" t="s">
        <v>4650</v>
      </c>
      <c r="V222" t="s">
        <v>4651</v>
      </c>
      <c r="W222" t="s">
        <v>4652</v>
      </c>
      <c r="X222" t="s">
        <v>4653</v>
      </c>
      <c r="Y222" t="s">
        <v>4654</v>
      </c>
      <c r="Z222" t="s">
        <v>4655</v>
      </c>
      <c r="AA222" t="s">
        <v>4656</v>
      </c>
      <c r="AB222" t="s">
        <v>4657</v>
      </c>
      <c r="AC222" t="s">
        <v>4658</v>
      </c>
      <c r="AD222" t="s">
        <v>4659</v>
      </c>
      <c r="AE222" t="s">
        <v>4660</v>
      </c>
      <c r="AF222" t="s">
        <v>74</v>
      </c>
      <c r="AG222">
        <v>79</v>
      </c>
      <c r="AH222">
        <v>52</v>
      </c>
      <c r="AI222">
        <v>53</v>
      </c>
      <c r="AJ222">
        <v>0</v>
      </c>
      <c r="AK222">
        <v>33</v>
      </c>
      <c r="AL222" t="s">
        <v>1305</v>
      </c>
      <c r="AM222" t="s">
        <v>1306</v>
      </c>
      <c r="AN222" t="s">
        <v>1307</v>
      </c>
      <c r="AO222" t="s">
        <v>1872</v>
      </c>
      <c r="AP222" t="s">
        <v>1873</v>
      </c>
      <c r="AQ222" t="s">
        <v>74</v>
      </c>
      <c r="AR222" t="s">
        <v>1874</v>
      </c>
      <c r="AS222" t="s">
        <v>1875</v>
      </c>
      <c r="AT222" t="s">
        <v>4576</v>
      </c>
      <c r="AU222">
        <v>2016</v>
      </c>
      <c r="AV222">
        <v>16</v>
      </c>
      <c r="AW222">
        <v>18</v>
      </c>
      <c r="AX222" t="s">
        <v>74</v>
      </c>
      <c r="AY222" t="s">
        <v>74</v>
      </c>
      <c r="AZ222" t="s">
        <v>74</v>
      </c>
      <c r="BA222" t="s">
        <v>74</v>
      </c>
      <c r="BB222">
        <v>12159</v>
      </c>
      <c r="BC222">
        <v>12176</v>
      </c>
      <c r="BD222" t="s">
        <v>74</v>
      </c>
      <c r="BE222" t="s">
        <v>4661</v>
      </c>
      <c r="BF222" t="str">
        <f>HYPERLINK("http://dx.doi.org/10.5194/acp-16-12159-2016","http://dx.doi.org/10.5194/acp-16-12159-2016")</f>
        <v>http://dx.doi.org/10.5194/acp-16-12159-2016</v>
      </c>
      <c r="BG222" t="s">
        <v>74</v>
      </c>
      <c r="BH222" t="s">
        <v>74</v>
      </c>
      <c r="BI222">
        <v>18</v>
      </c>
      <c r="BJ222" t="s">
        <v>1286</v>
      </c>
      <c r="BK222" t="s">
        <v>156</v>
      </c>
      <c r="BL222" t="s">
        <v>825</v>
      </c>
      <c r="BM222" t="s">
        <v>4662</v>
      </c>
      <c r="BN222" t="s">
        <v>74</v>
      </c>
      <c r="BO222" t="s">
        <v>1519</v>
      </c>
      <c r="BP222" t="s">
        <v>74</v>
      </c>
      <c r="BQ222" t="s">
        <v>74</v>
      </c>
      <c r="BR222" t="s">
        <v>105</v>
      </c>
      <c r="BS222" t="s">
        <v>4663</v>
      </c>
      <c r="BT222" t="str">
        <f>HYPERLINK("https%3A%2F%2Fwww.webofscience.com%2Fwos%2Fwoscc%2Ffull-record%2FWOS:000385376800004","View Full Record in Web of Science")</f>
        <v>View Full Record in Web of Science</v>
      </c>
    </row>
    <row r="223" spans="1:72" x14ac:dyDescent="0.15">
      <c r="A223" t="s">
        <v>72</v>
      </c>
      <c r="B223" t="s">
        <v>4664</v>
      </c>
      <c r="C223" t="s">
        <v>74</v>
      </c>
      <c r="D223" t="s">
        <v>74</v>
      </c>
      <c r="E223" t="s">
        <v>74</v>
      </c>
      <c r="F223" t="s">
        <v>4665</v>
      </c>
      <c r="G223" t="s">
        <v>74</v>
      </c>
      <c r="H223" t="s">
        <v>74</v>
      </c>
      <c r="I223" t="s">
        <v>4666</v>
      </c>
      <c r="J223" t="s">
        <v>2078</v>
      </c>
      <c r="K223" t="s">
        <v>74</v>
      </c>
      <c r="L223" t="s">
        <v>74</v>
      </c>
      <c r="M223" t="s">
        <v>78</v>
      </c>
      <c r="N223" t="s">
        <v>79</v>
      </c>
      <c r="O223" t="s">
        <v>74</v>
      </c>
      <c r="P223" t="s">
        <v>74</v>
      </c>
      <c r="Q223" t="s">
        <v>74</v>
      </c>
      <c r="R223" t="s">
        <v>74</v>
      </c>
      <c r="S223" t="s">
        <v>74</v>
      </c>
      <c r="T223" t="s">
        <v>74</v>
      </c>
      <c r="U223" t="s">
        <v>4667</v>
      </c>
      <c r="V223" t="s">
        <v>4668</v>
      </c>
      <c r="W223" t="s">
        <v>4669</v>
      </c>
      <c r="X223" t="s">
        <v>4670</v>
      </c>
      <c r="Y223" t="s">
        <v>4671</v>
      </c>
      <c r="Z223" t="s">
        <v>4672</v>
      </c>
      <c r="AA223" t="s">
        <v>4673</v>
      </c>
      <c r="AB223" t="s">
        <v>4674</v>
      </c>
      <c r="AC223" t="s">
        <v>4675</v>
      </c>
      <c r="AD223" t="s">
        <v>4676</v>
      </c>
      <c r="AE223" t="s">
        <v>4677</v>
      </c>
      <c r="AF223" t="s">
        <v>74</v>
      </c>
      <c r="AG223">
        <v>57</v>
      </c>
      <c r="AH223">
        <v>38</v>
      </c>
      <c r="AI223">
        <v>42</v>
      </c>
      <c r="AJ223">
        <v>0</v>
      </c>
      <c r="AK223">
        <v>37</v>
      </c>
      <c r="AL223" t="s">
        <v>574</v>
      </c>
      <c r="AM223" t="s">
        <v>575</v>
      </c>
      <c r="AN223" t="s">
        <v>576</v>
      </c>
      <c r="AO223" t="s">
        <v>2090</v>
      </c>
      <c r="AP223" t="s">
        <v>74</v>
      </c>
      <c r="AQ223" t="s">
        <v>74</v>
      </c>
      <c r="AR223" t="s">
        <v>2091</v>
      </c>
      <c r="AS223" t="s">
        <v>2092</v>
      </c>
      <c r="AT223" t="s">
        <v>4576</v>
      </c>
      <c r="AU223">
        <v>2016</v>
      </c>
      <c r="AV223">
        <v>6</v>
      </c>
      <c r="AW223" t="s">
        <v>74</v>
      </c>
      <c r="AX223" t="s">
        <v>74</v>
      </c>
      <c r="AY223" t="s">
        <v>74</v>
      </c>
      <c r="AZ223" t="s">
        <v>74</v>
      </c>
      <c r="BA223" t="s">
        <v>74</v>
      </c>
      <c r="BB223" t="s">
        <v>74</v>
      </c>
      <c r="BC223" t="s">
        <v>74</v>
      </c>
      <c r="BD223">
        <v>34263</v>
      </c>
      <c r="BE223" t="s">
        <v>4678</v>
      </c>
      <c r="BF223" t="str">
        <f>HYPERLINK("http://dx.doi.org/10.1038/srep34263","http://dx.doi.org/10.1038/srep34263")</f>
        <v>http://dx.doi.org/10.1038/srep34263</v>
      </c>
      <c r="BG223" t="s">
        <v>74</v>
      </c>
      <c r="BH223" t="s">
        <v>74</v>
      </c>
      <c r="BI223">
        <v>11</v>
      </c>
      <c r="BJ223" t="s">
        <v>719</v>
      </c>
      <c r="BK223" t="s">
        <v>156</v>
      </c>
      <c r="BL223" t="s">
        <v>720</v>
      </c>
      <c r="BM223" t="s">
        <v>4679</v>
      </c>
      <c r="BN223">
        <v>27677230</v>
      </c>
      <c r="BO223" t="s">
        <v>133</v>
      </c>
      <c r="BP223" t="s">
        <v>74</v>
      </c>
      <c r="BQ223" t="s">
        <v>74</v>
      </c>
      <c r="BR223" t="s">
        <v>105</v>
      </c>
      <c r="BS223" t="s">
        <v>4680</v>
      </c>
      <c r="BT223" t="str">
        <f>HYPERLINK("https%3A%2F%2Fwww.webofscience.com%2Fwos%2Fwoscc%2Ffull-record%2FWOS:000384119300001","View Full Record in Web of Science")</f>
        <v>View Full Record in Web of Science</v>
      </c>
    </row>
    <row r="224" spans="1:72" x14ac:dyDescent="0.15">
      <c r="A224" t="s">
        <v>72</v>
      </c>
      <c r="B224" t="s">
        <v>4681</v>
      </c>
      <c r="C224" t="s">
        <v>74</v>
      </c>
      <c r="D224" t="s">
        <v>74</v>
      </c>
      <c r="E224" t="s">
        <v>74</v>
      </c>
      <c r="F224" t="s">
        <v>4682</v>
      </c>
      <c r="G224" t="s">
        <v>74</v>
      </c>
      <c r="H224" t="s">
        <v>74</v>
      </c>
      <c r="I224" t="s">
        <v>4683</v>
      </c>
      <c r="J224" t="s">
        <v>4684</v>
      </c>
      <c r="K224" t="s">
        <v>74</v>
      </c>
      <c r="L224" t="s">
        <v>74</v>
      </c>
      <c r="M224" t="s">
        <v>78</v>
      </c>
      <c r="N224" t="s">
        <v>79</v>
      </c>
      <c r="O224" t="s">
        <v>74</v>
      </c>
      <c r="P224" t="s">
        <v>74</v>
      </c>
      <c r="Q224" t="s">
        <v>74</v>
      </c>
      <c r="R224" t="s">
        <v>74</v>
      </c>
      <c r="S224" t="s">
        <v>74</v>
      </c>
      <c r="T224" t="s">
        <v>4685</v>
      </c>
      <c r="U224" t="s">
        <v>4686</v>
      </c>
      <c r="V224" t="s">
        <v>4687</v>
      </c>
      <c r="W224" t="s">
        <v>4688</v>
      </c>
      <c r="X224" t="s">
        <v>4689</v>
      </c>
      <c r="Y224" t="s">
        <v>4690</v>
      </c>
      <c r="Z224" t="s">
        <v>4691</v>
      </c>
      <c r="AA224" t="s">
        <v>4692</v>
      </c>
      <c r="AB224" t="s">
        <v>4693</v>
      </c>
      <c r="AC224" t="s">
        <v>4694</v>
      </c>
      <c r="AD224" t="s">
        <v>4694</v>
      </c>
      <c r="AE224" t="s">
        <v>4695</v>
      </c>
      <c r="AF224" t="s">
        <v>74</v>
      </c>
      <c r="AG224">
        <v>51</v>
      </c>
      <c r="AH224">
        <v>4</v>
      </c>
      <c r="AI224">
        <v>4</v>
      </c>
      <c r="AJ224">
        <v>0</v>
      </c>
      <c r="AK224">
        <v>25</v>
      </c>
      <c r="AL224" t="s">
        <v>371</v>
      </c>
      <c r="AM224" t="s">
        <v>372</v>
      </c>
      <c r="AN224" t="s">
        <v>373</v>
      </c>
      <c r="AO224" t="s">
        <v>4696</v>
      </c>
      <c r="AP224" t="s">
        <v>4697</v>
      </c>
      <c r="AQ224" t="s">
        <v>74</v>
      </c>
      <c r="AR224" t="s">
        <v>4698</v>
      </c>
      <c r="AS224" t="s">
        <v>4699</v>
      </c>
      <c r="AT224" t="s">
        <v>4700</v>
      </c>
      <c r="AU224">
        <v>2016</v>
      </c>
      <c r="AV224">
        <v>97</v>
      </c>
      <c r="AW224">
        <v>5</v>
      </c>
      <c r="AX224" t="s">
        <v>74</v>
      </c>
      <c r="AY224" t="s">
        <v>74</v>
      </c>
      <c r="AZ224" t="s">
        <v>74</v>
      </c>
      <c r="BA224" t="s">
        <v>74</v>
      </c>
      <c r="BB224">
        <v>1304</v>
      </c>
      <c r="BC224">
        <v>1311</v>
      </c>
      <c r="BD224" t="s">
        <v>74</v>
      </c>
      <c r="BE224" t="s">
        <v>4701</v>
      </c>
      <c r="BF224" t="str">
        <f>HYPERLINK("http://dx.doi.org/10.1093/jmammal/gyw106","http://dx.doi.org/10.1093/jmammal/gyw106")</f>
        <v>http://dx.doi.org/10.1093/jmammal/gyw106</v>
      </c>
      <c r="BG224" t="s">
        <v>74</v>
      </c>
      <c r="BH224" t="s">
        <v>74</v>
      </c>
      <c r="BI224">
        <v>8</v>
      </c>
      <c r="BJ224" t="s">
        <v>3306</v>
      </c>
      <c r="BK224" t="s">
        <v>156</v>
      </c>
      <c r="BL224" t="s">
        <v>3306</v>
      </c>
      <c r="BM224" t="s">
        <v>4702</v>
      </c>
      <c r="BN224" t="s">
        <v>74</v>
      </c>
      <c r="BO224" t="s">
        <v>258</v>
      </c>
      <c r="BP224" t="s">
        <v>74</v>
      </c>
      <c r="BQ224" t="s">
        <v>74</v>
      </c>
      <c r="BR224" t="s">
        <v>105</v>
      </c>
      <c r="BS224" t="s">
        <v>4703</v>
      </c>
      <c r="BT224" t="str">
        <f>HYPERLINK("https%3A%2F%2Fwww.webofscience.com%2Fwos%2Fwoscc%2Ffull-record%2FWOS:000385628300006","View Full Record in Web of Science")</f>
        <v>View Full Record in Web of Science</v>
      </c>
    </row>
    <row r="225" spans="1:72" x14ac:dyDescent="0.15">
      <c r="A225" t="s">
        <v>72</v>
      </c>
      <c r="B225" t="s">
        <v>4704</v>
      </c>
      <c r="C225" t="s">
        <v>74</v>
      </c>
      <c r="D225" t="s">
        <v>74</v>
      </c>
      <c r="E225" t="s">
        <v>74</v>
      </c>
      <c r="F225" t="s">
        <v>4705</v>
      </c>
      <c r="G225" t="s">
        <v>74</v>
      </c>
      <c r="H225" t="s">
        <v>74</v>
      </c>
      <c r="I225" t="s">
        <v>4706</v>
      </c>
      <c r="J225" t="s">
        <v>2512</v>
      </c>
      <c r="K225" t="s">
        <v>74</v>
      </c>
      <c r="L225" t="s">
        <v>74</v>
      </c>
      <c r="M225" t="s">
        <v>78</v>
      </c>
      <c r="N225" t="s">
        <v>79</v>
      </c>
      <c r="O225" t="s">
        <v>74</v>
      </c>
      <c r="P225" t="s">
        <v>74</v>
      </c>
      <c r="Q225" t="s">
        <v>74</v>
      </c>
      <c r="R225" t="s">
        <v>74</v>
      </c>
      <c r="S225" t="s">
        <v>74</v>
      </c>
      <c r="T225" t="s">
        <v>4707</v>
      </c>
      <c r="U225" t="s">
        <v>4708</v>
      </c>
      <c r="V225" t="s">
        <v>4709</v>
      </c>
      <c r="W225" t="s">
        <v>4710</v>
      </c>
      <c r="X225" t="s">
        <v>4711</v>
      </c>
      <c r="Y225" t="s">
        <v>4712</v>
      </c>
      <c r="Z225" t="s">
        <v>4713</v>
      </c>
      <c r="AA225" t="s">
        <v>4714</v>
      </c>
      <c r="AB225" t="s">
        <v>4715</v>
      </c>
      <c r="AC225" t="s">
        <v>4716</v>
      </c>
      <c r="AD225" t="s">
        <v>4717</v>
      </c>
      <c r="AE225" t="s">
        <v>4718</v>
      </c>
      <c r="AF225" t="s">
        <v>74</v>
      </c>
      <c r="AG225">
        <v>55</v>
      </c>
      <c r="AH225">
        <v>25</v>
      </c>
      <c r="AI225">
        <v>25</v>
      </c>
      <c r="AJ225">
        <v>0</v>
      </c>
      <c r="AK225">
        <v>26</v>
      </c>
      <c r="AL225" t="s">
        <v>149</v>
      </c>
      <c r="AM225" t="s">
        <v>123</v>
      </c>
      <c r="AN225" t="s">
        <v>150</v>
      </c>
      <c r="AO225" t="s">
        <v>2525</v>
      </c>
      <c r="AP225" t="s">
        <v>2526</v>
      </c>
      <c r="AQ225" t="s">
        <v>74</v>
      </c>
      <c r="AR225" t="s">
        <v>2527</v>
      </c>
      <c r="AS225" t="s">
        <v>2528</v>
      </c>
      <c r="AT225" t="s">
        <v>4700</v>
      </c>
      <c r="AU225">
        <v>2016</v>
      </c>
      <c r="AV225">
        <v>121</v>
      </c>
      <c r="AW225">
        <v>18</v>
      </c>
      <c r="AX225" t="s">
        <v>74</v>
      </c>
      <c r="AY225" t="s">
        <v>74</v>
      </c>
      <c r="AZ225" t="s">
        <v>74</v>
      </c>
      <c r="BA225" t="s">
        <v>74</v>
      </c>
      <c r="BB225">
        <v>10411</v>
      </c>
      <c r="BC225">
        <v>10431</v>
      </c>
      <c r="BD225" t="s">
        <v>74</v>
      </c>
      <c r="BE225" t="s">
        <v>4719</v>
      </c>
      <c r="BF225" t="str">
        <f>HYPERLINK("http://dx.doi.org/10.1002/2015JD024507","http://dx.doi.org/10.1002/2015JD024507")</f>
        <v>http://dx.doi.org/10.1002/2015JD024507</v>
      </c>
      <c r="BG225" t="s">
        <v>74</v>
      </c>
      <c r="BH225" t="s">
        <v>74</v>
      </c>
      <c r="BI225">
        <v>21</v>
      </c>
      <c r="BJ225" t="s">
        <v>2482</v>
      </c>
      <c r="BK225" t="s">
        <v>156</v>
      </c>
      <c r="BL225" t="s">
        <v>2482</v>
      </c>
      <c r="BM225" t="s">
        <v>4720</v>
      </c>
      <c r="BN225" t="s">
        <v>74</v>
      </c>
      <c r="BO225" t="s">
        <v>459</v>
      </c>
      <c r="BP225" t="s">
        <v>74</v>
      </c>
      <c r="BQ225" t="s">
        <v>74</v>
      </c>
      <c r="BR225" t="s">
        <v>105</v>
      </c>
      <c r="BS225" t="s">
        <v>4721</v>
      </c>
      <c r="BT225" t="str">
        <f>HYPERLINK("https%3A%2F%2Fwww.webofscience.com%2Fwos%2Fwoscc%2Ffull-record%2FWOS:000385836000014","View Full Record in Web of Science")</f>
        <v>View Full Record in Web of Science</v>
      </c>
    </row>
    <row r="226" spans="1:72" x14ac:dyDescent="0.15">
      <c r="A226" t="s">
        <v>72</v>
      </c>
      <c r="B226" t="s">
        <v>4722</v>
      </c>
      <c r="C226" t="s">
        <v>74</v>
      </c>
      <c r="D226" t="s">
        <v>74</v>
      </c>
      <c r="E226" t="s">
        <v>74</v>
      </c>
      <c r="F226" t="s">
        <v>4723</v>
      </c>
      <c r="G226" t="s">
        <v>74</v>
      </c>
      <c r="H226" t="s">
        <v>74</v>
      </c>
      <c r="I226" t="s">
        <v>4724</v>
      </c>
      <c r="J226" t="s">
        <v>2078</v>
      </c>
      <c r="K226" t="s">
        <v>74</v>
      </c>
      <c r="L226" t="s">
        <v>74</v>
      </c>
      <c r="M226" t="s">
        <v>78</v>
      </c>
      <c r="N226" t="s">
        <v>79</v>
      </c>
      <c r="O226" t="s">
        <v>74</v>
      </c>
      <c r="P226" t="s">
        <v>74</v>
      </c>
      <c r="Q226" t="s">
        <v>74</v>
      </c>
      <c r="R226" t="s">
        <v>74</v>
      </c>
      <c r="S226" t="s">
        <v>74</v>
      </c>
      <c r="T226" t="s">
        <v>74</v>
      </c>
      <c r="U226" t="s">
        <v>4725</v>
      </c>
      <c r="V226" t="s">
        <v>4726</v>
      </c>
      <c r="W226" t="s">
        <v>4727</v>
      </c>
      <c r="X226" t="s">
        <v>4728</v>
      </c>
      <c r="Y226" t="s">
        <v>4729</v>
      </c>
      <c r="Z226" t="s">
        <v>4730</v>
      </c>
      <c r="AA226" t="s">
        <v>4731</v>
      </c>
      <c r="AB226" t="s">
        <v>4732</v>
      </c>
      <c r="AC226" t="s">
        <v>4733</v>
      </c>
      <c r="AD226" t="s">
        <v>4734</v>
      </c>
      <c r="AE226" t="s">
        <v>4735</v>
      </c>
      <c r="AF226" t="s">
        <v>74</v>
      </c>
      <c r="AG226">
        <v>72</v>
      </c>
      <c r="AH226">
        <v>24</v>
      </c>
      <c r="AI226">
        <v>29</v>
      </c>
      <c r="AJ226">
        <v>2</v>
      </c>
      <c r="AK226">
        <v>38</v>
      </c>
      <c r="AL226" t="s">
        <v>574</v>
      </c>
      <c r="AM226" t="s">
        <v>575</v>
      </c>
      <c r="AN226" t="s">
        <v>576</v>
      </c>
      <c r="AO226" t="s">
        <v>2090</v>
      </c>
      <c r="AP226" t="s">
        <v>74</v>
      </c>
      <c r="AQ226" t="s">
        <v>74</v>
      </c>
      <c r="AR226" t="s">
        <v>2091</v>
      </c>
      <c r="AS226" t="s">
        <v>2092</v>
      </c>
      <c r="AT226" t="s">
        <v>4736</v>
      </c>
      <c r="AU226">
        <v>2016</v>
      </c>
      <c r="AV226">
        <v>6</v>
      </c>
      <c r="AW226" t="s">
        <v>74</v>
      </c>
      <c r="AX226" t="s">
        <v>74</v>
      </c>
      <c r="AY226" t="s">
        <v>74</v>
      </c>
      <c r="AZ226" t="s">
        <v>74</v>
      </c>
      <c r="BA226" t="s">
        <v>74</v>
      </c>
      <c r="BB226" t="s">
        <v>74</v>
      </c>
      <c r="BC226" t="s">
        <v>74</v>
      </c>
      <c r="BD226">
        <v>33912</v>
      </c>
      <c r="BE226" t="s">
        <v>4737</v>
      </c>
      <c r="BF226" t="str">
        <f>HYPERLINK("http://dx.doi.org/10.1038/srep33912","http://dx.doi.org/10.1038/srep33912")</f>
        <v>http://dx.doi.org/10.1038/srep33912</v>
      </c>
      <c r="BG226" t="s">
        <v>74</v>
      </c>
      <c r="BH226" t="s">
        <v>74</v>
      </c>
      <c r="BI226">
        <v>12</v>
      </c>
      <c r="BJ226" t="s">
        <v>719</v>
      </c>
      <c r="BK226" t="s">
        <v>156</v>
      </c>
      <c r="BL226" t="s">
        <v>720</v>
      </c>
      <c r="BM226" t="s">
        <v>4738</v>
      </c>
      <c r="BN226">
        <v>27658718</v>
      </c>
      <c r="BO226" t="s">
        <v>133</v>
      </c>
      <c r="BP226" t="s">
        <v>74</v>
      </c>
      <c r="BQ226" t="s">
        <v>74</v>
      </c>
      <c r="BR226" t="s">
        <v>105</v>
      </c>
      <c r="BS226" t="s">
        <v>4739</v>
      </c>
      <c r="BT226" t="str">
        <f>HYPERLINK("https%3A%2F%2Fwww.webofscience.com%2Fwos%2Fwoscc%2Ffull-record%2FWOS:000384064000001","View Full Record in Web of Science")</f>
        <v>View Full Record in Web of Science</v>
      </c>
    </row>
    <row r="227" spans="1:72" x14ac:dyDescent="0.15">
      <c r="A227" t="s">
        <v>72</v>
      </c>
      <c r="B227" t="s">
        <v>4740</v>
      </c>
      <c r="C227" t="s">
        <v>74</v>
      </c>
      <c r="D227" t="s">
        <v>74</v>
      </c>
      <c r="E227" t="s">
        <v>74</v>
      </c>
      <c r="F227" t="s">
        <v>4741</v>
      </c>
      <c r="G227" t="s">
        <v>74</v>
      </c>
      <c r="H227" t="s">
        <v>1240</v>
      </c>
      <c r="I227" t="s">
        <v>4742</v>
      </c>
      <c r="J227" t="s">
        <v>1242</v>
      </c>
      <c r="K227" t="s">
        <v>74</v>
      </c>
      <c r="L227" t="s">
        <v>74</v>
      </c>
      <c r="M227" t="s">
        <v>78</v>
      </c>
      <c r="N227" t="s">
        <v>79</v>
      </c>
      <c r="O227" t="s">
        <v>74</v>
      </c>
      <c r="P227" t="s">
        <v>74</v>
      </c>
      <c r="Q227" t="s">
        <v>74</v>
      </c>
      <c r="R227" t="s">
        <v>74</v>
      </c>
      <c r="S227" t="s">
        <v>74</v>
      </c>
      <c r="T227" t="s">
        <v>4743</v>
      </c>
      <c r="U227" t="s">
        <v>4744</v>
      </c>
      <c r="V227" t="s">
        <v>4745</v>
      </c>
      <c r="W227" t="s">
        <v>4746</v>
      </c>
      <c r="X227" t="s">
        <v>4747</v>
      </c>
      <c r="Y227" t="s">
        <v>4748</v>
      </c>
      <c r="Z227" t="s">
        <v>4749</v>
      </c>
      <c r="AA227" t="s">
        <v>4750</v>
      </c>
      <c r="AB227" t="s">
        <v>4751</v>
      </c>
      <c r="AC227" t="s">
        <v>4752</v>
      </c>
      <c r="AD227" t="s">
        <v>4753</v>
      </c>
      <c r="AE227" t="s">
        <v>4754</v>
      </c>
      <c r="AF227" t="s">
        <v>74</v>
      </c>
      <c r="AG227">
        <v>84</v>
      </c>
      <c r="AH227">
        <v>32</v>
      </c>
      <c r="AI227">
        <v>33</v>
      </c>
      <c r="AJ227">
        <v>0</v>
      </c>
      <c r="AK227">
        <v>75</v>
      </c>
      <c r="AL227" t="s">
        <v>1255</v>
      </c>
      <c r="AM227" t="s">
        <v>1256</v>
      </c>
      <c r="AN227" t="s">
        <v>4643</v>
      </c>
      <c r="AO227" t="s">
        <v>74</v>
      </c>
      <c r="AP227" t="s">
        <v>1258</v>
      </c>
      <c r="AQ227" t="s">
        <v>74</v>
      </c>
      <c r="AR227" t="s">
        <v>1259</v>
      </c>
      <c r="AS227" t="s">
        <v>1260</v>
      </c>
      <c r="AT227" t="s">
        <v>4755</v>
      </c>
      <c r="AU227">
        <v>2016</v>
      </c>
      <c r="AV227">
        <v>7</v>
      </c>
      <c r="AW227" t="s">
        <v>74</v>
      </c>
      <c r="AX227" t="s">
        <v>74</v>
      </c>
      <c r="AY227" t="s">
        <v>74</v>
      </c>
      <c r="AZ227" t="s">
        <v>74</v>
      </c>
      <c r="BA227" t="s">
        <v>74</v>
      </c>
      <c r="BB227" t="s">
        <v>74</v>
      </c>
      <c r="BC227" t="s">
        <v>74</v>
      </c>
      <c r="BD227">
        <v>1457</v>
      </c>
      <c r="BE227" t="s">
        <v>4756</v>
      </c>
      <c r="BF227" t="str">
        <f>HYPERLINK("http://dx.doi.org/10.3389/fmicb.2016.01457","http://dx.doi.org/10.3389/fmicb.2016.01457")</f>
        <v>http://dx.doi.org/10.3389/fmicb.2016.01457</v>
      </c>
      <c r="BG227" t="s">
        <v>74</v>
      </c>
      <c r="BH227" t="s">
        <v>74</v>
      </c>
      <c r="BI227">
        <v>13</v>
      </c>
      <c r="BJ227" t="s">
        <v>130</v>
      </c>
      <c r="BK227" t="s">
        <v>156</v>
      </c>
      <c r="BL227" t="s">
        <v>130</v>
      </c>
      <c r="BM227" t="s">
        <v>4757</v>
      </c>
      <c r="BN227">
        <v>27713727</v>
      </c>
      <c r="BO227" t="s">
        <v>133</v>
      </c>
      <c r="BP227" t="s">
        <v>74</v>
      </c>
      <c r="BQ227" t="s">
        <v>74</v>
      </c>
      <c r="BR227" t="s">
        <v>105</v>
      </c>
      <c r="BS227" t="s">
        <v>4758</v>
      </c>
      <c r="BT227" t="str">
        <f>HYPERLINK("https%3A%2F%2Fwww.webofscience.com%2Fwos%2Fwoscc%2Ffull-record%2FWOS:000383650400001","View Full Record in Web of Science")</f>
        <v>View Full Record in Web of Science</v>
      </c>
    </row>
    <row r="228" spans="1:72" x14ac:dyDescent="0.15">
      <c r="A228" t="s">
        <v>72</v>
      </c>
      <c r="B228" t="s">
        <v>4759</v>
      </c>
      <c r="C228" t="s">
        <v>74</v>
      </c>
      <c r="D228" t="s">
        <v>74</v>
      </c>
      <c r="E228" t="s">
        <v>74</v>
      </c>
      <c r="F228" t="s">
        <v>4760</v>
      </c>
      <c r="G228" t="s">
        <v>74</v>
      </c>
      <c r="H228" t="s">
        <v>74</v>
      </c>
      <c r="I228" t="s">
        <v>4761</v>
      </c>
      <c r="J228" t="s">
        <v>2078</v>
      </c>
      <c r="K228" t="s">
        <v>74</v>
      </c>
      <c r="L228" t="s">
        <v>74</v>
      </c>
      <c r="M228" t="s">
        <v>78</v>
      </c>
      <c r="N228" t="s">
        <v>79</v>
      </c>
      <c r="O228" t="s">
        <v>74</v>
      </c>
      <c r="P228" t="s">
        <v>74</v>
      </c>
      <c r="Q228" t="s">
        <v>74</v>
      </c>
      <c r="R228" t="s">
        <v>74</v>
      </c>
      <c r="S228" t="s">
        <v>74</v>
      </c>
      <c r="T228" t="s">
        <v>74</v>
      </c>
      <c r="U228" t="s">
        <v>4762</v>
      </c>
      <c r="V228" t="s">
        <v>4763</v>
      </c>
      <c r="W228" t="s">
        <v>4764</v>
      </c>
      <c r="X228" t="s">
        <v>4765</v>
      </c>
      <c r="Y228" t="s">
        <v>4766</v>
      </c>
      <c r="Z228" t="s">
        <v>4767</v>
      </c>
      <c r="AA228" t="s">
        <v>74</v>
      </c>
      <c r="AB228" t="s">
        <v>4768</v>
      </c>
      <c r="AC228" t="s">
        <v>4769</v>
      </c>
      <c r="AD228" t="s">
        <v>4770</v>
      </c>
      <c r="AE228" t="s">
        <v>4771</v>
      </c>
      <c r="AF228" t="s">
        <v>74</v>
      </c>
      <c r="AG228">
        <v>36</v>
      </c>
      <c r="AH228">
        <v>36</v>
      </c>
      <c r="AI228">
        <v>41</v>
      </c>
      <c r="AJ228">
        <v>3</v>
      </c>
      <c r="AK228">
        <v>21</v>
      </c>
      <c r="AL228" t="s">
        <v>574</v>
      </c>
      <c r="AM228" t="s">
        <v>575</v>
      </c>
      <c r="AN228" t="s">
        <v>576</v>
      </c>
      <c r="AO228" t="s">
        <v>2090</v>
      </c>
      <c r="AP228" t="s">
        <v>74</v>
      </c>
      <c r="AQ228" t="s">
        <v>74</v>
      </c>
      <c r="AR228" t="s">
        <v>2091</v>
      </c>
      <c r="AS228" t="s">
        <v>2092</v>
      </c>
      <c r="AT228" t="s">
        <v>4755</v>
      </c>
      <c r="AU228">
        <v>2016</v>
      </c>
      <c r="AV228">
        <v>6</v>
      </c>
      <c r="AW228" t="s">
        <v>74</v>
      </c>
      <c r="AX228" t="s">
        <v>74</v>
      </c>
      <c r="AY228" t="s">
        <v>74</v>
      </c>
      <c r="AZ228" t="s">
        <v>74</v>
      </c>
      <c r="BA228" t="s">
        <v>74</v>
      </c>
      <c r="BB228" t="s">
        <v>74</v>
      </c>
      <c r="BC228" t="s">
        <v>74</v>
      </c>
      <c r="BD228">
        <v>33903</v>
      </c>
      <c r="BE228" t="s">
        <v>4772</v>
      </c>
      <c r="BF228" t="str">
        <f>HYPERLINK("http://dx.doi.org/10.1038/srep33903","http://dx.doi.org/10.1038/srep33903")</f>
        <v>http://dx.doi.org/10.1038/srep33903</v>
      </c>
      <c r="BG228" t="s">
        <v>74</v>
      </c>
      <c r="BH228" t="s">
        <v>74</v>
      </c>
      <c r="BI228">
        <v>10</v>
      </c>
      <c r="BJ228" t="s">
        <v>719</v>
      </c>
      <c r="BK228" t="s">
        <v>156</v>
      </c>
      <c r="BL228" t="s">
        <v>720</v>
      </c>
      <c r="BM228" t="s">
        <v>4773</v>
      </c>
      <c r="BN228">
        <v>27652777</v>
      </c>
      <c r="BO228" t="s">
        <v>133</v>
      </c>
      <c r="BP228" t="s">
        <v>74</v>
      </c>
      <c r="BQ228" t="s">
        <v>74</v>
      </c>
      <c r="BR228" t="s">
        <v>105</v>
      </c>
      <c r="BS228" t="s">
        <v>4774</v>
      </c>
      <c r="BT228" t="str">
        <f>HYPERLINK("https%3A%2F%2Fwww.webofscience.com%2Fwos%2Fwoscc%2Ffull-record%2FWOS:000383695100001","View Full Record in Web of Science")</f>
        <v>View Full Record in Web of Science</v>
      </c>
    </row>
    <row r="229" spans="1:72" x14ac:dyDescent="0.15">
      <c r="A229" t="s">
        <v>72</v>
      </c>
      <c r="B229" t="s">
        <v>4775</v>
      </c>
      <c r="C229" t="s">
        <v>74</v>
      </c>
      <c r="D229" t="s">
        <v>74</v>
      </c>
      <c r="E229" t="s">
        <v>74</v>
      </c>
      <c r="F229" t="s">
        <v>4776</v>
      </c>
      <c r="G229" t="s">
        <v>74</v>
      </c>
      <c r="H229" t="s">
        <v>74</v>
      </c>
      <c r="I229" t="s">
        <v>4777</v>
      </c>
      <c r="J229" t="s">
        <v>4778</v>
      </c>
      <c r="K229" t="s">
        <v>74</v>
      </c>
      <c r="L229" t="s">
        <v>74</v>
      </c>
      <c r="M229" t="s">
        <v>78</v>
      </c>
      <c r="N229" t="s">
        <v>79</v>
      </c>
      <c r="O229" t="s">
        <v>74</v>
      </c>
      <c r="P229" t="s">
        <v>74</v>
      </c>
      <c r="Q229" t="s">
        <v>74</v>
      </c>
      <c r="R229" t="s">
        <v>74</v>
      </c>
      <c r="S229" t="s">
        <v>74</v>
      </c>
      <c r="T229" t="s">
        <v>74</v>
      </c>
      <c r="U229" t="s">
        <v>4779</v>
      </c>
      <c r="V229" t="s">
        <v>4780</v>
      </c>
      <c r="W229" t="s">
        <v>4781</v>
      </c>
      <c r="X229" t="s">
        <v>4782</v>
      </c>
      <c r="Y229" t="s">
        <v>4783</v>
      </c>
      <c r="Z229" t="s">
        <v>4784</v>
      </c>
      <c r="AA229" t="s">
        <v>4785</v>
      </c>
      <c r="AB229" t="s">
        <v>4786</v>
      </c>
      <c r="AC229" t="s">
        <v>4787</v>
      </c>
      <c r="AD229" t="s">
        <v>4788</v>
      </c>
      <c r="AE229" t="s">
        <v>4789</v>
      </c>
      <c r="AF229" t="s">
        <v>74</v>
      </c>
      <c r="AG229">
        <v>33</v>
      </c>
      <c r="AH229">
        <v>210</v>
      </c>
      <c r="AI229">
        <v>227</v>
      </c>
      <c r="AJ229">
        <v>25</v>
      </c>
      <c r="AK229">
        <v>296</v>
      </c>
      <c r="AL229" t="s">
        <v>275</v>
      </c>
      <c r="AM229" t="s">
        <v>250</v>
      </c>
      <c r="AN229" t="s">
        <v>276</v>
      </c>
      <c r="AO229" t="s">
        <v>4790</v>
      </c>
      <c r="AP229" t="s">
        <v>4791</v>
      </c>
      <c r="AQ229" t="s">
        <v>74</v>
      </c>
      <c r="AR229" t="s">
        <v>4778</v>
      </c>
      <c r="AS229" t="s">
        <v>4792</v>
      </c>
      <c r="AT229" t="s">
        <v>4755</v>
      </c>
      <c r="AU229">
        <v>2016</v>
      </c>
      <c r="AV229">
        <v>537</v>
      </c>
      <c r="AW229">
        <v>7621</v>
      </c>
      <c r="AX229" t="s">
        <v>74</v>
      </c>
      <c r="AY229" t="s">
        <v>74</v>
      </c>
      <c r="AZ229" t="s">
        <v>74</v>
      </c>
      <c r="BA229" t="s">
        <v>74</v>
      </c>
      <c r="BB229">
        <v>532</v>
      </c>
      <c r="BC229">
        <v>534</v>
      </c>
      <c r="BD229" t="s">
        <v>74</v>
      </c>
      <c r="BE229" t="s">
        <v>4793</v>
      </c>
      <c r="BF229" t="str">
        <f>HYPERLINK("http://dx.doi.org/10.1038/nature19314","http://dx.doi.org/10.1038/nature19314")</f>
        <v>http://dx.doi.org/10.1038/nature19314</v>
      </c>
      <c r="BG229" t="s">
        <v>74</v>
      </c>
      <c r="BH229" t="s">
        <v>74</v>
      </c>
      <c r="BI229">
        <v>3</v>
      </c>
      <c r="BJ229" t="s">
        <v>719</v>
      </c>
      <c r="BK229" t="s">
        <v>156</v>
      </c>
      <c r="BL229" t="s">
        <v>720</v>
      </c>
      <c r="BM229" t="s">
        <v>4794</v>
      </c>
      <c r="BN229">
        <v>27580030</v>
      </c>
      <c r="BO229" t="s">
        <v>459</v>
      </c>
      <c r="BP229" t="s">
        <v>1447</v>
      </c>
      <c r="BQ229" t="s">
        <v>1448</v>
      </c>
      <c r="BR229" t="s">
        <v>105</v>
      </c>
      <c r="BS229" t="s">
        <v>4795</v>
      </c>
      <c r="BT229" t="str">
        <f>HYPERLINK("https%3A%2F%2Fwww.webofscience.com%2Fwos%2Fwoscc%2Ffull-record%2FWOS:000383545900052","View Full Record in Web of Science")</f>
        <v>View Full Record in Web of Science</v>
      </c>
    </row>
    <row r="230" spans="1:72" x14ac:dyDescent="0.15">
      <c r="A230" t="s">
        <v>72</v>
      </c>
      <c r="B230" t="s">
        <v>4796</v>
      </c>
      <c r="C230" t="s">
        <v>74</v>
      </c>
      <c r="D230" t="s">
        <v>74</v>
      </c>
      <c r="E230" t="s">
        <v>74</v>
      </c>
      <c r="F230" t="s">
        <v>4797</v>
      </c>
      <c r="G230" t="s">
        <v>74</v>
      </c>
      <c r="H230" t="s">
        <v>74</v>
      </c>
      <c r="I230" t="s">
        <v>4798</v>
      </c>
      <c r="J230" t="s">
        <v>1860</v>
      </c>
      <c r="K230" t="s">
        <v>74</v>
      </c>
      <c r="L230" t="s">
        <v>74</v>
      </c>
      <c r="M230" t="s">
        <v>78</v>
      </c>
      <c r="N230" t="s">
        <v>79</v>
      </c>
      <c r="O230" t="s">
        <v>74</v>
      </c>
      <c r="P230" t="s">
        <v>74</v>
      </c>
      <c r="Q230" t="s">
        <v>74</v>
      </c>
      <c r="R230" t="s">
        <v>74</v>
      </c>
      <c r="S230" t="s">
        <v>74</v>
      </c>
      <c r="T230" t="s">
        <v>74</v>
      </c>
      <c r="U230" t="s">
        <v>4799</v>
      </c>
      <c r="V230" t="s">
        <v>4800</v>
      </c>
      <c r="W230" t="s">
        <v>4801</v>
      </c>
      <c r="X230" t="s">
        <v>4802</v>
      </c>
      <c r="Y230" t="s">
        <v>4803</v>
      </c>
      <c r="Z230" t="s">
        <v>4804</v>
      </c>
      <c r="AA230" t="s">
        <v>4805</v>
      </c>
      <c r="AB230" t="s">
        <v>4806</v>
      </c>
      <c r="AC230" t="s">
        <v>4807</v>
      </c>
      <c r="AD230" t="s">
        <v>4808</v>
      </c>
      <c r="AE230" t="s">
        <v>4809</v>
      </c>
      <c r="AF230" t="s">
        <v>74</v>
      </c>
      <c r="AG230">
        <v>68</v>
      </c>
      <c r="AH230">
        <v>32</v>
      </c>
      <c r="AI230">
        <v>33</v>
      </c>
      <c r="AJ230">
        <v>4</v>
      </c>
      <c r="AK230">
        <v>36</v>
      </c>
      <c r="AL230" t="s">
        <v>1305</v>
      </c>
      <c r="AM230" t="s">
        <v>1306</v>
      </c>
      <c r="AN230" t="s">
        <v>1307</v>
      </c>
      <c r="AO230" t="s">
        <v>1872</v>
      </c>
      <c r="AP230" t="s">
        <v>1873</v>
      </c>
      <c r="AQ230" t="s">
        <v>74</v>
      </c>
      <c r="AR230" t="s">
        <v>1874</v>
      </c>
      <c r="AS230" t="s">
        <v>1875</v>
      </c>
      <c r="AT230" t="s">
        <v>4810</v>
      </c>
      <c r="AU230">
        <v>2016</v>
      </c>
      <c r="AV230">
        <v>16</v>
      </c>
      <c r="AW230">
        <v>18</v>
      </c>
      <c r="AX230" t="s">
        <v>74</v>
      </c>
      <c r="AY230" t="s">
        <v>74</v>
      </c>
      <c r="AZ230" t="s">
        <v>74</v>
      </c>
      <c r="BA230" t="s">
        <v>74</v>
      </c>
      <c r="BB230">
        <v>11733</v>
      </c>
      <c r="BC230">
        <v>11754</v>
      </c>
      <c r="BD230" t="s">
        <v>74</v>
      </c>
      <c r="BE230" t="s">
        <v>4811</v>
      </c>
      <c r="BF230" t="str">
        <f>HYPERLINK("http://dx.doi.org/10.5194/acp-16-11733-2016","http://dx.doi.org/10.5194/acp-16-11733-2016")</f>
        <v>http://dx.doi.org/10.5194/acp-16-11733-2016</v>
      </c>
      <c r="BG230" t="s">
        <v>74</v>
      </c>
      <c r="BH230" t="s">
        <v>74</v>
      </c>
      <c r="BI230">
        <v>22</v>
      </c>
      <c r="BJ230" t="s">
        <v>1286</v>
      </c>
      <c r="BK230" t="s">
        <v>156</v>
      </c>
      <c r="BL230" t="s">
        <v>825</v>
      </c>
      <c r="BM230" t="s">
        <v>4812</v>
      </c>
      <c r="BN230" t="s">
        <v>74</v>
      </c>
      <c r="BO230" t="s">
        <v>1288</v>
      </c>
      <c r="BP230" t="s">
        <v>74</v>
      </c>
      <c r="BQ230" t="s">
        <v>74</v>
      </c>
      <c r="BR230" t="s">
        <v>105</v>
      </c>
      <c r="BS230" t="s">
        <v>4813</v>
      </c>
      <c r="BT230" t="str">
        <f>HYPERLINK("https%3A%2F%2Fwww.webofscience.com%2Fwos%2Fwoscc%2Ffull-record%2FWOS:000394784200001","View Full Record in Web of Science")</f>
        <v>View Full Record in Web of Science</v>
      </c>
    </row>
    <row r="231" spans="1:72" x14ac:dyDescent="0.15">
      <c r="A231" t="s">
        <v>72</v>
      </c>
      <c r="B231" t="s">
        <v>4814</v>
      </c>
      <c r="C231" t="s">
        <v>74</v>
      </c>
      <c r="D231" t="s">
        <v>74</v>
      </c>
      <c r="E231" t="s">
        <v>74</v>
      </c>
      <c r="F231" t="s">
        <v>4815</v>
      </c>
      <c r="G231" t="s">
        <v>74</v>
      </c>
      <c r="H231" t="s">
        <v>74</v>
      </c>
      <c r="I231" t="s">
        <v>4816</v>
      </c>
      <c r="J231" t="s">
        <v>4817</v>
      </c>
      <c r="K231" t="s">
        <v>74</v>
      </c>
      <c r="L231" t="s">
        <v>74</v>
      </c>
      <c r="M231" t="s">
        <v>78</v>
      </c>
      <c r="N231" t="s">
        <v>79</v>
      </c>
      <c r="O231" t="s">
        <v>74</v>
      </c>
      <c r="P231" t="s">
        <v>74</v>
      </c>
      <c r="Q231" t="s">
        <v>74</v>
      </c>
      <c r="R231" t="s">
        <v>74</v>
      </c>
      <c r="S231" t="s">
        <v>74</v>
      </c>
      <c r="T231" t="s">
        <v>74</v>
      </c>
      <c r="U231" t="s">
        <v>4818</v>
      </c>
      <c r="V231" t="s">
        <v>74</v>
      </c>
      <c r="W231" t="s">
        <v>4819</v>
      </c>
      <c r="X231" t="s">
        <v>4820</v>
      </c>
      <c r="Y231" t="s">
        <v>4821</v>
      </c>
      <c r="Z231" t="s">
        <v>4822</v>
      </c>
      <c r="AA231" t="s">
        <v>4823</v>
      </c>
      <c r="AB231" t="s">
        <v>4824</v>
      </c>
      <c r="AC231" t="s">
        <v>4825</v>
      </c>
      <c r="AD231" t="s">
        <v>4826</v>
      </c>
      <c r="AE231" t="s">
        <v>4827</v>
      </c>
      <c r="AF231" t="s">
        <v>74</v>
      </c>
      <c r="AG231">
        <v>68</v>
      </c>
      <c r="AH231">
        <v>17</v>
      </c>
      <c r="AI231">
        <v>17</v>
      </c>
      <c r="AJ231">
        <v>2</v>
      </c>
      <c r="AK231">
        <v>24</v>
      </c>
      <c r="AL231" t="s">
        <v>4828</v>
      </c>
      <c r="AM231" t="s">
        <v>4829</v>
      </c>
      <c r="AN231" t="s">
        <v>4830</v>
      </c>
      <c r="AO231" t="s">
        <v>4831</v>
      </c>
      <c r="AP231" t="s">
        <v>4832</v>
      </c>
      <c r="AQ231" t="s">
        <v>74</v>
      </c>
      <c r="AR231" t="s">
        <v>4833</v>
      </c>
      <c r="AS231" t="s">
        <v>4834</v>
      </c>
      <c r="AT231" t="s">
        <v>4835</v>
      </c>
      <c r="AU231">
        <v>2016</v>
      </c>
      <c r="AV231">
        <v>83</v>
      </c>
      <c r="AW231">
        <v>1</v>
      </c>
      <c r="AX231" t="s">
        <v>74</v>
      </c>
      <c r="AY231" t="s">
        <v>74</v>
      </c>
      <c r="AZ231" t="s">
        <v>74</v>
      </c>
      <c r="BA231" t="s">
        <v>74</v>
      </c>
      <c r="BB231" t="s">
        <v>74</v>
      </c>
      <c r="BC231" t="s">
        <v>74</v>
      </c>
      <c r="BD231" t="s">
        <v>4836</v>
      </c>
      <c r="BE231" t="s">
        <v>4837</v>
      </c>
      <c r="BF231" t="str">
        <f>HYPERLINK("http://dx.doi.org/10.4102/ojvr.v83i1.1147","http://dx.doi.org/10.4102/ojvr.v83i1.1147")</f>
        <v>http://dx.doi.org/10.4102/ojvr.v83i1.1147</v>
      </c>
      <c r="BG231" t="s">
        <v>74</v>
      </c>
      <c r="BH231" t="s">
        <v>74</v>
      </c>
      <c r="BI231">
        <v>13</v>
      </c>
      <c r="BJ231" t="s">
        <v>3008</v>
      </c>
      <c r="BK231" t="s">
        <v>156</v>
      </c>
      <c r="BL231" t="s">
        <v>3008</v>
      </c>
      <c r="BM231" t="s">
        <v>4838</v>
      </c>
      <c r="BN231">
        <v>27796116</v>
      </c>
      <c r="BO231" t="s">
        <v>1083</v>
      </c>
      <c r="BP231" t="s">
        <v>74</v>
      </c>
      <c r="BQ231" t="s">
        <v>74</v>
      </c>
      <c r="BR231" t="s">
        <v>105</v>
      </c>
      <c r="BS231" t="s">
        <v>4839</v>
      </c>
      <c r="BT231" t="str">
        <f>HYPERLINK("https%3A%2F%2Fwww.webofscience.com%2Fwos%2Fwoscc%2Ffull-record%2FWOS:000383692800001","View Full Record in Web of Science")</f>
        <v>View Full Record in Web of Science</v>
      </c>
    </row>
    <row r="232" spans="1:72" x14ac:dyDescent="0.15">
      <c r="A232" t="s">
        <v>72</v>
      </c>
      <c r="B232" t="s">
        <v>4840</v>
      </c>
      <c r="C232" t="s">
        <v>74</v>
      </c>
      <c r="D232" t="s">
        <v>74</v>
      </c>
      <c r="E232" t="s">
        <v>74</v>
      </c>
      <c r="F232" t="s">
        <v>4841</v>
      </c>
      <c r="G232" t="s">
        <v>74</v>
      </c>
      <c r="H232" t="s">
        <v>74</v>
      </c>
      <c r="I232" t="s">
        <v>4842</v>
      </c>
      <c r="J232" t="s">
        <v>4843</v>
      </c>
      <c r="K232" t="s">
        <v>74</v>
      </c>
      <c r="L232" t="s">
        <v>74</v>
      </c>
      <c r="M232" t="s">
        <v>78</v>
      </c>
      <c r="N232" t="s">
        <v>317</v>
      </c>
      <c r="O232" t="s">
        <v>74</v>
      </c>
      <c r="P232" t="s">
        <v>74</v>
      </c>
      <c r="Q232" t="s">
        <v>74</v>
      </c>
      <c r="R232" t="s">
        <v>74</v>
      </c>
      <c r="S232" t="s">
        <v>74</v>
      </c>
      <c r="T232" t="s">
        <v>4844</v>
      </c>
      <c r="U232" t="s">
        <v>4845</v>
      </c>
      <c r="V232" t="s">
        <v>4846</v>
      </c>
      <c r="W232" t="s">
        <v>4847</v>
      </c>
      <c r="X232" t="s">
        <v>4848</v>
      </c>
      <c r="Y232" t="s">
        <v>4849</v>
      </c>
      <c r="Z232" t="s">
        <v>4850</v>
      </c>
      <c r="AA232" t="s">
        <v>4851</v>
      </c>
      <c r="AB232" t="s">
        <v>4852</v>
      </c>
      <c r="AC232" t="s">
        <v>74</v>
      </c>
      <c r="AD232" t="s">
        <v>74</v>
      </c>
      <c r="AE232" t="s">
        <v>74</v>
      </c>
      <c r="AF232" t="s">
        <v>74</v>
      </c>
      <c r="AG232">
        <v>246</v>
      </c>
      <c r="AH232">
        <v>87</v>
      </c>
      <c r="AI232">
        <v>97</v>
      </c>
      <c r="AJ232">
        <v>5</v>
      </c>
      <c r="AK232">
        <v>154</v>
      </c>
      <c r="AL232" t="s">
        <v>550</v>
      </c>
      <c r="AM232" t="s">
        <v>551</v>
      </c>
      <c r="AN232" t="s">
        <v>552</v>
      </c>
      <c r="AO232" t="s">
        <v>4853</v>
      </c>
      <c r="AP232" t="s">
        <v>4854</v>
      </c>
      <c r="AQ232" t="s">
        <v>74</v>
      </c>
      <c r="AR232" t="s">
        <v>4855</v>
      </c>
      <c r="AS232" t="s">
        <v>4856</v>
      </c>
      <c r="AT232" t="s">
        <v>4835</v>
      </c>
      <c r="AU232">
        <v>2016</v>
      </c>
      <c r="AV232">
        <v>203</v>
      </c>
      <c r="AW232" t="s">
        <v>74</v>
      </c>
      <c r="AX232" t="s">
        <v>74</v>
      </c>
      <c r="AY232" t="s">
        <v>74</v>
      </c>
      <c r="AZ232" t="s">
        <v>74</v>
      </c>
      <c r="BA232" t="s">
        <v>74</v>
      </c>
      <c r="BB232">
        <v>135</v>
      </c>
      <c r="BC232">
        <v>150</v>
      </c>
      <c r="BD232" t="s">
        <v>74</v>
      </c>
      <c r="BE232" t="s">
        <v>4857</v>
      </c>
      <c r="BF232" t="str">
        <f>HYPERLINK("http://dx.doi.org/10.1016/j.jplph.2016.05.004","http://dx.doi.org/10.1016/j.jplph.2016.05.004")</f>
        <v>http://dx.doi.org/10.1016/j.jplph.2016.05.004</v>
      </c>
      <c r="BG232" t="s">
        <v>74</v>
      </c>
      <c r="BH232" t="s">
        <v>74</v>
      </c>
      <c r="BI232">
        <v>16</v>
      </c>
      <c r="BJ232" t="s">
        <v>1580</v>
      </c>
      <c r="BK232" t="s">
        <v>156</v>
      </c>
      <c r="BL232" t="s">
        <v>1580</v>
      </c>
      <c r="BM232" t="s">
        <v>4858</v>
      </c>
      <c r="BN232">
        <v>27236210</v>
      </c>
      <c r="BO232" t="s">
        <v>4859</v>
      </c>
      <c r="BP232" t="s">
        <v>74</v>
      </c>
      <c r="BQ232" t="s">
        <v>74</v>
      </c>
      <c r="BR232" t="s">
        <v>105</v>
      </c>
      <c r="BS232" t="s">
        <v>4860</v>
      </c>
      <c r="BT232" t="str">
        <f>HYPERLINK("https%3A%2F%2Fwww.webofscience.com%2Fwos%2Fwoscc%2Ffull-record%2FWOS:000385038100013","View Full Record in Web of Science")</f>
        <v>View Full Record in Web of Science</v>
      </c>
    </row>
    <row r="233" spans="1:72" x14ac:dyDescent="0.15">
      <c r="A233" t="s">
        <v>72</v>
      </c>
      <c r="B233" t="s">
        <v>4861</v>
      </c>
      <c r="C233" t="s">
        <v>74</v>
      </c>
      <c r="D233" t="s">
        <v>74</v>
      </c>
      <c r="E233" t="s">
        <v>74</v>
      </c>
      <c r="F233" t="s">
        <v>4862</v>
      </c>
      <c r="G233" t="s">
        <v>74</v>
      </c>
      <c r="H233" t="s">
        <v>74</v>
      </c>
      <c r="I233" t="s">
        <v>4863</v>
      </c>
      <c r="J233" t="s">
        <v>4864</v>
      </c>
      <c r="K233" t="s">
        <v>74</v>
      </c>
      <c r="L233" t="s">
        <v>74</v>
      </c>
      <c r="M233" t="s">
        <v>78</v>
      </c>
      <c r="N233" t="s">
        <v>79</v>
      </c>
      <c r="O233" t="s">
        <v>74</v>
      </c>
      <c r="P233" t="s">
        <v>74</v>
      </c>
      <c r="Q233" t="s">
        <v>74</v>
      </c>
      <c r="R233" t="s">
        <v>74</v>
      </c>
      <c r="S233" t="s">
        <v>74</v>
      </c>
      <c r="T233" t="s">
        <v>74</v>
      </c>
      <c r="U233" t="s">
        <v>4865</v>
      </c>
      <c r="V233" t="s">
        <v>4866</v>
      </c>
      <c r="W233" t="s">
        <v>4867</v>
      </c>
      <c r="X233" t="s">
        <v>4868</v>
      </c>
      <c r="Y233" t="s">
        <v>4869</v>
      </c>
      <c r="Z233" t="s">
        <v>4870</v>
      </c>
      <c r="AA233" t="s">
        <v>4871</v>
      </c>
      <c r="AB233" t="s">
        <v>4872</v>
      </c>
      <c r="AC233" t="s">
        <v>4873</v>
      </c>
      <c r="AD233" t="s">
        <v>4874</v>
      </c>
      <c r="AE233" t="s">
        <v>4875</v>
      </c>
      <c r="AF233" t="s">
        <v>74</v>
      </c>
      <c r="AG233">
        <v>20</v>
      </c>
      <c r="AH233">
        <v>2</v>
      </c>
      <c r="AI233">
        <v>2</v>
      </c>
      <c r="AJ233">
        <v>0</v>
      </c>
      <c r="AK233">
        <v>26</v>
      </c>
      <c r="AL233" t="s">
        <v>4876</v>
      </c>
      <c r="AM233" t="s">
        <v>123</v>
      </c>
      <c r="AN233" t="s">
        <v>4877</v>
      </c>
      <c r="AO233" t="s">
        <v>4878</v>
      </c>
      <c r="AP233" t="s">
        <v>74</v>
      </c>
      <c r="AQ233" t="s">
        <v>74</v>
      </c>
      <c r="AR233" t="s">
        <v>4879</v>
      </c>
      <c r="AS233" t="s">
        <v>4880</v>
      </c>
      <c r="AT233" t="s">
        <v>4881</v>
      </c>
      <c r="AU233">
        <v>2016</v>
      </c>
      <c r="AV233">
        <v>24</v>
      </c>
      <c r="AW233">
        <v>19</v>
      </c>
      <c r="AX233" t="s">
        <v>74</v>
      </c>
      <c r="AY233" t="s">
        <v>74</v>
      </c>
      <c r="AZ233" t="s">
        <v>74</v>
      </c>
      <c r="BA233" t="s">
        <v>74</v>
      </c>
      <c r="BB233">
        <v>22104</v>
      </c>
      <c r="BC233">
        <v>22109</v>
      </c>
      <c r="BD233" t="s">
        <v>74</v>
      </c>
      <c r="BE233" t="s">
        <v>4882</v>
      </c>
      <c r="BF233" t="str">
        <f>HYPERLINK("http://dx.doi.org/10.1364/OE.24.022104","http://dx.doi.org/10.1364/OE.24.022104")</f>
        <v>http://dx.doi.org/10.1364/OE.24.022104</v>
      </c>
      <c r="BG233" t="s">
        <v>74</v>
      </c>
      <c r="BH233" t="s">
        <v>74</v>
      </c>
      <c r="BI233">
        <v>6</v>
      </c>
      <c r="BJ233" t="s">
        <v>4883</v>
      </c>
      <c r="BK233" t="s">
        <v>156</v>
      </c>
      <c r="BL233" t="s">
        <v>4883</v>
      </c>
      <c r="BM233" t="s">
        <v>4884</v>
      </c>
      <c r="BN233">
        <v>27661945</v>
      </c>
      <c r="BO233" t="s">
        <v>777</v>
      </c>
      <c r="BP233" t="s">
        <v>74</v>
      </c>
      <c r="BQ233" t="s">
        <v>74</v>
      </c>
      <c r="BR233" t="s">
        <v>105</v>
      </c>
      <c r="BS233" t="s">
        <v>4885</v>
      </c>
      <c r="BT233" t="str">
        <f>HYPERLINK("https%3A%2F%2Fwww.webofscience.com%2Fwos%2Fwoscc%2Ffull-record%2FWOS:000387537600080","View Full Record in Web of Science")</f>
        <v>View Full Record in Web of Science</v>
      </c>
    </row>
    <row r="234" spans="1:72" x14ac:dyDescent="0.15">
      <c r="A234" t="s">
        <v>72</v>
      </c>
      <c r="B234" t="s">
        <v>4886</v>
      </c>
      <c r="C234" t="s">
        <v>74</v>
      </c>
      <c r="D234" t="s">
        <v>74</v>
      </c>
      <c r="E234" t="s">
        <v>74</v>
      </c>
      <c r="F234" t="s">
        <v>4887</v>
      </c>
      <c r="G234" t="s">
        <v>74</v>
      </c>
      <c r="H234" t="s">
        <v>74</v>
      </c>
      <c r="I234" t="s">
        <v>4888</v>
      </c>
      <c r="J234" t="s">
        <v>4889</v>
      </c>
      <c r="K234" t="s">
        <v>74</v>
      </c>
      <c r="L234" t="s">
        <v>74</v>
      </c>
      <c r="M234" t="s">
        <v>78</v>
      </c>
      <c r="N234" t="s">
        <v>317</v>
      </c>
      <c r="O234" t="s">
        <v>74</v>
      </c>
      <c r="P234" t="s">
        <v>74</v>
      </c>
      <c r="Q234" t="s">
        <v>74</v>
      </c>
      <c r="R234" t="s">
        <v>74</v>
      </c>
      <c r="S234" t="s">
        <v>74</v>
      </c>
      <c r="T234" t="s">
        <v>4890</v>
      </c>
      <c r="U234" t="s">
        <v>4891</v>
      </c>
      <c r="V234" t="s">
        <v>4892</v>
      </c>
      <c r="W234" t="s">
        <v>4893</v>
      </c>
      <c r="X234" t="s">
        <v>4894</v>
      </c>
      <c r="Y234" t="s">
        <v>4895</v>
      </c>
      <c r="Z234" t="s">
        <v>4896</v>
      </c>
      <c r="AA234" t="s">
        <v>4897</v>
      </c>
      <c r="AB234" t="s">
        <v>4898</v>
      </c>
      <c r="AC234" t="s">
        <v>4899</v>
      </c>
      <c r="AD234" t="s">
        <v>4900</v>
      </c>
      <c r="AE234" t="s">
        <v>4901</v>
      </c>
      <c r="AF234" t="s">
        <v>74</v>
      </c>
      <c r="AG234">
        <v>121</v>
      </c>
      <c r="AH234">
        <v>10</v>
      </c>
      <c r="AI234">
        <v>10</v>
      </c>
      <c r="AJ234">
        <v>0</v>
      </c>
      <c r="AK234">
        <v>11</v>
      </c>
      <c r="AL234" t="s">
        <v>2670</v>
      </c>
      <c r="AM234" t="s">
        <v>594</v>
      </c>
      <c r="AN234" t="s">
        <v>3187</v>
      </c>
      <c r="AO234" t="s">
        <v>4902</v>
      </c>
      <c r="AP234" t="s">
        <v>4903</v>
      </c>
      <c r="AQ234" t="s">
        <v>74</v>
      </c>
      <c r="AR234" t="s">
        <v>4904</v>
      </c>
      <c r="AS234" t="s">
        <v>4905</v>
      </c>
      <c r="AT234" t="s">
        <v>4881</v>
      </c>
      <c r="AU234">
        <v>2016</v>
      </c>
      <c r="AV234">
        <v>33</v>
      </c>
      <c r="AW234" t="s">
        <v>74</v>
      </c>
      <c r="AX234" t="s">
        <v>74</v>
      </c>
      <c r="AY234" t="s">
        <v>74</v>
      </c>
      <c r="AZ234" t="s">
        <v>74</v>
      </c>
      <c r="BA234" t="s">
        <v>74</v>
      </c>
      <c r="BB234" t="s">
        <v>74</v>
      </c>
      <c r="BC234" t="s">
        <v>74</v>
      </c>
      <c r="BD234" t="s">
        <v>4906</v>
      </c>
      <c r="BE234" t="s">
        <v>4907</v>
      </c>
      <c r="BF234" t="str">
        <f>HYPERLINK("http://dx.doi.org/10.1017/pasa.2016.38","http://dx.doi.org/10.1017/pasa.2016.38")</f>
        <v>http://dx.doi.org/10.1017/pasa.2016.38</v>
      </c>
      <c r="BG234" t="s">
        <v>74</v>
      </c>
      <c r="BH234" t="s">
        <v>74</v>
      </c>
      <c r="BI234">
        <v>18</v>
      </c>
      <c r="BJ234" t="s">
        <v>748</v>
      </c>
      <c r="BK234" t="s">
        <v>156</v>
      </c>
      <c r="BL234" t="s">
        <v>748</v>
      </c>
      <c r="BM234" t="s">
        <v>4908</v>
      </c>
      <c r="BN234" t="s">
        <v>74</v>
      </c>
      <c r="BO234" t="s">
        <v>2617</v>
      </c>
      <c r="BP234" t="s">
        <v>74</v>
      </c>
      <c r="BQ234" t="s">
        <v>74</v>
      </c>
      <c r="BR234" t="s">
        <v>105</v>
      </c>
      <c r="BS234" t="s">
        <v>4909</v>
      </c>
      <c r="BT234" t="str">
        <f>HYPERLINK("https%3A%2F%2Fwww.webofscience.com%2Fwos%2Fwoscc%2Ffull-record%2FWOS:000384437100001","View Full Record in Web of Science")</f>
        <v>View Full Record in Web of Science</v>
      </c>
    </row>
    <row r="235" spans="1:72" x14ac:dyDescent="0.15">
      <c r="A235" t="s">
        <v>72</v>
      </c>
      <c r="B235" t="s">
        <v>4910</v>
      </c>
      <c r="C235" t="s">
        <v>74</v>
      </c>
      <c r="D235" t="s">
        <v>74</v>
      </c>
      <c r="E235" t="s">
        <v>74</v>
      </c>
      <c r="F235" t="s">
        <v>4911</v>
      </c>
      <c r="G235" t="s">
        <v>74</v>
      </c>
      <c r="H235" t="s">
        <v>74</v>
      </c>
      <c r="I235" t="s">
        <v>4912</v>
      </c>
      <c r="J235" t="s">
        <v>4913</v>
      </c>
      <c r="K235" t="s">
        <v>74</v>
      </c>
      <c r="L235" t="s">
        <v>74</v>
      </c>
      <c r="M235" t="s">
        <v>78</v>
      </c>
      <c r="N235" t="s">
        <v>52</v>
      </c>
      <c r="O235" t="s">
        <v>4914</v>
      </c>
      <c r="P235" t="s">
        <v>4915</v>
      </c>
      <c r="Q235" t="s">
        <v>4916</v>
      </c>
      <c r="R235" t="s">
        <v>74</v>
      </c>
      <c r="S235" t="s">
        <v>74</v>
      </c>
      <c r="T235" t="s">
        <v>74</v>
      </c>
      <c r="U235" t="s">
        <v>74</v>
      </c>
      <c r="V235" t="s">
        <v>74</v>
      </c>
      <c r="W235" t="s">
        <v>4917</v>
      </c>
      <c r="X235" t="s">
        <v>4918</v>
      </c>
      <c r="Y235" t="s">
        <v>74</v>
      </c>
      <c r="Z235" t="s">
        <v>74</v>
      </c>
      <c r="AA235" t="s">
        <v>4919</v>
      </c>
      <c r="AB235" t="s">
        <v>74</v>
      </c>
      <c r="AC235" t="s">
        <v>74</v>
      </c>
      <c r="AD235" t="s">
        <v>74</v>
      </c>
      <c r="AE235" t="s">
        <v>74</v>
      </c>
      <c r="AF235" t="s">
        <v>74</v>
      </c>
      <c r="AG235">
        <v>0</v>
      </c>
      <c r="AH235">
        <v>0</v>
      </c>
      <c r="AI235">
        <v>0</v>
      </c>
      <c r="AJ235">
        <v>1</v>
      </c>
      <c r="AK235">
        <v>4</v>
      </c>
      <c r="AL235" t="s">
        <v>4920</v>
      </c>
      <c r="AM235" t="s">
        <v>4921</v>
      </c>
      <c r="AN235" t="s">
        <v>4922</v>
      </c>
      <c r="AO235" t="s">
        <v>4923</v>
      </c>
      <c r="AP235" t="s">
        <v>4924</v>
      </c>
      <c r="AQ235" t="s">
        <v>74</v>
      </c>
      <c r="AR235" t="s">
        <v>4925</v>
      </c>
      <c r="AS235" t="s">
        <v>4926</v>
      </c>
      <c r="AT235" t="s">
        <v>4927</v>
      </c>
      <c r="AU235">
        <v>2016</v>
      </c>
      <c r="AV235">
        <v>258</v>
      </c>
      <c r="AW235" t="s">
        <v>74</v>
      </c>
      <c r="AX235" t="s">
        <v>74</v>
      </c>
      <c r="AY235" t="s">
        <v>4928</v>
      </c>
      <c r="AZ235" t="s">
        <v>74</v>
      </c>
      <c r="BA235" t="s">
        <v>4929</v>
      </c>
      <c r="BB235" t="s">
        <v>4930</v>
      </c>
      <c r="BC235" t="s">
        <v>4931</v>
      </c>
      <c r="BD235" t="s">
        <v>74</v>
      </c>
      <c r="BE235" t="s">
        <v>4932</v>
      </c>
      <c r="BF235" t="str">
        <f>HYPERLINK("http://dx.doi.org/10.1016/j.toxlet.2016.06.1335","http://dx.doi.org/10.1016/j.toxlet.2016.06.1335")</f>
        <v>http://dx.doi.org/10.1016/j.toxlet.2016.06.1335</v>
      </c>
      <c r="BG235" t="s">
        <v>74</v>
      </c>
      <c r="BH235" t="s">
        <v>74</v>
      </c>
      <c r="BI235">
        <v>2</v>
      </c>
      <c r="BJ235" t="s">
        <v>4933</v>
      </c>
      <c r="BK235" t="s">
        <v>2548</v>
      </c>
      <c r="BL235" t="s">
        <v>4933</v>
      </c>
      <c r="BM235" t="s">
        <v>4934</v>
      </c>
      <c r="BN235" t="s">
        <v>74</v>
      </c>
      <c r="BO235" t="s">
        <v>74</v>
      </c>
      <c r="BP235" t="s">
        <v>74</v>
      </c>
      <c r="BQ235" t="s">
        <v>74</v>
      </c>
      <c r="BR235" t="s">
        <v>105</v>
      </c>
      <c r="BS235" t="s">
        <v>4935</v>
      </c>
      <c r="BT235" t="str">
        <f>HYPERLINK("https%3A%2F%2Fwww.webofscience.com%2Fwos%2Fwoscc%2Ffull-record%2FWOS:000402436700204","View Full Record in Web of Science")</f>
        <v>View Full Record in Web of Science</v>
      </c>
    </row>
    <row r="236" spans="1:72" x14ac:dyDescent="0.15">
      <c r="A236" t="s">
        <v>72</v>
      </c>
      <c r="B236" t="s">
        <v>4936</v>
      </c>
      <c r="C236" t="s">
        <v>74</v>
      </c>
      <c r="D236" t="s">
        <v>74</v>
      </c>
      <c r="E236" t="s">
        <v>74</v>
      </c>
      <c r="F236" t="s">
        <v>4937</v>
      </c>
      <c r="G236" t="s">
        <v>74</v>
      </c>
      <c r="H236" t="s">
        <v>74</v>
      </c>
      <c r="I236" t="s">
        <v>4938</v>
      </c>
      <c r="J236" t="s">
        <v>4913</v>
      </c>
      <c r="K236" t="s">
        <v>74</v>
      </c>
      <c r="L236" t="s">
        <v>74</v>
      </c>
      <c r="M236" t="s">
        <v>78</v>
      </c>
      <c r="N236" t="s">
        <v>52</v>
      </c>
      <c r="O236" t="s">
        <v>4914</v>
      </c>
      <c r="P236" t="s">
        <v>4915</v>
      </c>
      <c r="Q236" t="s">
        <v>4916</v>
      </c>
      <c r="R236" t="s">
        <v>74</v>
      </c>
      <c r="S236" t="s">
        <v>74</v>
      </c>
      <c r="T236" t="s">
        <v>74</v>
      </c>
      <c r="U236" t="s">
        <v>74</v>
      </c>
      <c r="V236" t="s">
        <v>74</v>
      </c>
      <c r="W236" t="s">
        <v>4939</v>
      </c>
      <c r="X236" t="s">
        <v>4918</v>
      </c>
      <c r="Y236" t="s">
        <v>74</v>
      </c>
      <c r="Z236" t="s">
        <v>74</v>
      </c>
      <c r="AA236" t="s">
        <v>4940</v>
      </c>
      <c r="AB236" t="s">
        <v>4941</v>
      </c>
      <c r="AC236" t="s">
        <v>74</v>
      </c>
      <c r="AD236" t="s">
        <v>74</v>
      </c>
      <c r="AE236" t="s">
        <v>74</v>
      </c>
      <c r="AF236" t="s">
        <v>74</v>
      </c>
      <c r="AG236">
        <v>0</v>
      </c>
      <c r="AH236">
        <v>0</v>
      </c>
      <c r="AI236">
        <v>0</v>
      </c>
      <c r="AJ236">
        <v>1</v>
      </c>
      <c r="AK236">
        <v>2</v>
      </c>
      <c r="AL236" t="s">
        <v>4920</v>
      </c>
      <c r="AM236" t="s">
        <v>4921</v>
      </c>
      <c r="AN236" t="s">
        <v>4922</v>
      </c>
      <c r="AO236" t="s">
        <v>4923</v>
      </c>
      <c r="AP236" t="s">
        <v>4924</v>
      </c>
      <c r="AQ236" t="s">
        <v>74</v>
      </c>
      <c r="AR236" t="s">
        <v>4925</v>
      </c>
      <c r="AS236" t="s">
        <v>4926</v>
      </c>
      <c r="AT236" t="s">
        <v>4927</v>
      </c>
      <c r="AU236">
        <v>2016</v>
      </c>
      <c r="AV236">
        <v>258</v>
      </c>
      <c r="AW236" t="s">
        <v>74</v>
      </c>
      <c r="AX236" t="s">
        <v>74</v>
      </c>
      <c r="AY236" t="s">
        <v>4928</v>
      </c>
      <c r="AZ236" t="s">
        <v>74</v>
      </c>
      <c r="BA236" t="s">
        <v>4942</v>
      </c>
      <c r="BB236" t="s">
        <v>4943</v>
      </c>
      <c r="BC236" t="s">
        <v>4943</v>
      </c>
      <c r="BD236" t="s">
        <v>74</v>
      </c>
      <c r="BE236" t="s">
        <v>4944</v>
      </c>
      <c r="BF236" t="str">
        <f>HYPERLINK("http://dx.doi.org/10.1016/j.toxlet.2016.06.1862","http://dx.doi.org/10.1016/j.toxlet.2016.06.1862")</f>
        <v>http://dx.doi.org/10.1016/j.toxlet.2016.06.1862</v>
      </c>
      <c r="BG236" t="s">
        <v>74</v>
      </c>
      <c r="BH236" t="s">
        <v>74</v>
      </c>
      <c r="BI236">
        <v>1</v>
      </c>
      <c r="BJ236" t="s">
        <v>4933</v>
      </c>
      <c r="BK236" t="s">
        <v>2548</v>
      </c>
      <c r="BL236" t="s">
        <v>4933</v>
      </c>
      <c r="BM236" t="s">
        <v>4934</v>
      </c>
      <c r="BN236" t="s">
        <v>74</v>
      </c>
      <c r="BO236" t="s">
        <v>74</v>
      </c>
      <c r="BP236" t="s">
        <v>74</v>
      </c>
      <c r="BQ236" t="s">
        <v>74</v>
      </c>
      <c r="BR236" t="s">
        <v>105</v>
      </c>
      <c r="BS236" t="s">
        <v>4945</v>
      </c>
      <c r="BT236" t="str">
        <f>HYPERLINK("https%3A%2F%2Fwww.webofscience.com%2Fwos%2Fwoscc%2Ffull-record%2FWOS:000402436700726","View Full Record in Web of Science")</f>
        <v>View Full Record in Web of Science</v>
      </c>
    </row>
    <row r="237" spans="1:72" x14ac:dyDescent="0.15">
      <c r="A237" t="s">
        <v>72</v>
      </c>
      <c r="B237" t="s">
        <v>4946</v>
      </c>
      <c r="C237" t="s">
        <v>74</v>
      </c>
      <c r="D237" t="s">
        <v>74</v>
      </c>
      <c r="E237" t="s">
        <v>74</v>
      </c>
      <c r="F237" t="s">
        <v>4947</v>
      </c>
      <c r="G237" t="s">
        <v>74</v>
      </c>
      <c r="H237" t="s">
        <v>74</v>
      </c>
      <c r="I237" t="s">
        <v>4948</v>
      </c>
      <c r="J237" t="s">
        <v>4949</v>
      </c>
      <c r="K237" t="s">
        <v>74</v>
      </c>
      <c r="L237" t="s">
        <v>74</v>
      </c>
      <c r="M237" t="s">
        <v>78</v>
      </c>
      <c r="N237" t="s">
        <v>79</v>
      </c>
      <c r="O237" t="s">
        <v>74</v>
      </c>
      <c r="P237" t="s">
        <v>74</v>
      </c>
      <c r="Q237" t="s">
        <v>74</v>
      </c>
      <c r="R237" t="s">
        <v>74</v>
      </c>
      <c r="S237" t="s">
        <v>74</v>
      </c>
      <c r="T237" t="s">
        <v>4950</v>
      </c>
      <c r="U237" t="s">
        <v>4951</v>
      </c>
      <c r="V237" t="s">
        <v>4952</v>
      </c>
      <c r="W237" t="s">
        <v>4953</v>
      </c>
      <c r="X237" t="s">
        <v>4954</v>
      </c>
      <c r="Y237" t="s">
        <v>4955</v>
      </c>
      <c r="Z237" t="s">
        <v>4956</v>
      </c>
      <c r="AA237" t="s">
        <v>74</v>
      </c>
      <c r="AB237" t="s">
        <v>4957</v>
      </c>
      <c r="AC237" t="s">
        <v>4958</v>
      </c>
      <c r="AD237" t="s">
        <v>4959</v>
      </c>
      <c r="AE237" t="s">
        <v>4960</v>
      </c>
      <c r="AF237" t="s">
        <v>74</v>
      </c>
      <c r="AG237">
        <v>34</v>
      </c>
      <c r="AH237">
        <v>9</v>
      </c>
      <c r="AI237">
        <v>9</v>
      </c>
      <c r="AJ237">
        <v>0</v>
      </c>
      <c r="AK237">
        <v>28</v>
      </c>
      <c r="AL237" t="s">
        <v>501</v>
      </c>
      <c r="AM237" t="s">
        <v>502</v>
      </c>
      <c r="AN237" t="s">
        <v>503</v>
      </c>
      <c r="AO237" t="s">
        <v>4961</v>
      </c>
      <c r="AP237" t="s">
        <v>4962</v>
      </c>
      <c r="AQ237" t="s">
        <v>74</v>
      </c>
      <c r="AR237" t="s">
        <v>4963</v>
      </c>
      <c r="AS237" t="s">
        <v>4964</v>
      </c>
      <c r="AT237" t="s">
        <v>4965</v>
      </c>
      <c r="AU237">
        <v>2016</v>
      </c>
      <c r="AV237">
        <v>41</v>
      </c>
      <c r="AW237">
        <v>11</v>
      </c>
      <c r="AX237" t="s">
        <v>74</v>
      </c>
      <c r="AY237" t="s">
        <v>74</v>
      </c>
      <c r="AZ237" t="s">
        <v>74</v>
      </c>
      <c r="BA237" t="s">
        <v>74</v>
      </c>
      <c r="BB237">
        <v>1550</v>
      </c>
      <c r="BC237">
        <v>1563</v>
      </c>
      <c r="BD237" t="s">
        <v>74</v>
      </c>
      <c r="BE237" t="s">
        <v>4966</v>
      </c>
      <c r="BF237" t="str">
        <f>HYPERLINK("http://dx.doi.org/10.1002/esp.3926","http://dx.doi.org/10.1002/esp.3926")</f>
        <v>http://dx.doi.org/10.1002/esp.3926</v>
      </c>
      <c r="BG237" t="s">
        <v>74</v>
      </c>
      <c r="BH237" t="s">
        <v>74</v>
      </c>
      <c r="BI237">
        <v>14</v>
      </c>
      <c r="BJ237" t="s">
        <v>203</v>
      </c>
      <c r="BK237" t="s">
        <v>156</v>
      </c>
      <c r="BL237" t="s">
        <v>204</v>
      </c>
      <c r="BM237" t="s">
        <v>4967</v>
      </c>
      <c r="BN237" t="s">
        <v>74</v>
      </c>
      <c r="BO237" t="s">
        <v>74</v>
      </c>
      <c r="BP237" t="s">
        <v>74</v>
      </c>
      <c r="BQ237" t="s">
        <v>74</v>
      </c>
      <c r="BR237" t="s">
        <v>105</v>
      </c>
      <c r="BS237" t="s">
        <v>4968</v>
      </c>
      <c r="BT237" t="str">
        <f>HYPERLINK("https%3A%2F%2Fwww.webofscience.com%2Fwos%2Fwoscc%2Ffull-record%2FWOS:000383615900007","View Full Record in Web of Science")</f>
        <v>View Full Record in Web of Science</v>
      </c>
    </row>
    <row r="238" spans="1:72" x14ac:dyDescent="0.15">
      <c r="A238" t="s">
        <v>72</v>
      </c>
      <c r="B238" t="s">
        <v>4969</v>
      </c>
      <c r="C238" t="s">
        <v>74</v>
      </c>
      <c r="D238" t="s">
        <v>74</v>
      </c>
      <c r="E238" t="s">
        <v>74</v>
      </c>
      <c r="F238" t="s">
        <v>4970</v>
      </c>
      <c r="G238" t="s">
        <v>74</v>
      </c>
      <c r="H238" t="s">
        <v>74</v>
      </c>
      <c r="I238" t="s">
        <v>4971</v>
      </c>
      <c r="J238" t="s">
        <v>1293</v>
      </c>
      <c r="K238" t="s">
        <v>74</v>
      </c>
      <c r="L238" t="s">
        <v>74</v>
      </c>
      <c r="M238" t="s">
        <v>78</v>
      </c>
      <c r="N238" t="s">
        <v>79</v>
      </c>
      <c r="O238" t="s">
        <v>74</v>
      </c>
      <c r="P238" t="s">
        <v>74</v>
      </c>
      <c r="Q238" t="s">
        <v>74</v>
      </c>
      <c r="R238" t="s">
        <v>74</v>
      </c>
      <c r="S238" t="s">
        <v>74</v>
      </c>
      <c r="T238" t="s">
        <v>74</v>
      </c>
      <c r="U238" t="s">
        <v>4972</v>
      </c>
      <c r="V238" t="s">
        <v>4973</v>
      </c>
      <c r="W238" t="s">
        <v>4974</v>
      </c>
      <c r="X238" t="s">
        <v>4975</v>
      </c>
      <c r="Y238" t="s">
        <v>4976</v>
      </c>
      <c r="Z238" t="s">
        <v>4977</v>
      </c>
      <c r="AA238" t="s">
        <v>74</v>
      </c>
      <c r="AB238" t="s">
        <v>4978</v>
      </c>
      <c r="AC238" t="s">
        <v>4979</v>
      </c>
      <c r="AD238" t="s">
        <v>4980</v>
      </c>
      <c r="AE238" t="s">
        <v>4981</v>
      </c>
      <c r="AF238" t="s">
        <v>74</v>
      </c>
      <c r="AG238">
        <v>64</v>
      </c>
      <c r="AH238">
        <v>18</v>
      </c>
      <c r="AI238">
        <v>22</v>
      </c>
      <c r="AJ238">
        <v>1</v>
      </c>
      <c r="AK238">
        <v>11</v>
      </c>
      <c r="AL238" t="s">
        <v>1305</v>
      </c>
      <c r="AM238" t="s">
        <v>1306</v>
      </c>
      <c r="AN238" t="s">
        <v>1307</v>
      </c>
      <c r="AO238" t="s">
        <v>1308</v>
      </c>
      <c r="AP238" t="s">
        <v>1309</v>
      </c>
      <c r="AQ238" t="s">
        <v>74</v>
      </c>
      <c r="AR238" t="s">
        <v>1293</v>
      </c>
      <c r="AS238" t="s">
        <v>1310</v>
      </c>
      <c r="AT238" t="s">
        <v>4965</v>
      </c>
      <c r="AU238">
        <v>2016</v>
      </c>
      <c r="AV238">
        <v>10</v>
      </c>
      <c r="AW238">
        <v>5</v>
      </c>
      <c r="AX238" t="s">
        <v>74</v>
      </c>
      <c r="AY238" t="s">
        <v>74</v>
      </c>
      <c r="AZ238" t="s">
        <v>74</v>
      </c>
      <c r="BA238" t="s">
        <v>74</v>
      </c>
      <c r="BB238">
        <v>2099</v>
      </c>
      <c r="BC238">
        <v>2111</v>
      </c>
      <c r="BD238" t="s">
        <v>74</v>
      </c>
      <c r="BE238" t="s">
        <v>4982</v>
      </c>
      <c r="BF238" t="str">
        <f>HYPERLINK("http://dx.doi.org/10.5194/tc-10-2099-20160","http://dx.doi.org/10.5194/tc-10-2099-20160")</f>
        <v>http://dx.doi.org/10.5194/tc-10-2099-20160</v>
      </c>
      <c r="BG238" t="s">
        <v>74</v>
      </c>
      <c r="BH238" t="s">
        <v>74</v>
      </c>
      <c r="BI238">
        <v>13</v>
      </c>
      <c r="BJ238" t="s">
        <v>203</v>
      </c>
      <c r="BK238" t="s">
        <v>156</v>
      </c>
      <c r="BL238" t="s">
        <v>204</v>
      </c>
      <c r="BM238" t="s">
        <v>4983</v>
      </c>
      <c r="BN238" t="s">
        <v>74</v>
      </c>
      <c r="BO238" t="s">
        <v>74</v>
      </c>
      <c r="BP238" t="s">
        <v>74</v>
      </c>
      <c r="BQ238" t="s">
        <v>74</v>
      </c>
      <c r="BR238" t="s">
        <v>105</v>
      </c>
      <c r="BS238" t="s">
        <v>4984</v>
      </c>
      <c r="BT238" t="str">
        <f>HYPERLINK("https%3A%2F%2Fwww.webofscience.com%2Fwos%2Fwoscc%2Ffull-record%2FWOS:000384269600001","View Full Record in Web of Science")</f>
        <v>View Full Record in Web of Science</v>
      </c>
    </row>
    <row r="239" spans="1:72" x14ac:dyDescent="0.15">
      <c r="A239" t="s">
        <v>72</v>
      </c>
      <c r="B239" t="s">
        <v>4985</v>
      </c>
      <c r="C239" t="s">
        <v>74</v>
      </c>
      <c r="D239" t="s">
        <v>74</v>
      </c>
      <c r="E239" t="s">
        <v>74</v>
      </c>
      <c r="F239" t="s">
        <v>4986</v>
      </c>
      <c r="G239" t="s">
        <v>74</v>
      </c>
      <c r="H239" t="s">
        <v>74</v>
      </c>
      <c r="I239" t="s">
        <v>4987</v>
      </c>
      <c r="J239" t="s">
        <v>3036</v>
      </c>
      <c r="K239" t="s">
        <v>74</v>
      </c>
      <c r="L239" t="s">
        <v>74</v>
      </c>
      <c r="M239" t="s">
        <v>78</v>
      </c>
      <c r="N239" t="s">
        <v>79</v>
      </c>
      <c r="O239" t="s">
        <v>74</v>
      </c>
      <c r="P239" t="s">
        <v>74</v>
      </c>
      <c r="Q239" t="s">
        <v>74</v>
      </c>
      <c r="R239" t="s">
        <v>74</v>
      </c>
      <c r="S239" t="s">
        <v>74</v>
      </c>
      <c r="T239" t="s">
        <v>74</v>
      </c>
      <c r="U239" t="s">
        <v>4988</v>
      </c>
      <c r="V239" t="s">
        <v>4989</v>
      </c>
      <c r="W239" t="s">
        <v>4990</v>
      </c>
      <c r="X239" t="s">
        <v>4991</v>
      </c>
      <c r="Y239" t="s">
        <v>4992</v>
      </c>
      <c r="Z239" t="s">
        <v>4993</v>
      </c>
      <c r="AA239" t="s">
        <v>74</v>
      </c>
      <c r="AB239" t="s">
        <v>74</v>
      </c>
      <c r="AC239" t="s">
        <v>4994</v>
      </c>
      <c r="AD239" t="s">
        <v>4995</v>
      </c>
      <c r="AE239" t="s">
        <v>4996</v>
      </c>
      <c r="AF239" t="s">
        <v>74</v>
      </c>
      <c r="AG239">
        <v>54</v>
      </c>
      <c r="AH239">
        <v>16</v>
      </c>
      <c r="AI239">
        <v>18</v>
      </c>
      <c r="AJ239">
        <v>3</v>
      </c>
      <c r="AK239">
        <v>40</v>
      </c>
      <c r="AL239" t="s">
        <v>397</v>
      </c>
      <c r="AM239" t="s">
        <v>398</v>
      </c>
      <c r="AN239" t="s">
        <v>3379</v>
      </c>
      <c r="AO239" t="s">
        <v>3048</v>
      </c>
      <c r="AP239" t="s">
        <v>3049</v>
      </c>
      <c r="AQ239" t="s">
        <v>74</v>
      </c>
      <c r="AR239" t="s">
        <v>3050</v>
      </c>
      <c r="AS239" t="s">
        <v>3051</v>
      </c>
      <c r="AT239" t="s">
        <v>4965</v>
      </c>
      <c r="AU239">
        <v>2016</v>
      </c>
      <c r="AV239">
        <v>29</v>
      </c>
      <c r="AW239">
        <v>18</v>
      </c>
      <c r="AX239" t="s">
        <v>74</v>
      </c>
      <c r="AY239" t="s">
        <v>74</v>
      </c>
      <c r="AZ239" t="s">
        <v>74</v>
      </c>
      <c r="BA239" t="s">
        <v>74</v>
      </c>
      <c r="BB239">
        <v>6425</v>
      </c>
      <c r="BC239">
        <v>6444</v>
      </c>
      <c r="BD239" t="s">
        <v>74</v>
      </c>
      <c r="BE239" t="s">
        <v>4997</v>
      </c>
      <c r="BF239" t="str">
        <f>HYPERLINK("http://dx.doi.org/10.1175/JCLI-D-15-0645.1","http://dx.doi.org/10.1175/JCLI-D-15-0645.1")</f>
        <v>http://dx.doi.org/10.1175/JCLI-D-15-0645.1</v>
      </c>
      <c r="BG239" t="s">
        <v>74</v>
      </c>
      <c r="BH239" t="s">
        <v>74</v>
      </c>
      <c r="BI239">
        <v>20</v>
      </c>
      <c r="BJ239" t="s">
        <v>2482</v>
      </c>
      <c r="BK239" t="s">
        <v>156</v>
      </c>
      <c r="BL239" t="s">
        <v>2482</v>
      </c>
      <c r="BM239" t="s">
        <v>4998</v>
      </c>
      <c r="BN239" t="s">
        <v>74</v>
      </c>
      <c r="BO239" t="s">
        <v>407</v>
      </c>
      <c r="BP239" t="s">
        <v>74</v>
      </c>
      <c r="BQ239" t="s">
        <v>74</v>
      </c>
      <c r="BR239" t="s">
        <v>105</v>
      </c>
      <c r="BS239" t="s">
        <v>4999</v>
      </c>
      <c r="BT239" t="str">
        <f>HYPERLINK("https%3A%2F%2Fwww.webofscience.com%2Fwos%2Fwoscc%2Ffull-record%2FWOS:000383828300002","View Full Record in Web of Science")</f>
        <v>View Full Record in Web of Science</v>
      </c>
    </row>
    <row r="240" spans="1:72" x14ac:dyDescent="0.15">
      <c r="A240" t="s">
        <v>72</v>
      </c>
      <c r="B240" t="s">
        <v>5000</v>
      </c>
      <c r="C240" t="s">
        <v>74</v>
      </c>
      <c r="D240" t="s">
        <v>74</v>
      </c>
      <c r="E240" t="s">
        <v>74</v>
      </c>
      <c r="F240" t="s">
        <v>5001</v>
      </c>
      <c r="G240" t="s">
        <v>74</v>
      </c>
      <c r="H240" t="s">
        <v>74</v>
      </c>
      <c r="I240" t="s">
        <v>5002</v>
      </c>
      <c r="J240" t="s">
        <v>3036</v>
      </c>
      <c r="K240" t="s">
        <v>74</v>
      </c>
      <c r="L240" t="s">
        <v>74</v>
      </c>
      <c r="M240" t="s">
        <v>78</v>
      </c>
      <c r="N240" t="s">
        <v>79</v>
      </c>
      <c r="O240" t="s">
        <v>74</v>
      </c>
      <c r="P240" t="s">
        <v>74</v>
      </c>
      <c r="Q240" t="s">
        <v>74</v>
      </c>
      <c r="R240" t="s">
        <v>74</v>
      </c>
      <c r="S240" t="s">
        <v>74</v>
      </c>
      <c r="T240" t="s">
        <v>74</v>
      </c>
      <c r="U240" t="s">
        <v>5003</v>
      </c>
      <c r="V240" t="s">
        <v>5004</v>
      </c>
      <c r="W240" t="s">
        <v>5005</v>
      </c>
      <c r="X240" t="s">
        <v>5006</v>
      </c>
      <c r="Y240" t="s">
        <v>5007</v>
      </c>
      <c r="Z240" t="s">
        <v>5008</v>
      </c>
      <c r="AA240" t="s">
        <v>5009</v>
      </c>
      <c r="AB240" t="s">
        <v>5010</v>
      </c>
      <c r="AC240" t="s">
        <v>5011</v>
      </c>
      <c r="AD240" t="s">
        <v>5012</v>
      </c>
      <c r="AE240" t="s">
        <v>5013</v>
      </c>
      <c r="AF240" t="s">
        <v>74</v>
      </c>
      <c r="AG240">
        <v>49</v>
      </c>
      <c r="AH240">
        <v>48</v>
      </c>
      <c r="AI240">
        <v>55</v>
      </c>
      <c r="AJ240">
        <v>1</v>
      </c>
      <c r="AK240">
        <v>21</v>
      </c>
      <c r="AL240" t="s">
        <v>397</v>
      </c>
      <c r="AM240" t="s">
        <v>398</v>
      </c>
      <c r="AN240" t="s">
        <v>399</v>
      </c>
      <c r="AO240" t="s">
        <v>3048</v>
      </c>
      <c r="AP240" t="s">
        <v>3049</v>
      </c>
      <c r="AQ240" t="s">
        <v>74</v>
      </c>
      <c r="AR240" t="s">
        <v>3050</v>
      </c>
      <c r="AS240" t="s">
        <v>3051</v>
      </c>
      <c r="AT240" t="s">
        <v>4965</v>
      </c>
      <c r="AU240">
        <v>2016</v>
      </c>
      <c r="AV240">
        <v>29</v>
      </c>
      <c r="AW240">
        <v>18</v>
      </c>
      <c r="AX240" t="s">
        <v>74</v>
      </c>
      <c r="AY240" t="s">
        <v>74</v>
      </c>
      <c r="AZ240" t="s">
        <v>74</v>
      </c>
      <c r="BA240" t="s">
        <v>74</v>
      </c>
      <c r="BB240">
        <v>6563</v>
      </c>
      <c r="BC240">
        <v>6579</v>
      </c>
      <c r="BD240" t="s">
        <v>74</v>
      </c>
      <c r="BE240" t="s">
        <v>5014</v>
      </c>
      <c r="BF240" t="str">
        <f>HYPERLINK("http://dx.doi.org/10.1175/JCLI-D-15-0630.1","http://dx.doi.org/10.1175/JCLI-D-15-0630.1")</f>
        <v>http://dx.doi.org/10.1175/JCLI-D-15-0630.1</v>
      </c>
      <c r="BG240" t="s">
        <v>74</v>
      </c>
      <c r="BH240" t="s">
        <v>74</v>
      </c>
      <c r="BI240">
        <v>17</v>
      </c>
      <c r="BJ240" t="s">
        <v>2482</v>
      </c>
      <c r="BK240" t="s">
        <v>156</v>
      </c>
      <c r="BL240" t="s">
        <v>2482</v>
      </c>
      <c r="BM240" t="s">
        <v>4998</v>
      </c>
      <c r="BN240" t="s">
        <v>74</v>
      </c>
      <c r="BO240" t="s">
        <v>104</v>
      </c>
      <c r="BP240" t="s">
        <v>74</v>
      </c>
      <c r="BQ240" t="s">
        <v>74</v>
      </c>
      <c r="BR240" t="s">
        <v>105</v>
      </c>
      <c r="BS240" t="s">
        <v>5015</v>
      </c>
      <c r="BT240" t="str">
        <f>HYPERLINK("https%3A%2F%2Fwww.webofscience.com%2Fwos%2Fwoscc%2Ffull-record%2FWOS:000383828300009","View Full Record in Web of Science")</f>
        <v>View Full Record in Web of Science</v>
      </c>
    </row>
    <row r="241" spans="1:72" x14ac:dyDescent="0.15">
      <c r="A241" t="s">
        <v>72</v>
      </c>
      <c r="B241" t="s">
        <v>5016</v>
      </c>
      <c r="C241" t="s">
        <v>74</v>
      </c>
      <c r="D241" t="s">
        <v>74</v>
      </c>
      <c r="E241" t="s">
        <v>74</v>
      </c>
      <c r="F241" t="s">
        <v>5017</v>
      </c>
      <c r="G241" t="s">
        <v>74</v>
      </c>
      <c r="H241" t="s">
        <v>74</v>
      </c>
      <c r="I241" t="s">
        <v>5018</v>
      </c>
      <c r="J241" t="s">
        <v>4778</v>
      </c>
      <c r="K241" t="s">
        <v>74</v>
      </c>
      <c r="L241" t="s">
        <v>74</v>
      </c>
      <c r="M241" t="s">
        <v>78</v>
      </c>
      <c r="N241" t="s">
        <v>79</v>
      </c>
      <c r="O241" t="s">
        <v>74</v>
      </c>
      <c r="P241" t="s">
        <v>74</v>
      </c>
      <c r="Q241" t="s">
        <v>74</v>
      </c>
      <c r="R241" t="s">
        <v>74</v>
      </c>
      <c r="S241" t="s">
        <v>74</v>
      </c>
      <c r="T241" t="s">
        <v>74</v>
      </c>
      <c r="U241" t="s">
        <v>5019</v>
      </c>
      <c r="V241" t="s">
        <v>5020</v>
      </c>
      <c r="W241" t="s">
        <v>5021</v>
      </c>
      <c r="X241" t="s">
        <v>5022</v>
      </c>
      <c r="Y241" t="s">
        <v>5023</v>
      </c>
      <c r="Z241" t="s">
        <v>5024</v>
      </c>
      <c r="AA241" t="s">
        <v>5025</v>
      </c>
      <c r="AB241" t="s">
        <v>5026</v>
      </c>
      <c r="AC241" t="s">
        <v>5027</v>
      </c>
      <c r="AD241" t="s">
        <v>5028</v>
      </c>
      <c r="AE241" t="s">
        <v>5029</v>
      </c>
      <c r="AF241" t="s">
        <v>74</v>
      </c>
      <c r="AG241">
        <v>44</v>
      </c>
      <c r="AH241">
        <v>84</v>
      </c>
      <c r="AI241">
        <v>92</v>
      </c>
      <c r="AJ241">
        <v>1</v>
      </c>
      <c r="AK241">
        <v>51</v>
      </c>
      <c r="AL241" t="s">
        <v>275</v>
      </c>
      <c r="AM241" t="s">
        <v>250</v>
      </c>
      <c r="AN241" t="s">
        <v>276</v>
      </c>
      <c r="AO241" t="s">
        <v>4790</v>
      </c>
      <c r="AP241" t="s">
        <v>4791</v>
      </c>
      <c r="AQ241" t="s">
        <v>74</v>
      </c>
      <c r="AR241" t="s">
        <v>4778</v>
      </c>
      <c r="AS241" t="s">
        <v>4792</v>
      </c>
      <c r="AT241" t="s">
        <v>4965</v>
      </c>
      <c r="AU241">
        <v>2016</v>
      </c>
      <c r="AV241">
        <v>537</v>
      </c>
      <c r="AW241">
        <v>7620</v>
      </c>
      <c r="AX241" t="s">
        <v>74</v>
      </c>
      <c r="AY241" t="s">
        <v>74</v>
      </c>
      <c r="AZ241" t="s">
        <v>74</v>
      </c>
      <c r="BA241" t="s">
        <v>74</v>
      </c>
      <c r="BB241">
        <v>399</v>
      </c>
      <c r="BC241" t="s">
        <v>5030</v>
      </c>
      <c r="BD241" t="s">
        <v>74</v>
      </c>
      <c r="BE241" t="s">
        <v>5031</v>
      </c>
      <c r="BF241" t="str">
        <f>HYPERLINK("http://dx.doi.org/10.1038/nature19351","http://dx.doi.org/10.1038/nature19351")</f>
        <v>http://dx.doi.org/10.1038/nature19351</v>
      </c>
      <c r="BG241" t="s">
        <v>74</v>
      </c>
      <c r="BH241" t="s">
        <v>74</v>
      </c>
      <c r="BI241">
        <v>17</v>
      </c>
      <c r="BJ241" t="s">
        <v>719</v>
      </c>
      <c r="BK241" t="s">
        <v>156</v>
      </c>
      <c r="BL241" t="s">
        <v>720</v>
      </c>
      <c r="BM241" t="s">
        <v>5032</v>
      </c>
      <c r="BN241">
        <v>27629644</v>
      </c>
      <c r="BO241" t="s">
        <v>74</v>
      </c>
      <c r="BP241" t="s">
        <v>74</v>
      </c>
      <c r="BQ241" t="s">
        <v>74</v>
      </c>
      <c r="BR241" t="s">
        <v>105</v>
      </c>
      <c r="BS241" t="s">
        <v>5033</v>
      </c>
      <c r="BT241" t="str">
        <f>HYPERLINK("https%3A%2F%2Fwww.webofscience.com%2Fwos%2Fwoscc%2Ffull-record%2FWOS:000383098000053","View Full Record in Web of Science")</f>
        <v>View Full Record in Web of Science</v>
      </c>
    </row>
    <row r="242" spans="1:72" x14ac:dyDescent="0.15">
      <c r="A242" t="s">
        <v>72</v>
      </c>
      <c r="B242" t="s">
        <v>5034</v>
      </c>
      <c r="C242" t="s">
        <v>74</v>
      </c>
      <c r="D242" t="s">
        <v>74</v>
      </c>
      <c r="E242" t="s">
        <v>74</v>
      </c>
      <c r="F242" t="s">
        <v>5035</v>
      </c>
      <c r="G242" t="s">
        <v>74</v>
      </c>
      <c r="H242" t="s">
        <v>74</v>
      </c>
      <c r="I242" t="s">
        <v>5036</v>
      </c>
      <c r="J242" t="s">
        <v>1654</v>
      </c>
      <c r="K242" t="s">
        <v>74</v>
      </c>
      <c r="L242" t="s">
        <v>74</v>
      </c>
      <c r="M242" t="s">
        <v>78</v>
      </c>
      <c r="N242" t="s">
        <v>79</v>
      </c>
      <c r="O242" t="s">
        <v>74</v>
      </c>
      <c r="P242" t="s">
        <v>74</v>
      </c>
      <c r="Q242" t="s">
        <v>74</v>
      </c>
      <c r="R242" t="s">
        <v>74</v>
      </c>
      <c r="S242" t="s">
        <v>74</v>
      </c>
      <c r="T242" t="s">
        <v>5037</v>
      </c>
      <c r="U242" t="s">
        <v>5038</v>
      </c>
      <c r="V242" t="s">
        <v>5039</v>
      </c>
      <c r="W242" t="s">
        <v>5040</v>
      </c>
      <c r="X242" t="s">
        <v>5041</v>
      </c>
      <c r="Y242" t="s">
        <v>5042</v>
      </c>
      <c r="Z242" t="s">
        <v>5043</v>
      </c>
      <c r="AA242" t="s">
        <v>5044</v>
      </c>
      <c r="AB242" t="s">
        <v>5045</v>
      </c>
      <c r="AC242" t="s">
        <v>5046</v>
      </c>
      <c r="AD242" t="s">
        <v>5047</v>
      </c>
      <c r="AE242" t="s">
        <v>5048</v>
      </c>
      <c r="AF242" t="s">
        <v>74</v>
      </c>
      <c r="AG242">
        <v>128</v>
      </c>
      <c r="AH242">
        <v>27</v>
      </c>
      <c r="AI242">
        <v>32</v>
      </c>
      <c r="AJ242">
        <v>2</v>
      </c>
      <c r="AK242">
        <v>34</v>
      </c>
      <c r="AL242" t="s">
        <v>303</v>
      </c>
      <c r="AM242" t="s">
        <v>304</v>
      </c>
      <c r="AN242" t="s">
        <v>305</v>
      </c>
      <c r="AO242" t="s">
        <v>1666</v>
      </c>
      <c r="AP242" t="s">
        <v>74</v>
      </c>
      <c r="AQ242" t="s">
        <v>74</v>
      </c>
      <c r="AR242" t="s">
        <v>1668</v>
      </c>
      <c r="AS242" t="s">
        <v>1669</v>
      </c>
      <c r="AT242" t="s">
        <v>4965</v>
      </c>
      <c r="AU242">
        <v>2016</v>
      </c>
      <c r="AV242">
        <v>148</v>
      </c>
      <c r="AW242" t="s">
        <v>74</v>
      </c>
      <c r="AX242" t="s">
        <v>74</v>
      </c>
      <c r="AY242" t="s">
        <v>74</v>
      </c>
      <c r="AZ242" t="s">
        <v>74</v>
      </c>
      <c r="BA242" t="s">
        <v>74</v>
      </c>
      <c r="BB242">
        <v>54</v>
      </c>
      <c r="BC242">
        <v>67</v>
      </c>
      <c r="BD242" t="s">
        <v>74</v>
      </c>
      <c r="BE242" t="s">
        <v>5049</v>
      </c>
      <c r="BF242" t="str">
        <f>HYPERLINK("http://dx.doi.org/10.1016/j.quascirev.2016.07.010","http://dx.doi.org/10.1016/j.quascirev.2016.07.010")</f>
        <v>http://dx.doi.org/10.1016/j.quascirev.2016.07.010</v>
      </c>
      <c r="BG242" t="s">
        <v>74</v>
      </c>
      <c r="BH242" t="s">
        <v>74</v>
      </c>
      <c r="BI242">
        <v>14</v>
      </c>
      <c r="BJ242" t="s">
        <v>203</v>
      </c>
      <c r="BK242" t="s">
        <v>156</v>
      </c>
      <c r="BL242" t="s">
        <v>204</v>
      </c>
      <c r="BM242" t="s">
        <v>5050</v>
      </c>
      <c r="BN242" t="s">
        <v>74</v>
      </c>
      <c r="BO242" t="s">
        <v>104</v>
      </c>
      <c r="BP242" t="s">
        <v>74</v>
      </c>
      <c r="BQ242" t="s">
        <v>74</v>
      </c>
      <c r="BR242" t="s">
        <v>105</v>
      </c>
      <c r="BS242" t="s">
        <v>5051</v>
      </c>
      <c r="BT242" t="str">
        <f>HYPERLINK("https%3A%2F%2Fwww.webofscience.com%2Fwos%2Fwoscc%2Ffull-record%2FWOS:000383313100005","View Full Record in Web of Science")</f>
        <v>View Full Record in Web of Science</v>
      </c>
    </row>
    <row r="243" spans="1:72" x14ac:dyDescent="0.15">
      <c r="A243" t="s">
        <v>72</v>
      </c>
      <c r="B243" t="s">
        <v>5052</v>
      </c>
      <c r="C243" t="s">
        <v>74</v>
      </c>
      <c r="D243" t="s">
        <v>74</v>
      </c>
      <c r="E243" t="s">
        <v>74</v>
      </c>
      <c r="F243" t="s">
        <v>5053</v>
      </c>
      <c r="G243" t="s">
        <v>74</v>
      </c>
      <c r="H243" t="s">
        <v>74</v>
      </c>
      <c r="I243" t="s">
        <v>5054</v>
      </c>
      <c r="J243" t="s">
        <v>5055</v>
      </c>
      <c r="K243" t="s">
        <v>74</v>
      </c>
      <c r="L243" t="s">
        <v>74</v>
      </c>
      <c r="M243" t="s">
        <v>78</v>
      </c>
      <c r="N243" t="s">
        <v>79</v>
      </c>
      <c r="O243" t="s">
        <v>74</v>
      </c>
      <c r="P243" t="s">
        <v>74</v>
      </c>
      <c r="Q243" t="s">
        <v>74</v>
      </c>
      <c r="R243" t="s">
        <v>74</v>
      </c>
      <c r="S243" t="s">
        <v>74</v>
      </c>
      <c r="T243" t="s">
        <v>5056</v>
      </c>
      <c r="U243" t="s">
        <v>5057</v>
      </c>
      <c r="V243" t="s">
        <v>5058</v>
      </c>
      <c r="W243" t="s">
        <v>5059</v>
      </c>
      <c r="X243" t="s">
        <v>5060</v>
      </c>
      <c r="Y243" t="s">
        <v>5061</v>
      </c>
      <c r="Z243" t="s">
        <v>5062</v>
      </c>
      <c r="AA243" t="s">
        <v>5063</v>
      </c>
      <c r="AB243" t="s">
        <v>74</v>
      </c>
      <c r="AC243" t="s">
        <v>5064</v>
      </c>
      <c r="AD243" t="s">
        <v>5065</v>
      </c>
      <c r="AE243" t="s">
        <v>5066</v>
      </c>
      <c r="AF243" t="s">
        <v>74</v>
      </c>
      <c r="AG243">
        <v>15</v>
      </c>
      <c r="AH243">
        <v>8</v>
      </c>
      <c r="AI243">
        <v>10</v>
      </c>
      <c r="AJ243">
        <v>0</v>
      </c>
      <c r="AK243">
        <v>9</v>
      </c>
      <c r="AL243" t="s">
        <v>474</v>
      </c>
      <c r="AM243" t="s">
        <v>304</v>
      </c>
      <c r="AN243" t="s">
        <v>475</v>
      </c>
      <c r="AO243" t="s">
        <v>5067</v>
      </c>
      <c r="AP243" t="s">
        <v>5068</v>
      </c>
      <c r="AQ243" t="s">
        <v>74</v>
      </c>
      <c r="AR243" t="s">
        <v>5069</v>
      </c>
      <c r="AS243" t="s">
        <v>5070</v>
      </c>
      <c r="AT243" t="s">
        <v>4965</v>
      </c>
      <c r="AU243">
        <v>2016</v>
      </c>
      <c r="AV243">
        <v>58</v>
      </c>
      <c r="AW243">
        <v>6</v>
      </c>
      <c r="AX243" t="s">
        <v>74</v>
      </c>
      <c r="AY243" t="s">
        <v>74</v>
      </c>
      <c r="AZ243" t="s">
        <v>74</v>
      </c>
      <c r="BA243" t="s">
        <v>74</v>
      </c>
      <c r="BB243">
        <v>835</v>
      </c>
      <c r="BC243">
        <v>846</v>
      </c>
      <c r="BD243" t="s">
        <v>74</v>
      </c>
      <c r="BE243" t="s">
        <v>5071</v>
      </c>
      <c r="BF243" t="str">
        <f>HYPERLINK("http://dx.doi.org/10.1016/j.asr.2016.05.027","http://dx.doi.org/10.1016/j.asr.2016.05.027")</f>
        <v>http://dx.doi.org/10.1016/j.asr.2016.05.027</v>
      </c>
      <c r="BG243" t="s">
        <v>74</v>
      </c>
      <c r="BH243" t="s">
        <v>74</v>
      </c>
      <c r="BI243">
        <v>12</v>
      </c>
      <c r="BJ243" t="s">
        <v>5072</v>
      </c>
      <c r="BK243" t="s">
        <v>156</v>
      </c>
      <c r="BL243" t="s">
        <v>5073</v>
      </c>
      <c r="BM243" t="s">
        <v>5074</v>
      </c>
      <c r="BN243" t="s">
        <v>74</v>
      </c>
      <c r="BO243" t="s">
        <v>74</v>
      </c>
      <c r="BP243" t="s">
        <v>74</v>
      </c>
      <c r="BQ243" t="s">
        <v>74</v>
      </c>
      <c r="BR243" t="s">
        <v>105</v>
      </c>
      <c r="BS243" t="s">
        <v>5075</v>
      </c>
      <c r="BT243" t="str">
        <f>HYPERLINK("https%3A%2F%2Fwww.webofscience.com%2Fwos%2Fwoscc%2Ffull-record%2FWOS:000381837900002","View Full Record in Web of Science")</f>
        <v>View Full Record in Web of Science</v>
      </c>
    </row>
    <row r="244" spans="1:72" x14ac:dyDescent="0.15">
      <c r="A244" t="s">
        <v>72</v>
      </c>
      <c r="B244" t="s">
        <v>1712</v>
      </c>
      <c r="C244" t="s">
        <v>74</v>
      </c>
      <c r="D244" t="s">
        <v>74</v>
      </c>
      <c r="E244" t="s">
        <v>74</v>
      </c>
      <c r="F244" t="s">
        <v>1712</v>
      </c>
      <c r="G244" t="s">
        <v>74</v>
      </c>
      <c r="H244" t="s">
        <v>74</v>
      </c>
      <c r="I244" t="s">
        <v>5076</v>
      </c>
      <c r="J244" t="s">
        <v>1714</v>
      </c>
      <c r="K244" t="s">
        <v>74</v>
      </c>
      <c r="L244" t="s">
        <v>74</v>
      </c>
      <c r="M244" t="s">
        <v>78</v>
      </c>
      <c r="N244" t="s">
        <v>1715</v>
      </c>
      <c r="O244" t="s">
        <v>74</v>
      </c>
      <c r="P244" t="s">
        <v>74</v>
      </c>
      <c r="Q244" t="s">
        <v>74</v>
      </c>
      <c r="R244" t="s">
        <v>74</v>
      </c>
      <c r="S244" t="s">
        <v>74</v>
      </c>
      <c r="T244" t="s">
        <v>74</v>
      </c>
      <c r="U244" t="s">
        <v>74</v>
      </c>
      <c r="V244" t="s">
        <v>74</v>
      </c>
      <c r="W244" t="s">
        <v>74</v>
      </c>
      <c r="X244" t="s">
        <v>74</v>
      </c>
      <c r="Y244" t="s">
        <v>74</v>
      </c>
      <c r="Z244" t="s">
        <v>74</v>
      </c>
      <c r="AA244" t="s">
        <v>74</v>
      </c>
      <c r="AB244" t="s">
        <v>74</v>
      </c>
      <c r="AC244" t="s">
        <v>74</v>
      </c>
      <c r="AD244" t="s">
        <v>74</v>
      </c>
      <c r="AE244" t="s">
        <v>74</v>
      </c>
      <c r="AF244" t="s">
        <v>74</v>
      </c>
      <c r="AG244">
        <v>0</v>
      </c>
      <c r="AH244">
        <v>0</v>
      </c>
      <c r="AI244">
        <v>0</v>
      </c>
      <c r="AJ244">
        <v>0</v>
      </c>
      <c r="AK244">
        <v>3</v>
      </c>
      <c r="AL244" t="s">
        <v>303</v>
      </c>
      <c r="AM244" t="s">
        <v>304</v>
      </c>
      <c r="AN244" t="s">
        <v>305</v>
      </c>
      <c r="AO244" t="s">
        <v>1716</v>
      </c>
      <c r="AP244" t="s">
        <v>1717</v>
      </c>
      <c r="AQ244" t="s">
        <v>74</v>
      </c>
      <c r="AR244" t="s">
        <v>1718</v>
      </c>
      <c r="AS244" t="s">
        <v>1719</v>
      </c>
      <c r="AT244" t="s">
        <v>4965</v>
      </c>
      <c r="AU244">
        <v>2016</v>
      </c>
      <c r="AV244">
        <v>110</v>
      </c>
      <c r="AW244">
        <v>1</v>
      </c>
      <c r="AX244" t="s">
        <v>74</v>
      </c>
      <c r="AY244" t="s">
        <v>74</v>
      </c>
      <c r="AZ244" t="s">
        <v>74</v>
      </c>
      <c r="BA244" t="s">
        <v>74</v>
      </c>
      <c r="BB244">
        <v>2</v>
      </c>
      <c r="BC244">
        <v>2</v>
      </c>
      <c r="BD244" t="s">
        <v>74</v>
      </c>
      <c r="BE244" t="s">
        <v>74</v>
      </c>
      <c r="BF244" t="s">
        <v>74</v>
      </c>
      <c r="BG244" t="s">
        <v>74</v>
      </c>
      <c r="BH244" t="s">
        <v>74</v>
      </c>
      <c r="BI244">
        <v>1</v>
      </c>
      <c r="BJ244" t="s">
        <v>1721</v>
      </c>
      <c r="BK244" t="s">
        <v>156</v>
      </c>
      <c r="BL244" t="s">
        <v>694</v>
      </c>
      <c r="BM244" t="s">
        <v>5077</v>
      </c>
      <c r="BN244" t="s">
        <v>74</v>
      </c>
      <c r="BO244" t="s">
        <v>74</v>
      </c>
      <c r="BP244" t="s">
        <v>74</v>
      </c>
      <c r="BQ244" t="s">
        <v>74</v>
      </c>
      <c r="BR244" t="s">
        <v>105</v>
      </c>
      <c r="BS244" t="s">
        <v>5078</v>
      </c>
      <c r="BT244" t="str">
        <f>HYPERLINK("https%3A%2F%2Fwww.webofscience.com%2Fwos%2Fwoscc%2Ffull-record%2FWOS:000382339900006","View Full Record in Web of Science")</f>
        <v>View Full Record in Web of Science</v>
      </c>
    </row>
    <row r="245" spans="1:72" x14ac:dyDescent="0.15">
      <c r="A245" t="s">
        <v>72</v>
      </c>
      <c r="B245" t="s">
        <v>5079</v>
      </c>
      <c r="C245" t="s">
        <v>74</v>
      </c>
      <c r="D245" t="s">
        <v>74</v>
      </c>
      <c r="E245" t="s">
        <v>74</v>
      </c>
      <c r="F245" t="s">
        <v>5080</v>
      </c>
      <c r="G245" t="s">
        <v>74</v>
      </c>
      <c r="H245" t="s">
        <v>74</v>
      </c>
      <c r="I245" t="s">
        <v>5081</v>
      </c>
      <c r="J245" t="s">
        <v>1714</v>
      </c>
      <c r="K245" t="s">
        <v>74</v>
      </c>
      <c r="L245" t="s">
        <v>74</v>
      </c>
      <c r="M245" t="s">
        <v>78</v>
      </c>
      <c r="N245" t="s">
        <v>79</v>
      </c>
      <c r="O245" t="s">
        <v>74</v>
      </c>
      <c r="P245" t="s">
        <v>74</v>
      </c>
      <c r="Q245" t="s">
        <v>74</v>
      </c>
      <c r="R245" t="s">
        <v>74</v>
      </c>
      <c r="S245" t="s">
        <v>74</v>
      </c>
      <c r="T245" t="s">
        <v>5082</v>
      </c>
      <c r="U245" t="s">
        <v>5083</v>
      </c>
      <c r="V245" t="s">
        <v>5084</v>
      </c>
      <c r="W245" t="s">
        <v>5085</v>
      </c>
      <c r="X245" t="s">
        <v>5086</v>
      </c>
      <c r="Y245" t="s">
        <v>5087</v>
      </c>
      <c r="Z245" t="s">
        <v>5088</v>
      </c>
      <c r="AA245" t="s">
        <v>5089</v>
      </c>
      <c r="AB245" t="s">
        <v>5090</v>
      </c>
      <c r="AC245" t="s">
        <v>5091</v>
      </c>
      <c r="AD245" t="s">
        <v>5091</v>
      </c>
      <c r="AE245" t="s">
        <v>5092</v>
      </c>
      <c r="AF245" t="s">
        <v>74</v>
      </c>
      <c r="AG245">
        <v>73</v>
      </c>
      <c r="AH245">
        <v>12</v>
      </c>
      <c r="AI245">
        <v>13</v>
      </c>
      <c r="AJ245">
        <v>2</v>
      </c>
      <c r="AK245">
        <v>33</v>
      </c>
      <c r="AL245" t="s">
        <v>303</v>
      </c>
      <c r="AM245" t="s">
        <v>304</v>
      </c>
      <c r="AN245" t="s">
        <v>305</v>
      </c>
      <c r="AO245" t="s">
        <v>1716</v>
      </c>
      <c r="AP245" t="s">
        <v>1717</v>
      </c>
      <c r="AQ245" t="s">
        <v>74</v>
      </c>
      <c r="AR245" t="s">
        <v>1718</v>
      </c>
      <c r="AS245" t="s">
        <v>1719</v>
      </c>
      <c r="AT245" t="s">
        <v>4965</v>
      </c>
      <c r="AU245">
        <v>2016</v>
      </c>
      <c r="AV245">
        <v>110</v>
      </c>
      <c r="AW245">
        <v>1</v>
      </c>
      <c r="AX245" t="s">
        <v>74</v>
      </c>
      <c r="AY245" t="s">
        <v>74</v>
      </c>
      <c r="AZ245" t="s">
        <v>74</v>
      </c>
      <c r="BA245" t="s">
        <v>74</v>
      </c>
      <c r="BB245">
        <v>261</v>
      </c>
      <c r="BC245">
        <v>273</v>
      </c>
      <c r="BD245" t="s">
        <v>74</v>
      </c>
      <c r="BE245" t="s">
        <v>5093</v>
      </c>
      <c r="BF245" t="str">
        <f>HYPERLINK("http://dx.doi.org/10.1016/j.marpolbul.2016.06.055","http://dx.doi.org/10.1016/j.marpolbul.2016.06.055")</f>
        <v>http://dx.doi.org/10.1016/j.marpolbul.2016.06.055</v>
      </c>
      <c r="BG245" t="s">
        <v>74</v>
      </c>
      <c r="BH245" t="s">
        <v>74</v>
      </c>
      <c r="BI245">
        <v>13</v>
      </c>
      <c r="BJ245" t="s">
        <v>1721</v>
      </c>
      <c r="BK245" t="s">
        <v>156</v>
      </c>
      <c r="BL245" t="s">
        <v>694</v>
      </c>
      <c r="BM245" t="s">
        <v>5077</v>
      </c>
      <c r="BN245">
        <v>27329818</v>
      </c>
      <c r="BO245" t="s">
        <v>74</v>
      </c>
      <c r="BP245" t="s">
        <v>74</v>
      </c>
      <c r="BQ245" t="s">
        <v>74</v>
      </c>
      <c r="BR245" t="s">
        <v>105</v>
      </c>
      <c r="BS245" t="s">
        <v>5094</v>
      </c>
      <c r="BT245" t="str">
        <f>HYPERLINK("https%3A%2F%2Fwww.webofscience.com%2Fwos%2Fwoscc%2Ffull-record%2FWOS:000382339900039","View Full Record in Web of Science")</f>
        <v>View Full Record in Web of Science</v>
      </c>
    </row>
    <row r="246" spans="1:72" x14ac:dyDescent="0.15">
      <c r="A246" t="s">
        <v>72</v>
      </c>
      <c r="B246" t="s">
        <v>5095</v>
      </c>
      <c r="C246" t="s">
        <v>74</v>
      </c>
      <c r="D246" t="s">
        <v>74</v>
      </c>
      <c r="E246" t="s">
        <v>74</v>
      </c>
      <c r="F246" t="s">
        <v>5096</v>
      </c>
      <c r="G246" t="s">
        <v>74</v>
      </c>
      <c r="H246" t="s">
        <v>74</v>
      </c>
      <c r="I246" t="s">
        <v>5097</v>
      </c>
      <c r="J246" t="s">
        <v>876</v>
      </c>
      <c r="K246" t="s">
        <v>74</v>
      </c>
      <c r="L246" t="s">
        <v>74</v>
      </c>
      <c r="M246" t="s">
        <v>78</v>
      </c>
      <c r="N246" t="s">
        <v>79</v>
      </c>
      <c r="O246" t="s">
        <v>74</v>
      </c>
      <c r="P246" t="s">
        <v>74</v>
      </c>
      <c r="Q246" t="s">
        <v>74</v>
      </c>
      <c r="R246" t="s">
        <v>74</v>
      </c>
      <c r="S246" t="s">
        <v>74</v>
      </c>
      <c r="T246" t="s">
        <v>5098</v>
      </c>
      <c r="U246" t="s">
        <v>5099</v>
      </c>
      <c r="V246" t="s">
        <v>5100</v>
      </c>
      <c r="W246" t="s">
        <v>5101</v>
      </c>
      <c r="X246" t="s">
        <v>5102</v>
      </c>
      <c r="Y246" t="s">
        <v>5103</v>
      </c>
      <c r="Z246" t="s">
        <v>5104</v>
      </c>
      <c r="AA246" t="s">
        <v>5105</v>
      </c>
      <c r="AB246" t="s">
        <v>5106</v>
      </c>
      <c r="AC246" t="s">
        <v>74</v>
      </c>
      <c r="AD246" t="s">
        <v>74</v>
      </c>
      <c r="AE246" t="s">
        <v>74</v>
      </c>
      <c r="AF246" t="s">
        <v>74</v>
      </c>
      <c r="AG246">
        <v>76</v>
      </c>
      <c r="AH246">
        <v>30</v>
      </c>
      <c r="AI246">
        <v>30</v>
      </c>
      <c r="AJ246">
        <v>1</v>
      </c>
      <c r="AK246">
        <v>47</v>
      </c>
      <c r="AL246" t="s">
        <v>303</v>
      </c>
      <c r="AM246" t="s">
        <v>304</v>
      </c>
      <c r="AN246" t="s">
        <v>305</v>
      </c>
      <c r="AO246" t="s">
        <v>889</v>
      </c>
      <c r="AP246" t="s">
        <v>890</v>
      </c>
      <c r="AQ246" t="s">
        <v>74</v>
      </c>
      <c r="AR246" t="s">
        <v>891</v>
      </c>
      <c r="AS246" t="s">
        <v>892</v>
      </c>
      <c r="AT246" t="s">
        <v>4965</v>
      </c>
      <c r="AU246">
        <v>2016</v>
      </c>
      <c r="AV246">
        <v>189</v>
      </c>
      <c r="AW246" t="s">
        <v>74</v>
      </c>
      <c r="AX246" t="s">
        <v>74</v>
      </c>
      <c r="AY246" t="s">
        <v>74</v>
      </c>
      <c r="AZ246" t="s">
        <v>74</v>
      </c>
      <c r="BA246" t="s">
        <v>74</v>
      </c>
      <c r="BB246">
        <v>296</v>
      </c>
      <c r="BC246">
        <v>311</v>
      </c>
      <c r="BD246" t="s">
        <v>74</v>
      </c>
      <c r="BE246" t="s">
        <v>5107</v>
      </c>
      <c r="BF246" t="str">
        <f>HYPERLINK("http://dx.doi.org/10.1016/j.gca.2016.06.018","http://dx.doi.org/10.1016/j.gca.2016.06.018")</f>
        <v>http://dx.doi.org/10.1016/j.gca.2016.06.018</v>
      </c>
      <c r="BG246" t="s">
        <v>74</v>
      </c>
      <c r="BH246" t="s">
        <v>74</v>
      </c>
      <c r="BI246">
        <v>16</v>
      </c>
      <c r="BJ246" t="s">
        <v>155</v>
      </c>
      <c r="BK246" t="s">
        <v>156</v>
      </c>
      <c r="BL246" t="s">
        <v>155</v>
      </c>
      <c r="BM246" t="s">
        <v>5108</v>
      </c>
      <c r="BN246" t="s">
        <v>74</v>
      </c>
      <c r="BO246" t="s">
        <v>104</v>
      </c>
      <c r="BP246" t="s">
        <v>74</v>
      </c>
      <c r="BQ246" t="s">
        <v>74</v>
      </c>
      <c r="BR246" t="s">
        <v>105</v>
      </c>
      <c r="BS246" t="s">
        <v>5109</v>
      </c>
      <c r="BT246" t="str">
        <f>HYPERLINK("https%3A%2F%2Fwww.webofscience.com%2Fwos%2Fwoscc%2Ffull-record%2FWOS:000380753100018","View Full Record in Web of Science")</f>
        <v>View Full Record in Web of Science</v>
      </c>
    </row>
    <row r="247" spans="1:72" x14ac:dyDescent="0.15">
      <c r="A247" t="s">
        <v>72</v>
      </c>
      <c r="B247" t="s">
        <v>5110</v>
      </c>
      <c r="C247" t="s">
        <v>74</v>
      </c>
      <c r="D247" t="s">
        <v>74</v>
      </c>
      <c r="E247" t="s">
        <v>74</v>
      </c>
      <c r="F247" t="s">
        <v>5111</v>
      </c>
      <c r="G247" t="s">
        <v>74</v>
      </c>
      <c r="H247" t="s">
        <v>74</v>
      </c>
      <c r="I247" t="s">
        <v>5112</v>
      </c>
      <c r="J247" t="s">
        <v>876</v>
      </c>
      <c r="K247" t="s">
        <v>74</v>
      </c>
      <c r="L247" t="s">
        <v>74</v>
      </c>
      <c r="M247" t="s">
        <v>78</v>
      </c>
      <c r="N247" t="s">
        <v>79</v>
      </c>
      <c r="O247" t="s">
        <v>74</v>
      </c>
      <c r="P247" t="s">
        <v>74</v>
      </c>
      <c r="Q247" t="s">
        <v>74</v>
      </c>
      <c r="R247" t="s">
        <v>74</v>
      </c>
      <c r="S247" t="s">
        <v>74</v>
      </c>
      <c r="T247" t="s">
        <v>5113</v>
      </c>
      <c r="U247" t="s">
        <v>5114</v>
      </c>
      <c r="V247" t="s">
        <v>5115</v>
      </c>
      <c r="W247" t="s">
        <v>5116</v>
      </c>
      <c r="X247" t="s">
        <v>5117</v>
      </c>
      <c r="Y247" t="s">
        <v>5118</v>
      </c>
      <c r="Z247" t="s">
        <v>5119</v>
      </c>
      <c r="AA247" t="s">
        <v>5120</v>
      </c>
      <c r="AB247" t="s">
        <v>5121</v>
      </c>
      <c r="AC247" t="s">
        <v>74</v>
      </c>
      <c r="AD247" t="s">
        <v>74</v>
      </c>
      <c r="AE247" t="s">
        <v>74</v>
      </c>
      <c r="AF247" t="s">
        <v>74</v>
      </c>
      <c r="AG247">
        <v>62</v>
      </c>
      <c r="AH247">
        <v>89</v>
      </c>
      <c r="AI247">
        <v>94</v>
      </c>
      <c r="AJ247">
        <v>2</v>
      </c>
      <c r="AK247">
        <v>32</v>
      </c>
      <c r="AL247" t="s">
        <v>303</v>
      </c>
      <c r="AM247" t="s">
        <v>304</v>
      </c>
      <c r="AN247" t="s">
        <v>305</v>
      </c>
      <c r="AO247" t="s">
        <v>889</v>
      </c>
      <c r="AP247" t="s">
        <v>890</v>
      </c>
      <c r="AQ247" t="s">
        <v>74</v>
      </c>
      <c r="AR247" t="s">
        <v>891</v>
      </c>
      <c r="AS247" t="s">
        <v>892</v>
      </c>
      <c r="AT247" t="s">
        <v>4965</v>
      </c>
      <c r="AU247">
        <v>2016</v>
      </c>
      <c r="AV247">
        <v>189</v>
      </c>
      <c r="AW247" t="s">
        <v>74</v>
      </c>
      <c r="AX247" t="s">
        <v>74</v>
      </c>
      <c r="AY247" t="s">
        <v>74</v>
      </c>
      <c r="AZ247" t="s">
        <v>74</v>
      </c>
      <c r="BA247" t="s">
        <v>74</v>
      </c>
      <c r="BB247">
        <v>312</v>
      </c>
      <c r="BC247">
        <v>337</v>
      </c>
      <c r="BD247" t="s">
        <v>74</v>
      </c>
      <c r="BE247" t="s">
        <v>5122</v>
      </c>
      <c r="BF247" t="str">
        <f>HYPERLINK("http://dx.doi.org/10.1016/j.gca.2016.06.017","http://dx.doi.org/10.1016/j.gca.2016.06.017")</f>
        <v>http://dx.doi.org/10.1016/j.gca.2016.06.017</v>
      </c>
      <c r="BG247" t="s">
        <v>74</v>
      </c>
      <c r="BH247" t="s">
        <v>74</v>
      </c>
      <c r="BI247">
        <v>26</v>
      </c>
      <c r="BJ247" t="s">
        <v>155</v>
      </c>
      <c r="BK247" t="s">
        <v>156</v>
      </c>
      <c r="BL247" t="s">
        <v>155</v>
      </c>
      <c r="BM247" t="s">
        <v>5108</v>
      </c>
      <c r="BN247" t="s">
        <v>74</v>
      </c>
      <c r="BO247" t="s">
        <v>74</v>
      </c>
      <c r="BP247" t="s">
        <v>74</v>
      </c>
      <c r="BQ247" t="s">
        <v>74</v>
      </c>
      <c r="BR247" t="s">
        <v>105</v>
      </c>
      <c r="BS247" t="s">
        <v>5123</v>
      </c>
      <c r="BT247" t="str">
        <f>HYPERLINK("https%3A%2F%2Fwww.webofscience.com%2Fwos%2Fwoscc%2Ffull-record%2FWOS:000380753100019","View Full Record in Web of Science")</f>
        <v>View Full Record in Web of Science</v>
      </c>
    </row>
    <row r="248" spans="1:72" x14ac:dyDescent="0.15">
      <c r="A248" t="s">
        <v>72</v>
      </c>
      <c r="B248" t="s">
        <v>5124</v>
      </c>
      <c r="C248" t="s">
        <v>74</v>
      </c>
      <c r="D248" t="s">
        <v>74</v>
      </c>
      <c r="E248" t="s">
        <v>74</v>
      </c>
      <c r="F248" t="s">
        <v>5125</v>
      </c>
      <c r="G248" t="s">
        <v>74</v>
      </c>
      <c r="H248" t="s">
        <v>74</v>
      </c>
      <c r="I248" t="s">
        <v>5126</v>
      </c>
      <c r="J248" t="s">
        <v>900</v>
      </c>
      <c r="K248" t="s">
        <v>74</v>
      </c>
      <c r="L248" t="s">
        <v>74</v>
      </c>
      <c r="M248" t="s">
        <v>78</v>
      </c>
      <c r="N248" t="s">
        <v>79</v>
      </c>
      <c r="O248" t="s">
        <v>74</v>
      </c>
      <c r="P248" t="s">
        <v>74</v>
      </c>
      <c r="Q248" t="s">
        <v>74</v>
      </c>
      <c r="R248" t="s">
        <v>74</v>
      </c>
      <c r="S248" t="s">
        <v>74</v>
      </c>
      <c r="T248" t="s">
        <v>5127</v>
      </c>
      <c r="U248" t="s">
        <v>5128</v>
      </c>
      <c r="V248" t="s">
        <v>5129</v>
      </c>
      <c r="W248" t="s">
        <v>5130</v>
      </c>
      <c r="X248" t="s">
        <v>5131</v>
      </c>
      <c r="Y248" t="s">
        <v>5132</v>
      </c>
      <c r="Z248" t="s">
        <v>5133</v>
      </c>
      <c r="AA248" t="s">
        <v>5134</v>
      </c>
      <c r="AB248" t="s">
        <v>5135</v>
      </c>
      <c r="AC248" t="s">
        <v>5136</v>
      </c>
      <c r="AD248" t="s">
        <v>5137</v>
      </c>
      <c r="AE248" t="s">
        <v>5138</v>
      </c>
      <c r="AF248" t="s">
        <v>74</v>
      </c>
      <c r="AG248">
        <v>52</v>
      </c>
      <c r="AH248">
        <v>62</v>
      </c>
      <c r="AI248">
        <v>67</v>
      </c>
      <c r="AJ248">
        <v>2</v>
      </c>
      <c r="AK248">
        <v>41</v>
      </c>
      <c r="AL248" t="s">
        <v>92</v>
      </c>
      <c r="AM248" t="s">
        <v>93</v>
      </c>
      <c r="AN248" t="s">
        <v>94</v>
      </c>
      <c r="AO248" t="s">
        <v>913</v>
      </c>
      <c r="AP248" t="s">
        <v>914</v>
      </c>
      <c r="AQ248" t="s">
        <v>74</v>
      </c>
      <c r="AR248" t="s">
        <v>915</v>
      </c>
      <c r="AS248" t="s">
        <v>916</v>
      </c>
      <c r="AT248" t="s">
        <v>4965</v>
      </c>
      <c r="AU248">
        <v>2016</v>
      </c>
      <c r="AV248">
        <v>450</v>
      </c>
      <c r="AW248" t="s">
        <v>74</v>
      </c>
      <c r="AX248" t="s">
        <v>74</v>
      </c>
      <c r="AY248" t="s">
        <v>74</v>
      </c>
      <c r="AZ248" t="s">
        <v>74</v>
      </c>
      <c r="BA248" t="s">
        <v>74</v>
      </c>
      <c r="BB248">
        <v>392</v>
      </c>
      <c r="BC248">
        <v>405</v>
      </c>
      <c r="BD248" t="s">
        <v>74</v>
      </c>
      <c r="BE248" t="s">
        <v>5139</v>
      </c>
      <c r="BF248" t="str">
        <f>HYPERLINK("http://dx.doi.org/10.1016/j.epsl.2016.06.007","http://dx.doi.org/10.1016/j.epsl.2016.06.007")</f>
        <v>http://dx.doi.org/10.1016/j.epsl.2016.06.007</v>
      </c>
      <c r="BG248" t="s">
        <v>74</v>
      </c>
      <c r="BH248" t="s">
        <v>74</v>
      </c>
      <c r="BI248">
        <v>14</v>
      </c>
      <c r="BJ248" t="s">
        <v>155</v>
      </c>
      <c r="BK248" t="s">
        <v>156</v>
      </c>
      <c r="BL248" t="s">
        <v>155</v>
      </c>
      <c r="BM248" t="s">
        <v>5140</v>
      </c>
      <c r="BN248" t="s">
        <v>74</v>
      </c>
      <c r="BO248" t="s">
        <v>5141</v>
      </c>
      <c r="BP248" t="s">
        <v>74</v>
      </c>
      <c r="BQ248" t="s">
        <v>74</v>
      </c>
      <c r="BR248" t="s">
        <v>105</v>
      </c>
      <c r="BS248" t="s">
        <v>5142</v>
      </c>
      <c r="BT248" t="str">
        <f>HYPERLINK("https%3A%2F%2Fwww.webofscience.com%2Fwos%2Fwoscc%2Ffull-record%2FWOS:000381535600038","View Full Record in Web of Science")</f>
        <v>View Full Record in Web of Science</v>
      </c>
    </row>
    <row r="249" spans="1:72" x14ac:dyDescent="0.15">
      <c r="A249" t="s">
        <v>72</v>
      </c>
      <c r="B249" t="s">
        <v>5143</v>
      </c>
      <c r="C249" t="s">
        <v>74</v>
      </c>
      <c r="D249" t="s">
        <v>74</v>
      </c>
      <c r="E249" t="s">
        <v>74</v>
      </c>
      <c r="F249" t="s">
        <v>5144</v>
      </c>
      <c r="G249" t="s">
        <v>74</v>
      </c>
      <c r="H249" t="s">
        <v>74</v>
      </c>
      <c r="I249" t="s">
        <v>5145</v>
      </c>
      <c r="J249" t="s">
        <v>1319</v>
      </c>
      <c r="K249" t="s">
        <v>74</v>
      </c>
      <c r="L249" t="s">
        <v>74</v>
      </c>
      <c r="M249" t="s">
        <v>78</v>
      </c>
      <c r="N249" t="s">
        <v>79</v>
      </c>
      <c r="O249" t="s">
        <v>74</v>
      </c>
      <c r="P249" t="s">
        <v>74</v>
      </c>
      <c r="Q249" t="s">
        <v>74</v>
      </c>
      <c r="R249" t="s">
        <v>74</v>
      </c>
      <c r="S249" t="s">
        <v>74</v>
      </c>
      <c r="T249" t="s">
        <v>74</v>
      </c>
      <c r="U249" t="s">
        <v>5146</v>
      </c>
      <c r="V249" t="s">
        <v>5147</v>
      </c>
      <c r="W249" t="s">
        <v>5148</v>
      </c>
      <c r="X249" t="s">
        <v>5149</v>
      </c>
      <c r="Y249" t="s">
        <v>5150</v>
      </c>
      <c r="Z249" t="s">
        <v>5151</v>
      </c>
      <c r="AA249" t="s">
        <v>5152</v>
      </c>
      <c r="AB249" t="s">
        <v>5153</v>
      </c>
      <c r="AC249" t="s">
        <v>5154</v>
      </c>
      <c r="AD249" t="s">
        <v>5155</v>
      </c>
      <c r="AE249" t="s">
        <v>5156</v>
      </c>
      <c r="AF249" t="s">
        <v>74</v>
      </c>
      <c r="AG249">
        <v>133</v>
      </c>
      <c r="AH249">
        <v>389</v>
      </c>
      <c r="AI249">
        <v>409</v>
      </c>
      <c r="AJ249">
        <v>4</v>
      </c>
      <c r="AK249">
        <v>101</v>
      </c>
      <c r="AL249" t="s">
        <v>1305</v>
      </c>
      <c r="AM249" t="s">
        <v>1306</v>
      </c>
      <c r="AN249" t="s">
        <v>1307</v>
      </c>
      <c r="AO249" t="s">
        <v>1331</v>
      </c>
      <c r="AP249" t="s">
        <v>1332</v>
      </c>
      <c r="AQ249" t="s">
        <v>74</v>
      </c>
      <c r="AR249" t="s">
        <v>1333</v>
      </c>
      <c r="AS249" t="s">
        <v>1334</v>
      </c>
      <c r="AT249" t="s">
        <v>4965</v>
      </c>
      <c r="AU249">
        <v>2016</v>
      </c>
      <c r="AV249">
        <v>8</v>
      </c>
      <c r="AW249">
        <v>2</v>
      </c>
      <c r="AX249" t="s">
        <v>74</v>
      </c>
      <c r="AY249" t="s">
        <v>74</v>
      </c>
      <c r="AZ249" t="s">
        <v>74</v>
      </c>
      <c r="BA249" t="s">
        <v>74</v>
      </c>
      <c r="BB249">
        <v>383</v>
      </c>
      <c r="BC249">
        <v>413</v>
      </c>
      <c r="BD249" t="s">
        <v>74</v>
      </c>
      <c r="BE249" t="s">
        <v>5157</v>
      </c>
      <c r="BF249" t="str">
        <f>HYPERLINK("http://dx.doi.org/10.5194/essd-8-383-2016","http://dx.doi.org/10.5194/essd-8-383-2016")</f>
        <v>http://dx.doi.org/10.5194/essd-8-383-2016</v>
      </c>
      <c r="BG249" t="s">
        <v>74</v>
      </c>
      <c r="BH249" t="s">
        <v>74</v>
      </c>
      <c r="BI249">
        <v>31</v>
      </c>
      <c r="BJ249" t="s">
        <v>1336</v>
      </c>
      <c r="BK249" t="s">
        <v>156</v>
      </c>
      <c r="BL249" t="s">
        <v>1337</v>
      </c>
      <c r="BM249" t="s">
        <v>5158</v>
      </c>
      <c r="BN249" t="s">
        <v>74</v>
      </c>
      <c r="BO249" t="s">
        <v>5159</v>
      </c>
      <c r="BP249" t="s">
        <v>1447</v>
      </c>
      <c r="BQ249" t="s">
        <v>1448</v>
      </c>
      <c r="BR249" t="s">
        <v>105</v>
      </c>
      <c r="BS249" t="s">
        <v>5160</v>
      </c>
      <c r="BT249" t="str">
        <f>HYPERLINK("https%3A%2F%2Fwww.webofscience.com%2Fwos%2Fwoscc%2Ffull-record%2FWOS:000384253400001","View Full Record in Web of Science")</f>
        <v>View Full Record in Web of Science</v>
      </c>
    </row>
    <row r="250" spans="1:72" x14ac:dyDescent="0.15">
      <c r="A250" t="s">
        <v>72</v>
      </c>
      <c r="B250" t="s">
        <v>5161</v>
      </c>
      <c r="C250" t="s">
        <v>74</v>
      </c>
      <c r="D250" t="s">
        <v>74</v>
      </c>
      <c r="E250" t="s">
        <v>74</v>
      </c>
      <c r="F250" t="s">
        <v>5162</v>
      </c>
      <c r="G250" t="s">
        <v>74</v>
      </c>
      <c r="H250" t="s">
        <v>74</v>
      </c>
      <c r="I250" t="s">
        <v>5163</v>
      </c>
      <c r="J250" t="s">
        <v>3036</v>
      </c>
      <c r="K250" t="s">
        <v>74</v>
      </c>
      <c r="L250" t="s">
        <v>74</v>
      </c>
      <c r="M250" t="s">
        <v>78</v>
      </c>
      <c r="N250" t="s">
        <v>79</v>
      </c>
      <c r="O250" t="s">
        <v>74</v>
      </c>
      <c r="P250" t="s">
        <v>74</v>
      </c>
      <c r="Q250" t="s">
        <v>74</v>
      </c>
      <c r="R250" t="s">
        <v>74</v>
      </c>
      <c r="S250" t="s">
        <v>74</v>
      </c>
      <c r="T250" t="s">
        <v>74</v>
      </c>
      <c r="U250" t="s">
        <v>5164</v>
      </c>
      <c r="V250" t="s">
        <v>5165</v>
      </c>
      <c r="W250" t="s">
        <v>5166</v>
      </c>
      <c r="X250" t="s">
        <v>5167</v>
      </c>
      <c r="Y250" t="s">
        <v>5168</v>
      </c>
      <c r="Z250" t="s">
        <v>5169</v>
      </c>
      <c r="AA250" t="s">
        <v>5170</v>
      </c>
      <c r="AB250" t="s">
        <v>5171</v>
      </c>
      <c r="AC250" t="s">
        <v>5172</v>
      </c>
      <c r="AD250" t="s">
        <v>5173</v>
      </c>
      <c r="AE250" t="s">
        <v>5174</v>
      </c>
      <c r="AF250" t="s">
        <v>74</v>
      </c>
      <c r="AG250">
        <v>67</v>
      </c>
      <c r="AH250">
        <v>15</v>
      </c>
      <c r="AI250">
        <v>15</v>
      </c>
      <c r="AJ250">
        <v>1</v>
      </c>
      <c r="AK250">
        <v>24</v>
      </c>
      <c r="AL250" t="s">
        <v>397</v>
      </c>
      <c r="AM250" t="s">
        <v>398</v>
      </c>
      <c r="AN250" t="s">
        <v>399</v>
      </c>
      <c r="AO250" t="s">
        <v>3048</v>
      </c>
      <c r="AP250" t="s">
        <v>3049</v>
      </c>
      <c r="AQ250" t="s">
        <v>74</v>
      </c>
      <c r="AR250" t="s">
        <v>3050</v>
      </c>
      <c r="AS250" t="s">
        <v>3051</v>
      </c>
      <c r="AT250" t="s">
        <v>4965</v>
      </c>
      <c r="AU250">
        <v>2016</v>
      </c>
      <c r="AV250">
        <v>29</v>
      </c>
      <c r="AW250">
        <v>18</v>
      </c>
      <c r="AX250" t="s">
        <v>74</v>
      </c>
      <c r="AY250" t="s">
        <v>74</v>
      </c>
      <c r="AZ250" t="s">
        <v>74</v>
      </c>
      <c r="BA250" t="s">
        <v>74</v>
      </c>
      <c r="BB250">
        <v>6617</v>
      </c>
      <c r="BC250">
        <v>6636</v>
      </c>
      <c r="BD250" t="s">
        <v>74</v>
      </c>
      <c r="BE250" t="s">
        <v>5175</v>
      </c>
      <c r="BF250" t="str">
        <f>HYPERLINK("http://dx.doi.org/10.1175/JCLI-D-15-0708.1","http://dx.doi.org/10.1175/JCLI-D-15-0708.1")</f>
        <v>http://dx.doi.org/10.1175/JCLI-D-15-0708.1</v>
      </c>
      <c r="BG250" t="s">
        <v>74</v>
      </c>
      <c r="BH250" t="s">
        <v>74</v>
      </c>
      <c r="BI250">
        <v>20</v>
      </c>
      <c r="BJ250" t="s">
        <v>2482</v>
      </c>
      <c r="BK250" t="s">
        <v>156</v>
      </c>
      <c r="BL250" t="s">
        <v>2482</v>
      </c>
      <c r="BM250" t="s">
        <v>4998</v>
      </c>
      <c r="BN250" t="s">
        <v>74</v>
      </c>
      <c r="BO250" t="s">
        <v>104</v>
      </c>
      <c r="BP250" t="s">
        <v>74</v>
      </c>
      <c r="BQ250" t="s">
        <v>74</v>
      </c>
      <c r="BR250" t="s">
        <v>105</v>
      </c>
      <c r="BS250" t="s">
        <v>5176</v>
      </c>
      <c r="BT250" t="str">
        <f>HYPERLINK("https%3A%2F%2Fwww.webofscience.com%2Fwos%2Fwoscc%2Ffull-record%2FWOS:000383828300012","View Full Record in Web of Science")</f>
        <v>View Full Record in Web of Science</v>
      </c>
    </row>
    <row r="251" spans="1:72" x14ac:dyDescent="0.15">
      <c r="A251" t="s">
        <v>72</v>
      </c>
      <c r="B251" t="s">
        <v>5177</v>
      </c>
      <c r="C251" t="s">
        <v>74</v>
      </c>
      <c r="D251" t="s">
        <v>74</v>
      </c>
      <c r="E251" t="s">
        <v>74</v>
      </c>
      <c r="F251" t="s">
        <v>5178</v>
      </c>
      <c r="G251" t="s">
        <v>74</v>
      </c>
      <c r="H251" t="s">
        <v>74</v>
      </c>
      <c r="I251" t="s">
        <v>5179</v>
      </c>
      <c r="J251" t="s">
        <v>3036</v>
      </c>
      <c r="K251" t="s">
        <v>74</v>
      </c>
      <c r="L251" t="s">
        <v>74</v>
      </c>
      <c r="M251" t="s">
        <v>78</v>
      </c>
      <c r="N251" t="s">
        <v>79</v>
      </c>
      <c r="O251" t="s">
        <v>74</v>
      </c>
      <c r="P251" t="s">
        <v>74</v>
      </c>
      <c r="Q251" t="s">
        <v>74</v>
      </c>
      <c r="R251" t="s">
        <v>74</v>
      </c>
      <c r="S251" t="s">
        <v>74</v>
      </c>
      <c r="T251" t="s">
        <v>74</v>
      </c>
      <c r="U251" t="s">
        <v>5180</v>
      </c>
      <c r="V251" t="s">
        <v>5181</v>
      </c>
      <c r="W251" t="s">
        <v>5182</v>
      </c>
      <c r="X251" t="s">
        <v>5183</v>
      </c>
      <c r="Y251" t="s">
        <v>5184</v>
      </c>
      <c r="Z251" t="s">
        <v>5185</v>
      </c>
      <c r="AA251" t="s">
        <v>5186</v>
      </c>
      <c r="AB251" t="s">
        <v>5187</v>
      </c>
      <c r="AC251" t="s">
        <v>5188</v>
      </c>
      <c r="AD251" t="s">
        <v>5189</v>
      </c>
      <c r="AE251" t="s">
        <v>5190</v>
      </c>
      <c r="AF251" t="s">
        <v>74</v>
      </c>
      <c r="AG251">
        <v>66</v>
      </c>
      <c r="AH251">
        <v>32</v>
      </c>
      <c r="AI251">
        <v>36</v>
      </c>
      <c r="AJ251">
        <v>1</v>
      </c>
      <c r="AK251">
        <v>19</v>
      </c>
      <c r="AL251" t="s">
        <v>397</v>
      </c>
      <c r="AM251" t="s">
        <v>398</v>
      </c>
      <c r="AN251" t="s">
        <v>3379</v>
      </c>
      <c r="AO251" t="s">
        <v>3048</v>
      </c>
      <c r="AP251" t="s">
        <v>3049</v>
      </c>
      <c r="AQ251" t="s">
        <v>74</v>
      </c>
      <c r="AR251" t="s">
        <v>3050</v>
      </c>
      <c r="AS251" t="s">
        <v>3051</v>
      </c>
      <c r="AT251" t="s">
        <v>4965</v>
      </c>
      <c r="AU251">
        <v>2016</v>
      </c>
      <c r="AV251">
        <v>29</v>
      </c>
      <c r="AW251">
        <v>18</v>
      </c>
      <c r="AX251" t="s">
        <v>74</v>
      </c>
      <c r="AY251" t="s">
        <v>74</v>
      </c>
      <c r="AZ251" t="s">
        <v>74</v>
      </c>
      <c r="BA251" t="s">
        <v>74</v>
      </c>
      <c r="BB251">
        <v>6823</v>
      </c>
      <c r="BC251">
        <v>6840</v>
      </c>
      <c r="BD251" t="s">
        <v>74</v>
      </c>
      <c r="BE251" t="s">
        <v>5191</v>
      </c>
      <c r="BF251" t="str">
        <f>HYPERLINK("http://dx.doi.org/10.1175/JCLI-D-16-0179.1","http://dx.doi.org/10.1175/JCLI-D-16-0179.1")</f>
        <v>http://dx.doi.org/10.1175/JCLI-D-16-0179.1</v>
      </c>
      <c r="BG251" t="s">
        <v>74</v>
      </c>
      <c r="BH251" t="s">
        <v>74</v>
      </c>
      <c r="BI251">
        <v>18</v>
      </c>
      <c r="BJ251" t="s">
        <v>2482</v>
      </c>
      <c r="BK251" t="s">
        <v>156</v>
      </c>
      <c r="BL251" t="s">
        <v>2482</v>
      </c>
      <c r="BM251" t="s">
        <v>4998</v>
      </c>
      <c r="BN251" t="s">
        <v>74</v>
      </c>
      <c r="BO251" t="s">
        <v>329</v>
      </c>
      <c r="BP251" t="s">
        <v>74</v>
      </c>
      <c r="BQ251" t="s">
        <v>74</v>
      </c>
      <c r="BR251" t="s">
        <v>105</v>
      </c>
      <c r="BS251" t="s">
        <v>5192</v>
      </c>
      <c r="BT251" t="str">
        <f>HYPERLINK("https%3A%2F%2Fwww.webofscience.com%2Fwos%2Fwoscc%2Ffull-record%2FWOS:000383828300023","View Full Record in Web of Science")</f>
        <v>View Full Record in Web of Science</v>
      </c>
    </row>
    <row r="252" spans="1:72" x14ac:dyDescent="0.15">
      <c r="A252" t="s">
        <v>72</v>
      </c>
      <c r="B252" t="s">
        <v>5193</v>
      </c>
      <c r="C252" t="s">
        <v>74</v>
      </c>
      <c r="D252" t="s">
        <v>74</v>
      </c>
      <c r="E252" t="s">
        <v>74</v>
      </c>
      <c r="F252" t="s">
        <v>5194</v>
      </c>
      <c r="G252" t="s">
        <v>74</v>
      </c>
      <c r="H252" t="s">
        <v>74</v>
      </c>
      <c r="I252" t="s">
        <v>5195</v>
      </c>
      <c r="J252" t="s">
        <v>1714</v>
      </c>
      <c r="K252" t="s">
        <v>74</v>
      </c>
      <c r="L252" t="s">
        <v>74</v>
      </c>
      <c r="M252" t="s">
        <v>78</v>
      </c>
      <c r="N252" t="s">
        <v>79</v>
      </c>
      <c r="O252" t="s">
        <v>74</v>
      </c>
      <c r="P252" t="s">
        <v>74</v>
      </c>
      <c r="Q252" t="s">
        <v>74</v>
      </c>
      <c r="R252" t="s">
        <v>74</v>
      </c>
      <c r="S252" t="s">
        <v>74</v>
      </c>
      <c r="T252" t="s">
        <v>5196</v>
      </c>
      <c r="U252" t="s">
        <v>5197</v>
      </c>
      <c r="V252" t="s">
        <v>5198</v>
      </c>
      <c r="W252" t="s">
        <v>5199</v>
      </c>
      <c r="X252" t="s">
        <v>5200</v>
      </c>
      <c r="Y252" t="s">
        <v>5201</v>
      </c>
      <c r="Z252" t="s">
        <v>5202</v>
      </c>
      <c r="AA252" t="s">
        <v>5203</v>
      </c>
      <c r="AB252" t="s">
        <v>5204</v>
      </c>
      <c r="AC252" t="s">
        <v>5205</v>
      </c>
      <c r="AD252" t="s">
        <v>5206</v>
      </c>
      <c r="AE252" t="s">
        <v>5207</v>
      </c>
      <c r="AF252" t="s">
        <v>74</v>
      </c>
      <c r="AG252">
        <v>76</v>
      </c>
      <c r="AH252">
        <v>22</v>
      </c>
      <c r="AI252">
        <v>24</v>
      </c>
      <c r="AJ252">
        <v>2</v>
      </c>
      <c r="AK252">
        <v>41</v>
      </c>
      <c r="AL252" t="s">
        <v>303</v>
      </c>
      <c r="AM252" t="s">
        <v>304</v>
      </c>
      <c r="AN252" t="s">
        <v>305</v>
      </c>
      <c r="AO252" t="s">
        <v>1716</v>
      </c>
      <c r="AP252" t="s">
        <v>1717</v>
      </c>
      <c r="AQ252" t="s">
        <v>74</v>
      </c>
      <c r="AR252" t="s">
        <v>1718</v>
      </c>
      <c r="AS252" t="s">
        <v>1719</v>
      </c>
      <c r="AT252" t="s">
        <v>4965</v>
      </c>
      <c r="AU252">
        <v>2016</v>
      </c>
      <c r="AV252">
        <v>110</v>
      </c>
      <c r="AW252">
        <v>1</v>
      </c>
      <c r="AX252" t="s">
        <v>74</v>
      </c>
      <c r="AY252" t="s">
        <v>74</v>
      </c>
      <c r="AZ252" t="s">
        <v>74</v>
      </c>
      <c r="BA252" t="s">
        <v>74</v>
      </c>
      <c r="BB252">
        <v>343</v>
      </c>
      <c r="BC252">
        <v>353</v>
      </c>
      <c r="BD252" t="s">
        <v>74</v>
      </c>
      <c r="BE252" t="s">
        <v>5208</v>
      </c>
      <c r="BF252" t="str">
        <f>HYPERLINK("http://dx.doi.org/10.1016/j.marpolbul.2016.06.042","http://dx.doi.org/10.1016/j.marpolbul.2016.06.042")</f>
        <v>http://dx.doi.org/10.1016/j.marpolbul.2016.06.042</v>
      </c>
      <c r="BG252" t="s">
        <v>74</v>
      </c>
      <c r="BH252" t="s">
        <v>74</v>
      </c>
      <c r="BI252">
        <v>11</v>
      </c>
      <c r="BJ252" t="s">
        <v>1721</v>
      </c>
      <c r="BK252" t="s">
        <v>156</v>
      </c>
      <c r="BL252" t="s">
        <v>694</v>
      </c>
      <c r="BM252" t="s">
        <v>5077</v>
      </c>
      <c r="BN252">
        <v>27389459</v>
      </c>
      <c r="BO252" t="s">
        <v>74</v>
      </c>
      <c r="BP252" t="s">
        <v>74</v>
      </c>
      <c r="BQ252" t="s">
        <v>74</v>
      </c>
      <c r="BR252" t="s">
        <v>105</v>
      </c>
      <c r="BS252" t="s">
        <v>5209</v>
      </c>
      <c r="BT252" t="str">
        <f>HYPERLINK("https%3A%2F%2Fwww.webofscience.com%2Fwos%2Fwoscc%2Ffull-record%2FWOS:000382339900048","View Full Record in Web of Science")</f>
        <v>View Full Record in Web of Science</v>
      </c>
    </row>
    <row r="253" spans="1:72" x14ac:dyDescent="0.15">
      <c r="A253" t="s">
        <v>72</v>
      </c>
      <c r="B253" t="s">
        <v>5210</v>
      </c>
      <c r="C253" t="s">
        <v>74</v>
      </c>
      <c r="D253" t="s">
        <v>74</v>
      </c>
      <c r="E253" t="s">
        <v>74</v>
      </c>
      <c r="F253" t="s">
        <v>5211</v>
      </c>
      <c r="G253" t="s">
        <v>74</v>
      </c>
      <c r="H253" t="s">
        <v>74</v>
      </c>
      <c r="I253" t="s">
        <v>5212</v>
      </c>
      <c r="J253" t="s">
        <v>1714</v>
      </c>
      <c r="K253" t="s">
        <v>74</v>
      </c>
      <c r="L253" t="s">
        <v>74</v>
      </c>
      <c r="M253" t="s">
        <v>78</v>
      </c>
      <c r="N253" t="s">
        <v>79</v>
      </c>
      <c r="O253" t="s">
        <v>74</v>
      </c>
      <c r="P253" t="s">
        <v>74</v>
      </c>
      <c r="Q253" t="s">
        <v>74</v>
      </c>
      <c r="R253" t="s">
        <v>74</v>
      </c>
      <c r="S253" t="s">
        <v>74</v>
      </c>
      <c r="T253" t="s">
        <v>5213</v>
      </c>
      <c r="U253" t="s">
        <v>5214</v>
      </c>
      <c r="V253" t="s">
        <v>5215</v>
      </c>
      <c r="W253" t="s">
        <v>5216</v>
      </c>
      <c r="X253" t="s">
        <v>5217</v>
      </c>
      <c r="Y253" t="s">
        <v>5218</v>
      </c>
      <c r="Z253" t="s">
        <v>5219</v>
      </c>
      <c r="AA253" t="s">
        <v>74</v>
      </c>
      <c r="AB253" t="s">
        <v>74</v>
      </c>
      <c r="AC253" t="s">
        <v>5220</v>
      </c>
      <c r="AD253" t="s">
        <v>5220</v>
      </c>
      <c r="AE253" t="s">
        <v>5221</v>
      </c>
      <c r="AF253" t="s">
        <v>74</v>
      </c>
      <c r="AG253">
        <v>39</v>
      </c>
      <c r="AH253">
        <v>61</v>
      </c>
      <c r="AI253">
        <v>63</v>
      </c>
      <c r="AJ253">
        <v>2</v>
      </c>
      <c r="AK253">
        <v>82</v>
      </c>
      <c r="AL253" t="s">
        <v>303</v>
      </c>
      <c r="AM253" t="s">
        <v>304</v>
      </c>
      <c r="AN253" t="s">
        <v>305</v>
      </c>
      <c r="AO253" t="s">
        <v>1716</v>
      </c>
      <c r="AP253" t="s">
        <v>1717</v>
      </c>
      <c r="AQ253" t="s">
        <v>74</v>
      </c>
      <c r="AR253" t="s">
        <v>1718</v>
      </c>
      <c r="AS253" t="s">
        <v>1719</v>
      </c>
      <c r="AT253" t="s">
        <v>4965</v>
      </c>
      <c r="AU253">
        <v>2016</v>
      </c>
      <c r="AV253">
        <v>110</v>
      </c>
      <c r="AW253">
        <v>1</v>
      </c>
      <c r="AX253" t="s">
        <v>74</v>
      </c>
      <c r="AY253" t="s">
        <v>74</v>
      </c>
      <c r="AZ253" t="s">
        <v>74</v>
      </c>
      <c r="BA253" t="s">
        <v>74</v>
      </c>
      <c r="BB253">
        <v>371</v>
      </c>
      <c r="BC253">
        <v>377</v>
      </c>
      <c r="BD253" t="s">
        <v>74</v>
      </c>
      <c r="BE253" t="s">
        <v>5222</v>
      </c>
      <c r="BF253" t="str">
        <f>HYPERLINK("http://dx.doi.org/10.1016/j.marpolbul.2016.06.039","http://dx.doi.org/10.1016/j.marpolbul.2016.06.039")</f>
        <v>http://dx.doi.org/10.1016/j.marpolbul.2016.06.039</v>
      </c>
      <c r="BG253" t="s">
        <v>74</v>
      </c>
      <c r="BH253" t="s">
        <v>74</v>
      </c>
      <c r="BI253">
        <v>7</v>
      </c>
      <c r="BJ253" t="s">
        <v>1721</v>
      </c>
      <c r="BK253" t="s">
        <v>156</v>
      </c>
      <c r="BL253" t="s">
        <v>694</v>
      </c>
      <c r="BM253" t="s">
        <v>5077</v>
      </c>
      <c r="BN253">
        <v>27389460</v>
      </c>
      <c r="BO253" t="s">
        <v>74</v>
      </c>
      <c r="BP253" t="s">
        <v>74</v>
      </c>
      <c r="BQ253" t="s">
        <v>74</v>
      </c>
      <c r="BR253" t="s">
        <v>105</v>
      </c>
      <c r="BS253" t="s">
        <v>5223</v>
      </c>
      <c r="BT253" t="str">
        <f>HYPERLINK("https%3A%2F%2Fwww.webofscience.com%2Fwos%2Fwoscc%2Ffull-record%2FWOS:000382339900051","View Full Record in Web of Science")</f>
        <v>View Full Record in Web of Science</v>
      </c>
    </row>
    <row r="254" spans="1:72" x14ac:dyDescent="0.15">
      <c r="A254" t="s">
        <v>72</v>
      </c>
      <c r="B254" t="s">
        <v>5224</v>
      </c>
      <c r="C254" t="s">
        <v>74</v>
      </c>
      <c r="D254" t="s">
        <v>74</v>
      </c>
      <c r="E254" t="s">
        <v>74</v>
      </c>
      <c r="F254" t="s">
        <v>5225</v>
      </c>
      <c r="G254" t="s">
        <v>74</v>
      </c>
      <c r="H254" t="s">
        <v>74</v>
      </c>
      <c r="I254" t="s">
        <v>5226</v>
      </c>
      <c r="J254" t="s">
        <v>1499</v>
      </c>
      <c r="K254" t="s">
        <v>74</v>
      </c>
      <c r="L254" t="s">
        <v>74</v>
      </c>
      <c r="M254" t="s">
        <v>78</v>
      </c>
      <c r="N254" t="s">
        <v>79</v>
      </c>
      <c r="O254" t="s">
        <v>74</v>
      </c>
      <c r="P254" t="s">
        <v>74</v>
      </c>
      <c r="Q254" t="s">
        <v>74</v>
      </c>
      <c r="R254" t="s">
        <v>74</v>
      </c>
      <c r="S254" t="s">
        <v>74</v>
      </c>
      <c r="T254" t="s">
        <v>5227</v>
      </c>
      <c r="U254" t="s">
        <v>5228</v>
      </c>
      <c r="V254" t="s">
        <v>5229</v>
      </c>
      <c r="W254" t="s">
        <v>5230</v>
      </c>
      <c r="X254" t="s">
        <v>5231</v>
      </c>
      <c r="Y254" t="s">
        <v>5232</v>
      </c>
      <c r="Z254" t="s">
        <v>5233</v>
      </c>
      <c r="AA254" t="s">
        <v>5234</v>
      </c>
      <c r="AB254" t="s">
        <v>5235</v>
      </c>
      <c r="AC254" t="s">
        <v>5236</v>
      </c>
      <c r="AD254" t="s">
        <v>5237</v>
      </c>
      <c r="AE254" t="s">
        <v>5238</v>
      </c>
      <c r="AF254" t="s">
        <v>74</v>
      </c>
      <c r="AG254">
        <v>90</v>
      </c>
      <c r="AH254">
        <v>34</v>
      </c>
      <c r="AI254">
        <v>39</v>
      </c>
      <c r="AJ254">
        <v>1</v>
      </c>
      <c r="AK254">
        <v>60</v>
      </c>
      <c r="AL254" t="s">
        <v>1512</v>
      </c>
      <c r="AM254" t="s">
        <v>250</v>
      </c>
      <c r="AN254" t="s">
        <v>1513</v>
      </c>
      <c r="AO254" t="s">
        <v>1514</v>
      </c>
      <c r="AP254" t="s">
        <v>74</v>
      </c>
      <c r="AQ254" t="s">
        <v>74</v>
      </c>
      <c r="AR254" t="s">
        <v>1499</v>
      </c>
      <c r="AS254" t="s">
        <v>1515</v>
      </c>
      <c r="AT254" t="s">
        <v>4965</v>
      </c>
      <c r="AU254">
        <v>2016</v>
      </c>
      <c r="AV254">
        <v>4</v>
      </c>
      <c r="AW254" t="s">
        <v>74</v>
      </c>
      <c r="AX254" t="s">
        <v>74</v>
      </c>
      <c r="AY254" t="s">
        <v>74</v>
      </c>
      <c r="AZ254" t="s">
        <v>74</v>
      </c>
      <c r="BA254" t="s">
        <v>74</v>
      </c>
      <c r="BB254" t="s">
        <v>74</v>
      </c>
      <c r="BC254" t="s">
        <v>74</v>
      </c>
      <c r="BD254" t="s">
        <v>5239</v>
      </c>
      <c r="BE254" t="s">
        <v>5240</v>
      </c>
      <c r="BF254" t="str">
        <f>HYPERLINK("http://dx.doi.org/10.7717/peerj.2387","http://dx.doi.org/10.7717/peerj.2387")</f>
        <v>http://dx.doi.org/10.7717/peerj.2387</v>
      </c>
      <c r="BG254" t="s">
        <v>74</v>
      </c>
      <c r="BH254" t="s">
        <v>74</v>
      </c>
      <c r="BI254">
        <v>25</v>
      </c>
      <c r="BJ254" t="s">
        <v>719</v>
      </c>
      <c r="BK254" t="s">
        <v>156</v>
      </c>
      <c r="BL254" t="s">
        <v>720</v>
      </c>
      <c r="BM254" t="s">
        <v>5241</v>
      </c>
      <c r="BN254">
        <v>27672494</v>
      </c>
      <c r="BO254" t="s">
        <v>722</v>
      </c>
      <c r="BP254" t="s">
        <v>74</v>
      </c>
      <c r="BQ254" t="s">
        <v>74</v>
      </c>
      <c r="BR254" t="s">
        <v>105</v>
      </c>
      <c r="BS254" t="s">
        <v>5242</v>
      </c>
      <c r="BT254" t="str">
        <f>HYPERLINK("https%3A%2F%2Fwww.webofscience.com%2Fwos%2Fwoscc%2Ffull-record%2FWOS:000384144100003","View Full Record in Web of Science")</f>
        <v>View Full Record in Web of Science</v>
      </c>
    </row>
    <row r="255" spans="1:72" x14ac:dyDescent="0.15">
      <c r="A255" t="s">
        <v>72</v>
      </c>
      <c r="B255" t="s">
        <v>5243</v>
      </c>
      <c r="C255" t="s">
        <v>74</v>
      </c>
      <c r="D255" t="s">
        <v>74</v>
      </c>
      <c r="E255" t="s">
        <v>74</v>
      </c>
      <c r="F255" t="s">
        <v>5244</v>
      </c>
      <c r="G255" t="s">
        <v>74</v>
      </c>
      <c r="H255" t="s">
        <v>74</v>
      </c>
      <c r="I255" t="s">
        <v>5245</v>
      </c>
      <c r="J255" t="s">
        <v>1654</v>
      </c>
      <c r="K255" t="s">
        <v>74</v>
      </c>
      <c r="L255" t="s">
        <v>74</v>
      </c>
      <c r="M255" t="s">
        <v>78</v>
      </c>
      <c r="N255" t="s">
        <v>79</v>
      </c>
      <c r="O255" t="s">
        <v>74</v>
      </c>
      <c r="P255" t="s">
        <v>74</v>
      </c>
      <c r="Q255" t="s">
        <v>74</v>
      </c>
      <c r="R255" t="s">
        <v>74</v>
      </c>
      <c r="S255" t="s">
        <v>74</v>
      </c>
      <c r="T255" t="s">
        <v>5246</v>
      </c>
      <c r="U255" t="s">
        <v>5247</v>
      </c>
      <c r="V255" t="s">
        <v>5248</v>
      </c>
      <c r="W255" t="s">
        <v>5249</v>
      </c>
      <c r="X255" t="s">
        <v>5250</v>
      </c>
      <c r="Y255" t="s">
        <v>5251</v>
      </c>
      <c r="Z255" t="s">
        <v>5252</v>
      </c>
      <c r="AA255" t="s">
        <v>5253</v>
      </c>
      <c r="AB255" t="s">
        <v>5254</v>
      </c>
      <c r="AC255" t="s">
        <v>5255</v>
      </c>
      <c r="AD255" t="s">
        <v>5256</v>
      </c>
      <c r="AE255" t="s">
        <v>5257</v>
      </c>
      <c r="AF255" t="s">
        <v>74</v>
      </c>
      <c r="AG255">
        <v>70</v>
      </c>
      <c r="AH255">
        <v>39</v>
      </c>
      <c r="AI255">
        <v>42</v>
      </c>
      <c r="AJ255">
        <v>0</v>
      </c>
      <c r="AK255">
        <v>21</v>
      </c>
      <c r="AL255" t="s">
        <v>303</v>
      </c>
      <c r="AM255" t="s">
        <v>304</v>
      </c>
      <c r="AN255" t="s">
        <v>305</v>
      </c>
      <c r="AO255" t="s">
        <v>1666</v>
      </c>
      <c r="AP255" t="s">
        <v>74</v>
      </c>
      <c r="AQ255" t="s">
        <v>74</v>
      </c>
      <c r="AR255" t="s">
        <v>1668</v>
      </c>
      <c r="AS255" t="s">
        <v>1669</v>
      </c>
      <c r="AT255" t="s">
        <v>4965</v>
      </c>
      <c r="AU255">
        <v>2016</v>
      </c>
      <c r="AV255">
        <v>148</v>
      </c>
      <c r="AW255" t="s">
        <v>74</v>
      </c>
      <c r="AX255" t="s">
        <v>74</v>
      </c>
      <c r="AY255" t="s">
        <v>74</v>
      </c>
      <c r="AZ255" t="s">
        <v>74</v>
      </c>
      <c r="BA255" t="s">
        <v>74</v>
      </c>
      <c r="BB255">
        <v>128</v>
      </c>
      <c r="BC255">
        <v>145</v>
      </c>
      <c r="BD255" t="s">
        <v>74</v>
      </c>
      <c r="BE255" t="s">
        <v>5258</v>
      </c>
      <c r="BF255" t="str">
        <f>HYPERLINK("http://dx.doi.org/10.1016/j.quascirev.2016.07.012","http://dx.doi.org/10.1016/j.quascirev.2016.07.012")</f>
        <v>http://dx.doi.org/10.1016/j.quascirev.2016.07.012</v>
      </c>
      <c r="BG255" t="s">
        <v>74</v>
      </c>
      <c r="BH255" t="s">
        <v>74</v>
      </c>
      <c r="BI255">
        <v>18</v>
      </c>
      <c r="BJ255" t="s">
        <v>203</v>
      </c>
      <c r="BK255" t="s">
        <v>156</v>
      </c>
      <c r="BL255" t="s">
        <v>204</v>
      </c>
      <c r="BM255" t="s">
        <v>5050</v>
      </c>
      <c r="BN255" t="s">
        <v>74</v>
      </c>
      <c r="BO255" t="s">
        <v>206</v>
      </c>
      <c r="BP255" t="s">
        <v>74</v>
      </c>
      <c r="BQ255" t="s">
        <v>74</v>
      </c>
      <c r="BR255" t="s">
        <v>105</v>
      </c>
      <c r="BS255" t="s">
        <v>5259</v>
      </c>
      <c r="BT255" t="str">
        <f>HYPERLINK("https%3A%2F%2Fwww.webofscience.com%2Fwos%2Fwoscc%2Ffull-record%2FWOS:000383313100010","View Full Record in Web of Science")</f>
        <v>View Full Record in Web of Science</v>
      </c>
    </row>
    <row r="256" spans="1:72" x14ac:dyDescent="0.15">
      <c r="A256" t="s">
        <v>72</v>
      </c>
      <c r="B256" t="s">
        <v>5260</v>
      </c>
      <c r="C256" t="s">
        <v>74</v>
      </c>
      <c r="D256" t="s">
        <v>74</v>
      </c>
      <c r="E256" t="s">
        <v>74</v>
      </c>
      <c r="F256" t="s">
        <v>5261</v>
      </c>
      <c r="G256" t="s">
        <v>74</v>
      </c>
      <c r="H256" t="s">
        <v>74</v>
      </c>
      <c r="I256" t="s">
        <v>5262</v>
      </c>
      <c r="J256" t="s">
        <v>5263</v>
      </c>
      <c r="K256" t="s">
        <v>74</v>
      </c>
      <c r="L256" t="s">
        <v>74</v>
      </c>
      <c r="M256" t="s">
        <v>78</v>
      </c>
      <c r="N256" t="s">
        <v>79</v>
      </c>
      <c r="O256" t="s">
        <v>74</v>
      </c>
      <c r="P256" t="s">
        <v>74</v>
      </c>
      <c r="Q256" t="s">
        <v>74</v>
      </c>
      <c r="R256" t="s">
        <v>74</v>
      </c>
      <c r="S256" t="s">
        <v>74</v>
      </c>
      <c r="T256" t="s">
        <v>5264</v>
      </c>
      <c r="U256" t="s">
        <v>5265</v>
      </c>
      <c r="V256" t="s">
        <v>5266</v>
      </c>
      <c r="W256" t="s">
        <v>5267</v>
      </c>
      <c r="X256" t="s">
        <v>5268</v>
      </c>
      <c r="Y256" t="s">
        <v>5269</v>
      </c>
      <c r="Z256" t="s">
        <v>5270</v>
      </c>
      <c r="AA256" t="s">
        <v>5271</v>
      </c>
      <c r="AB256" t="s">
        <v>5272</v>
      </c>
      <c r="AC256" t="s">
        <v>5273</v>
      </c>
      <c r="AD256" t="s">
        <v>5273</v>
      </c>
      <c r="AE256" t="s">
        <v>5274</v>
      </c>
      <c r="AF256" t="s">
        <v>74</v>
      </c>
      <c r="AG256">
        <v>41</v>
      </c>
      <c r="AH256">
        <v>69</v>
      </c>
      <c r="AI256">
        <v>78</v>
      </c>
      <c r="AJ256">
        <v>2</v>
      </c>
      <c r="AK256">
        <v>47</v>
      </c>
      <c r="AL256" t="s">
        <v>1437</v>
      </c>
      <c r="AM256" t="s">
        <v>594</v>
      </c>
      <c r="AN256" t="s">
        <v>1438</v>
      </c>
      <c r="AO256" t="s">
        <v>5275</v>
      </c>
      <c r="AP256" t="s">
        <v>5276</v>
      </c>
      <c r="AQ256" t="s">
        <v>74</v>
      </c>
      <c r="AR256" t="s">
        <v>5277</v>
      </c>
      <c r="AS256" t="s">
        <v>5278</v>
      </c>
      <c r="AT256" t="s">
        <v>4965</v>
      </c>
      <c r="AU256">
        <v>2016</v>
      </c>
      <c r="AV256">
        <v>183</v>
      </c>
      <c r="AW256" t="s">
        <v>74</v>
      </c>
      <c r="AX256" t="s">
        <v>74</v>
      </c>
      <c r="AY256" t="s">
        <v>74</v>
      </c>
      <c r="AZ256" t="s">
        <v>74</v>
      </c>
      <c r="BA256" t="s">
        <v>74</v>
      </c>
      <c r="BB256">
        <v>198</v>
      </c>
      <c r="BC256">
        <v>204</v>
      </c>
      <c r="BD256" t="s">
        <v>74</v>
      </c>
      <c r="BE256" t="s">
        <v>5279</v>
      </c>
      <c r="BF256" t="str">
        <f>HYPERLINK("http://dx.doi.org/10.1016/j.rse.2016.05.020","http://dx.doi.org/10.1016/j.rse.2016.05.020")</f>
        <v>http://dx.doi.org/10.1016/j.rse.2016.05.020</v>
      </c>
      <c r="BG256" t="s">
        <v>74</v>
      </c>
      <c r="BH256" t="s">
        <v>74</v>
      </c>
      <c r="BI256">
        <v>7</v>
      </c>
      <c r="BJ256" t="s">
        <v>5280</v>
      </c>
      <c r="BK256" t="s">
        <v>156</v>
      </c>
      <c r="BL256" t="s">
        <v>5281</v>
      </c>
      <c r="BM256" t="s">
        <v>5282</v>
      </c>
      <c r="BN256" t="s">
        <v>74</v>
      </c>
      <c r="BO256" t="s">
        <v>104</v>
      </c>
      <c r="BP256" t="s">
        <v>74</v>
      </c>
      <c r="BQ256" t="s">
        <v>74</v>
      </c>
      <c r="BR256" t="s">
        <v>105</v>
      </c>
      <c r="BS256" t="s">
        <v>5283</v>
      </c>
      <c r="BT256" t="str">
        <f>HYPERLINK("https%3A%2F%2Fwww.webofscience.com%2Fwos%2Fwoscc%2Ffull-record%2FWOS:000382345400016","View Full Record in Web of Science")</f>
        <v>View Full Record in Web of Science</v>
      </c>
    </row>
    <row r="257" spans="1:72" x14ac:dyDescent="0.15">
      <c r="A257" t="s">
        <v>72</v>
      </c>
      <c r="B257" t="s">
        <v>5284</v>
      </c>
      <c r="C257" t="s">
        <v>74</v>
      </c>
      <c r="D257" t="s">
        <v>74</v>
      </c>
      <c r="E257" t="s">
        <v>74</v>
      </c>
      <c r="F257" t="s">
        <v>5285</v>
      </c>
      <c r="G257" t="s">
        <v>74</v>
      </c>
      <c r="H257" t="s">
        <v>74</v>
      </c>
      <c r="I257" t="s">
        <v>5286</v>
      </c>
      <c r="J257" t="s">
        <v>966</v>
      </c>
      <c r="K257" t="s">
        <v>74</v>
      </c>
      <c r="L257" t="s">
        <v>74</v>
      </c>
      <c r="M257" t="s">
        <v>78</v>
      </c>
      <c r="N257" t="s">
        <v>79</v>
      </c>
      <c r="O257" t="s">
        <v>74</v>
      </c>
      <c r="P257" t="s">
        <v>74</v>
      </c>
      <c r="Q257" t="s">
        <v>74</v>
      </c>
      <c r="R257" t="s">
        <v>74</v>
      </c>
      <c r="S257" t="s">
        <v>74</v>
      </c>
      <c r="T257" t="s">
        <v>5287</v>
      </c>
      <c r="U257" t="s">
        <v>5288</v>
      </c>
      <c r="V257" t="s">
        <v>5289</v>
      </c>
      <c r="W257" t="s">
        <v>5290</v>
      </c>
      <c r="X257" t="s">
        <v>5291</v>
      </c>
      <c r="Y257" t="s">
        <v>5292</v>
      </c>
      <c r="Z257" t="s">
        <v>5293</v>
      </c>
      <c r="AA257" t="s">
        <v>5294</v>
      </c>
      <c r="AB257" t="s">
        <v>5295</v>
      </c>
      <c r="AC257" t="s">
        <v>5296</v>
      </c>
      <c r="AD257" t="s">
        <v>5297</v>
      </c>
      <c r="AE257" t="s">
        <v>5298</v>
      </c>
      <c r="AF257" t="s">
        <v>74</v>
      </c>
      <c r="AG257">
        <v>51</v>
      </c>
      <c r="AH257">
        <v>21</v>
      </c>
      <c r="AI257">
        <v>21</v>
      </c>
      <c r="AJ257">
        <v>0</v>
      </c>
      <c r="AK257">
        <v>19</v>
      </c>
      <c r="AL257" t="s">
        <v>92</v>
      </c>
      <c r="AM257" t="s">
        <v>93</v>
      </c>
      <c r="AN257" t="s">
        <v>94</v>
      </c>
      <c r="AO257" t="s">
        <v>979</v>
      </c>
      <c r="AP257" t="s">
        <v>980</v>
      </c>
      <c r="AQ257" t="s">
        <v>74</v>
      </c>
      <c r="AR257" t="s">
        <v>981</v>
      </c>
      <c r="AS257" t="s">
        <v>982</v>
      </c>
      <c r="AT257" t="s">
        <v>4965</v>
      </c>
      <c r="AU257">
        <v>2016</v>
      </c>
      <c r="AV257">
        <v>565</v>
      </c>
      <c r="AW257" t="s">
        <v>74</v>
      </c>
      <c r="AX257" t="s">
        <v>74</v>
      </c>
      <c r="AY257" t="s">
        <v>74</v>
      </c>
      <c r="AZ257" t="s">
        <v>74</v>
      </c>
      <c r="BA257" t="s">
        <v>74</v>
      </c>
      <c r="BB257">
        <v>767</v>
      </c>
      <c r="BC257">
        <v>776</v>
      </c>
      <c r="BD257" t="s">
        <v>74</v>
      </c>
      <c r="BE257" t="s">
        <v>5299</v>
      </c>
      <c r="BF257" t="str">
        <f>HYPERLINK("http://dx.doi.org/10.1016/j.scitotenv.2016.04.142","http://dx.doi.org/10.1016/j.scitotenv.2016.04.142")</f>
        <v>http://dx.doi.org/10.1016/j.scitotenv.2016.04.142</v>
      </c>
      <c r="BG257" t="s">
        <v>74</v>
      </c>
      <c r="BH257" t="s">
        <v>74</v>
      </c>
      <c r="BI257">
        <v>10</v>
      </c>
      <c r="BJ257" t="s">
        <v>846</v>
      </c>
      <c r="BK257" t="s">
        <v>156</v>
      </c>
      <c r="BL257" t="s">
        <v>532</v>
      </c>
      <c r="BM257" t="s">
        <v>5300</v>
      </c>
      <c r="BN257">
        <v>27262827</v>
      </c>
      <c r="BO257" t="s">
        <v>74</v>
      </c>
      <c r="BP257" t="s">
        <v>74</v>
      </c>
      <c r="BQ257" t="s">
        <v>74</v>
      </c>
      <c r="BR257" t="s">
        <v>105</v>
      </c>
      <c r="BS257" t="s">
        <v>5301</v>
      </c>
      <c r="BT257" t="str">
        <f>HYPERLINK("https%3A%2F%2Fwww.webofscience.com%2Fwos%2Fwoscc%2Ffull-record%2FWOS:000378206300078","View Full Record in Web of Science")</f>
        <v>View Full Record in Web of Science</v>
      </c>
    </row>
    <row r="258" spans="1:72" x14ac:dyDescent="0.15">
      <c r="A258" t="s">
        <v>72</v>
      </c>
      <c r="B258" t="s">
        <v>5302</v>
      </c>
      <c r="C258" t="s">
        <v>74</v>
      </c>
      <c r="D258" t="s">
        <v>74</v>
      </c>
      <c r="E258" t="s">
        <v>74</v>
      </c>
      <c r="F258" t="s">
        <v>5303</v>
      </c>
      <c r="G258" t="s">
        <v>74</v>
      </c>
      <c r="H258" t="s">
        <v>74</v>
      </c>
      <c r="I258" t="s">
        <v>5304</v>
      </c>
      <c r="J258" t="s">
        <v>966</v>
      </c>
      <c r="K258" t="s">
        <v>74</v>
      </c>
      <c r="L258" t="s">
        <v>74</v>
      </c>
      <c r="M258" t="s">
        <v>78</v>
      </c>
      <c r="N258" t="s">
        <v>79</v>
      </c>
      <c r="O258" t="s">
        <v>74</v>
      </c>
      <c r="P258" t="s">
        <v>74</v>
      </c>
      <c r="Q258" t="s">
        <v>74</v>
      </c>
      <c r="R258" t="s">
        <v>74</v>
      </c>
      <c r="S258" t="s">
        <v>74</v>
      </c>
      <c r="T258" t="s">
        <v>5305</v>
      </c>
      <c r="U258" t="s">
        <v>5306</v>
      </c>
      <c r="V258" t="s">
        <v>5307</v>
      </c>
      <c r="W258" t="s">
        <v>5308</v>
      </c>
      <c r="X258" t="s">
        <v>5309</v>
      </c>
      <c r="Y258" t="s">
        <v>5310</v>
      </c>
      <c r="Z258" t="s">
        <v>5311</v>
      </c>
      <c r="AA258" t="s">
        <v>5312</v>
      </c>
      <c r="AB258" t="s">
        <v>5313</v>
      </c>
      <c r="AC258" t="s">
        <v>5314</v>
      </c>
      <c r="AD258" t="s">
        <v>5315</v>
      </c>
      <c r="AE258" t="s">
        <v>5316</v>
      </c>
      <c r="AF258" t="s">
        <v>74</v>
      </c>
      <c r="AG258">
        <v>57</v>
      </c>
      <c r="AH258">
        <v>11</v>
      </c>
      <c r="AI258">
        <v>14</v>
      </c>
      <c r="AJ258">
        <v>1</v>
      </c>
      <c r="AK258">
        <v>103</v>
      </c>
      <c r="AL258" t="s">
        <v>196</v>
      </c>
      <c r="AM258" t="s">
        <v>93</v>
      </c>
      <c r="AN258" t="s">
        <v>197</v>
      </c>
      <c r="AO258" t="s">
        <v>979</v>
      </c>
      <c r="AP258" t="s">
        <v>980</v>
      </c>
      <c r="AQ258" t="s">
        <v>74</v>
      </c>
      <c r="AR258" t="s">
        <v>981</v>
      </c>
      <c r="AS258" t="s">
        <v>982</v>
      </c>
      <c r="AT258" t="s">
        <v>4965</v>
      </c>
      <c r="AU258">
        <v>2016</v>
      </c>
      <c r="AV258">
        <v>565</v>
      </c>
      <c r="AW258" t="s">
        <v>74</v>
      </c>
      <c r="AX258" t="s">
        <v>74</v>
      </c>
      <c r="AY258" t="s">
        <v>74</v>
      </c>
      <c r="AZ258" t="s">
        <v>74</v>
      </c>
      <c r="BA258" t="s">
        <v>74</v>
      </c>
      <c r="BB258">
        <v>1185</v>
      </c>
      <c r="BC258">
        <v>1191</v>
      </c>
      <c r="BD258" t="s">
        <v>74</v>
      </c>
      <c r="BE258" t="s">
        <v>5317</v>
      </c>
      <c r="BF258" t="str">
        <f>HYPERLINK("http://dx.doi.org/10.1016/j.scitotenv.2016.05.166","http://dx.doi.org/10.1016/j.scitotenv.2016.05.166")</f>
        <v>http://dx.doi.org/10.1016/j.scitotenv.2016.05.166</v>
      </c>
      <c r="BG258" t="s">
        <v>74</v>
      </c>
      <c r="BH258" t="s">
        <v>74</v>
      </c>
      <c r="BI258">
        <v>7</v>
      </c>
      <c r="BJ258" t="s">
        <v>846</v>
      </c>
      <c r="BK258" t="s">
        <v>156</v>
      </c>
      <c r="BL258" t="s">
        <v>532</v>
      </c>
      <c r="BM258" t="s">
        <v>5300</v>
      </c>
      <c r="BN258">
        <v>27261428</v>
      </c>
      <c r="BO258" t="s">
        <v>74</v>
      </c>
      <c r="BP258" t="s">
        <v>74</v>
      </c>
      <c r="BQ258" t="s">
        <v>74</v>
      </c>
      <c r="BR258" t="s">
        <v>105</v>
      </c>
      <c r="BS258" t="s">
        <v>5318</v>
      </c>
      <c r="BT258" t="str">
        <f>HYPERLINK("https%3A%2F%2Fwww.webofscience.com%2Fwos%2Fwoscc%2Ffull-record%2FWOS:000378206300121","View Full Record in Web of Science")</f>
        <v>View Full Record in Web of Science</v>
      </c>
    </row>
    <row r="259" spans="1:72" x14ac:dyDescent="0.15">
      <c r="A259" t="s">
        <v>72</v>
      </c>
      <c r="B259" t="s">
        <v>5319</v>
      </c>
      <c r="C259" t="s">
        <v>74</v>
      </c>
      <c r="D259" t="s">
        <v>74</v>
      </c>
      <c r="E259" t="s">
        <v>74</v>
      </c>
      <c r="F259" t="s">
        <v>5320</v>
      </c>
      <c r="G259" t="s">
        <v>74</v>
      </c>
      <c r="H259" t="s">
        <v>74</v>
      </c>
      <c r="I259" t="s">
        <v>5321</v>
      </c>
      <c r="J259" t="s">
        <v>4498</v>
      </c>
      <c r="K259" t="s">
        <v>74</v>
      </c>
      <c r="L259" t="s">
        <v>74</v>
      </c>
      <c r="M259" t="s">
        <v>78</v>
      </c>
      <c r="N259" t="s">
        <v>79</v>
      </c>
      <c r="O259" t="s">
        <v>74</v>
      </c>
      <c r="P259" t="s">
        <v>74</v>
      </c>
      <c r="Q259" t="s">
        <v>74</v>
      </c>
      <c r="R259" t="s">
        <v>74</v>
      </c>
      <c r="S259" t="s">
        <v>74</v>
      </c>
      <c r="T259" t="s">
        <v>5322</v>
      </c>
      <c r="U259" t="s">
        <v>5323</v>
      </c>
      <c r="V259" t="s">
        <v>5324</v>
      </c>
      <c r="W259" t="s">
        <v>5325</v>
      </c>
      <c r="X259" t="s">
        <v>5326</v>
      </c>
      <c r="Y259" t="s">
        <v>5327</v>
      </c>
      <c r="Z259" t="s">
        <v>5328</v>
      </c>
      <c r="AA259" t="s">
        <v>5329</v>
      </c>
      <c r="AB259" t="s">
        <v>5330</v>
      </c>
      <c r="AC259" t="s">
        <v>5331</v>
      </c>
      <c r="AD259" t="s">
        <v>5332</v>
      </c>
      <c r="AE259" t="s">
        <v>5333</v>
      </c>
      <c r="AF259" t="s">
        <v>74</v>
      </c>
      <c r="AG259">
        <v>115</v>
      </c>
      <c r="AH259">
        <v>5</v>
      </c>
      <c r="AI259">
        <v>5</v>
      </c>
      <c r="AJ259">
        <v>0</v>
      </c>
      <c r="AK259">
        <v>8</v>
      </c>
      <c r="AL259" t="s">
        <v>1572</v>
      </c>
      <c r="AM259" t="s">
        <v>1573</v>
      </c>
      <c r="AN259" t="s">
        <v>1574</v>
      </c>
      <c r="AO259" t="s">
        <v>4511</v>
      </c>
      <c r="AP259" t="s">
        <v>4512</v>
      </c>
      <c r="AQ259" t="s">
        <v>74</v>
      </c>
      <c r="AR259" t="s">
        <v>4498</v>
      </c>
      <c r="AS259" t="s">
        <v>4513</v>
      </c>
      <c r="AT259" t="s">
        <v>5334</v>
      </c>
      <c r="AU259">
        <v>2016</v>
      </c>
      <c r="AV259">
        <v>4168</v>
      </c>
      <c r="AW259">
        <v>1</v>
      </c>
      <c r="AX259" t="s">
        <v>74</v>
      </c>
      <c r="AY259" t="s">
        <v>74</v>
      </c>
      <c r="AZ259" t="s">
        <v>74</v>
      </c>
      <c r="BA259" t="s">
        <v>74</v>
      </c>
      <c r="BB259">
        <v>1</v>
      </c>
      <c r="BC259">
        <v>37</v>
      </c>
      <c r="BD259" t="s">
        <v>74</v>
      </c>
      <c r="BE259" t="s">
        <v>5335</v>
      </c>
      <c r="BF259" t="str">
        <f>HYPERLINK("http://dx.doi.org/10.11646/zootaxa.4168.1.1","http://dx.doi.org/10.11646/zootaxa.4168.1.1")</f>
        <v>http://dx.doi.org/10.11646/zootaxa.4168.1.1</v>
      </c>
      <c r="BG259" t="s">
        <v>74</v>
      </c>
      <c r="BH259" t="s">
        <v>74</v>
      </c>
      <c r="BI259">
        <v>37</v>
      </c>
      <c r="BJ259" t="s">
        <v>3306</v>
      </c>
      <c r="BK259" t="s">
        <v>156</v>
      </c>
      <c r="BL259" t="s">
        <v>3306</v>
      </c>
      <c r="BM259" t="s">
        <v>5336</v>
      </c>
      <c r="BN259">
        <v>27701346</v>
      </c>
      <c r="BO259" t="s">
        <v>74</v>
      </c>
      <c r="BP259" t="s">
        <v>74</v>
      </c>
      <c r="BQ259" t="s">
        <v>74</v>
      </c>
      <c r="BR259" t="s">
        <v>105</v>
      </c>
      <c r="BS259" t="s">
        <v>5337</v>
      </c>
      <c r="BT259" t="str">
        <f>HYPERLINK("https%3A%2F%2Fwww.webofscience.com%2Fwos%2Fwoscc%2Ffull-record%2FWOS:000383189900001","View Full Record in Web of Science")</f>
        <v>View Full Record in Web of Science</v>
      </c>
    </row>
    <row r="260" spans="1:72" x14ac:dyDescent="0.15">
      <c r="A260" t="s">
        <v>72</v>
      </c>
      <c r="B260" t="s">
        <v>5338</v>
      </c>
      <c r="C260" t="s">
        <v>74</v>
      </c>
      <c r="D260" t="s">
        <v>74</v>
      </c>
      <c r="E260" t="s">
        <v>74</v>
      </c>
      <c r="F260" t="s">
        <v>5339</v>
      </c>
      <c r="G260" t="s">
        <v>74</v>
      </c>
      <c r="H260" t="s">
        <v>74</v>
      </c>
      <c r="I260" t="s">
        <v>5340</v>
      </c>
      <c r="J260" t="s">
        <v>1072</v>
      </c>
      <c r="K260" t="s">
        <v>74</v>
      </c>
      <c r="L260" t="s">
        <v>74</v>
      </c>
      <c r="M260" t="s">
        <v>78</v>
      </c>
      <c r="N260" t="s">
        <v>79</v>
      </c>
      <c r="O260" t="s">
        <v>74</v>
      </c>
      <c r="P260" t="s">
        <v>74</v>
      </c>
      <c r="Q260" t="s">
        <v>74</v>
      </c>
      <c r="R260" t="s">
        <v>74</v>
      </c>
      <c r="S260" t="s">
        <v>74</v>
      </c>
      <c r="T260" t="s">
        <v>74</v>
      </c>
      <c r="U260" t="s">
        <v>5341</v>
      </c>
      <c r="V260" t="s">
        <v>5342</v>
      </c>
      <c r="W260" t="s">
        <v>5343</v>
      </c>
      <c r="X260" t="s">
        <v>5344</v>
      </c>
      <c r="Y260" t="s">
        <v>5345</v>
      </c>
      <c r="Z260" t="s">
        <v>5346</v>
      </c>
      <c r="AA260" t="s">
        <v>74</v>
      </c>
      <c r="AB260" t="s">
        <v>5347</v>
      </c>
      <c r="AC260" t="s">
        <v>5348</v>
      </c>
      <c r="AD260" t="s">
        <v>5349</v>
      </c>
      <c r="AE260" t="s">
        <v>5350</v>
      </c>
      <c r="AF260" t="s">
        <v>74</v>
      </c>
      <c r="AG260">
        <v>41</v>
      </c>
      <c r="AH260">
        <v>12</v>
      </c>
      <c r="AI260">
        <v>13</v>
      </c>
      <c r="AJ260">
        <v>1</v>
      </c>
      <c r="AK260">
        <v>19</v>
      </c>
      <c r="AL260" t="s">
        <v>1074</v>
      </c>
      <c r="AM260" t="s">
        <v>1075</v>
      </c>
      <c r="AN260" t="s">
        <v>1076</v>
      </c>
      <c r="AO260" t="s">
        <v>1077</v>
      </c>
      <c r="AP260" t="s">
        <v>74</v>
      </c>
      <c r="AQ260" t="s">
        <v>74</v>
      </c>
      <c r="AR260" t="s">
        <v>1072</v>
      </c>
      <c r="AS260" t="s">
        <v>1078</v>
      </c>
      <c r="AT260" t="s">
        <v>5351</v>
      </c>
      <c r="AU260">
        <v>2016</v>
      </c>
      <c r="AV260">
        <v>11</v>
      </c>
      <c r="AW260">
        <v>9</v>
      </c>
      <c r="AX260" t="s">
        <v>74</v>
      </c>
      <c r="AY260" t="s">
        <v>74</v>
      </c>
      <c r="AZ260" t="s">
        <v>74</v>
      </c>
      <c r="BA260" t="s">
        <v>74</v>
      </c>
      <c r="BB260" t="s">
        <v>74</v>
      </c>
      <c r="BC260" t="s">
        <v>74</v>
      </c>
      <c r="BD260" t="s">
        <v>5352</v>
      </c>
      <c r="BE260" t="s">
        <v>5353</v>
      </c>
      <c r="BF260" t="str">
        <f>HYPERLINK("http://dx.doi.org/10.1371/journal.pone.0162311","http://dx.doi.org/10.1371/journal.pone.0162311")</f>
        <v>http://dx.doi.org/10.1371/journal.pone.0162311</v>
      </c>
      <c r="BG260" t="s">
        <v>74</v>
      </c>
      <c r="BH260" t="s">
        <v>74</v>
      </c>
      <c r="BI260">
        <v>19</v>
      </c>
      <c r="BJ260" t="s">
        <v>719</v>
      </c>
      <c r="BK260" t="s">
        <v>156</v>
      </c>
      <c r="BL260" t="s">
        <v>720</v>
      </c>
      <c r="BM260" t="s">
        <v>5354</v>
      </c>
      <c r="BN260">
        <v>27622510</v>
      </c>
      <c r="BO260" t="s">
        <v>1975</v>
      </c>
      <c r="BP260" t="s">
        <v>74</v>
      </c>
      <c r="BQ260" t="s">
        <v>74</v>
      </c>
      <c r="BR260" t="s">
        <v>105</v>
      </c>
      <c r="BS260" t="s">
        <v>5355</v>
      </c>
      <c r="BT260" t="str">
        <f>HYPERLINK("https%3A%2F%2Fwww.webofscience.com%2Fwos%2Fwoscc%2Ffull-record%2FWOS:000383681000024","View Full Record in Web of Science")</f>
        <v>View Full Record in Web of Science</v>
      </c>
    </row>
    <row r="261" spans="1:72" x14ac:dyDescent="0.15">
      <c r="A261" t="s">
        <v>72</v>
      </c>
      <c r="B261" t="s">
        <v>5356</v>
      </c>
      <c r="C261" t="s">
        <v>74</v>
      </c>
      <c r="D261" t="s">
        <v>74</v>
      </c>
      <c r="E261" t="s">
        <v>74</v>
      </c>
      <c r="F261" t="s">
        <v>5357</v>
      </c>
      <c r="G261" t="s">
        <v>74</v>
      </c>
      <c r="H261" t="s">
        <v>74</v>
      </c>
      <c r="I261" t="s">
        <v>5358</v>
      </c>
      <c r="J261" t="s">
        <v>5359</v>
      </c>
      <c r="K261" t="s">
        <v>74</v>
      </c>
      <c r="L261" t="s">
        <v>74</v>
      </c>
      <c r="M261" t="s">
        <v>78</v>
      </c>
      <c r="N261" t="s">
        <v>79</v>
      </c>
      <c r="O261" t="s">
        <v>74</v>
      </c>
      <c r="P261" t="s">
        <v>74</v>
      </c>
      <c r="Q261" t="s">
        <v>74</v>
      </c>
      <c r="R261" t="s">
        <v>74</v>
      </c>
      <c r="S261" t="s">
        <v>74</v>
      </c>
      <c r="T261" t="s">
        <v>5360</v>
      </c>
      <c r="U261" t="s">
        <v>5361</v>
      </c>
      <c r="V261" t="s">
        <v>5362</v>
      </c>
      <c r="W261" t="s">
        <v>5363</v>
      </c>
      <c r="X261" t="s">
        <v>5364</v>
      </c>
      <c r="Y261" t="s">
        <v>5365</v>
      </c>
      <c r="Z261" t="s">
        <v>5366</v>
      </c>
      <c r="AA261" t="s">
        <v>5367</v>
      </c>
      <c r="AB261" t="s">
        <v>74</v>
      </c>
      <c r="AC261" t="s">
        <v>5368</v>
      </c>
      <c r="AD261" t="s">
        <v>5369</v>
      </c>
      <c r="AE261" t="s">
        <v>5370</v>
      </c>
      <c r="AF261" t="s">
        <v>74</v>
      </c>
      <c r="AG261">
        <v>68</v>
      </c>
      <c r="AH261">
        <v>14</v>
      </c>
      <c r="AI261">
        <v>15</v>
      </c>
      <c r="AJ261">
        <v>7</v>
      </c>
      <c r="AK261">
        <v>39</v>
      </c>
      <c r="AL261" t="s">
        <v>5371</v>
      </c>
      <c r="AM261" t="s">
        <v>5372</v>
      </c>
      <c r="AN261" t="s">
        <v>5373</v>
      </c>
      <c r="AO261" t="s">
        <v>5374</v>
      </c>
      <c r="AP261" t="s">
        <v>5375</v>
      </c>
      <c r="AQ261" t="s">
        <v>74</v>
      </c>
      <c r="AR261" t="s">
        <v>5376</v>
      </c>
      <c r="AS261" t="s">
        <v>5377</v>
      </c>
      <c r="AT261" t="s">
        <v>5351</v>
      </c>
      <c r="AU261">
        <v>2016</v>
      </c>
      <c r="AV261">
        <v>89</v>
      </c>
      <c r="AW261" t="s">
        <v>74</v>
      </c>
      <c r="AX261" t="s">
        <v>74</v>
      </c>
      <c r="AY261" t="s">
        <v>74</v>
      </c>
      <c r="AZ261" t="s">
        <v>74</v>
      </c>
      <c r="BA261" t="s">
        <v>74</v>
      </c>
      <c r="BB261" t="s">
        <v>74</v>
      </c>
      <c r="BC261" t="s">
        <v>74</v>
      </c>
      <c r="BD261">
        <v>13</v>
      </c>
      <c r="BE261" t="s">
        <v>5378</v>
      </c>
      <c r="BF261" t="str">
        <f>HYPERLINK("http://dx.doi.org/10.1186/s40693-016-0061-y","http://dx.doi.org/10.1186/s40693-016-0061-y")</f>
        <v>http://dx.doi.org/10.1186/s40693-016-0061-y</v>
      </c>
      <c r="BG261" t="s">
        <v>74</v>
      </c>
      <c r="BH261" t="s">
        <v>74</v>
      </c>
      <c r="BI261">
        <v>9</v>
      </c>
      <c r="BJ261" t="s">
        <v>652</v>
      </c>
      <c r="BK261" t="s">
        <v>156</v>
      </c>
      <c r="BL261" t="s">
        <v>653</v>
      </c>
      <c r="BM261" t="s">
        <v>5379</v>
      </c>
      <c r="BN261" t="s">
        <v>74</v>
      </c>
      <c r="BO261" t="s">
        <v>133</v>
      </c>
      <c r="BP261" t="s">
        <v>74</v>
      </c>
      <c r="BQ261" t="s">
        <v>74</v>
      </c>
      <c r="BR261" t="s">
        <v>105</v>
      </c>
      <c r="BS261" t="s">
        <v>5380</v>
      </c>
      <c r="BT261" t="str">
        <f>HYPERLINK("https%3A%2F%2Fwww.webofscience.com%2Fwos%2Fwoscc%2Ffull-record%2FWOS:000382982900001","View Full Record in Web of Science")</f>
        <v>View Full Record in Web of Science</v>
      </c>
    </row>
    <row r="262" spans="1:72" x14ac:dyDescent="0.15">
      <c r="A262" t="s">
        <v>72</v>
      </c>
      <c r="B262" t="s">
        <v>5381</v>
      </c>
      <c r="C262" t="s">
        <v>74</v>
      </c>
      <c r="D262" t="s">
        <v>74</v>
      </c>
      <c r="E262" t="s">
        <v>74</v>
      </c>
      <c r="F262" t="s">
        <v>5382</v>
      </c>
      <c r="G262" t="s">
        <v>74</v>
      </c>
      <c r="H262" t="s">
        <v>74</v>
      </c>
      <c r="I262" t="s">
        <v>5383</v>
      </c>
      <c r="J262" t="s">
        <v>2078</v>
      </c>
      <c r="K262" t="s">
        <v>74</v>
      </c>
      <c r="L262" t="s">
        <v>74</v>
      </c>
      <c r="M262" t="s">
        <v>78</v>
      </c>
      <c r="N262" t="s">
        <v>79</v>
      </c>
      <c r="O262" t="s">
        <v>74</v>
      </c>
      <c r="P262" t="s">
        <v>74</v>
      </c>
      <c r="Q262" t="s">
        <v>74</v>
      </c>
      <c r="R262" t="s">
        <v>74</v>
      </c>
      <c r="S262" t="s">
        <v>74</v>
      </c>
      <c r="T262" t="s">
        <v>74</v>
      </c>
      <c r="U262" t="s">
        <v>5384</v>
      </c>
      <c r="V262" t="s">
        <v>5385</v>
      </c>
      <c r="W262" t="s">
        <v>5386</v>
      </c>
      <c r="X262" t="s">
        <v>5387</v>
      </c>
      <c r="Y262" t="s">
        <v>5388</v>
      </c>
      <c r="Z262" t="s">
        <v>5389</v>
      </c>
      <c r="AA262" t="s">
        <v>5390</v>
      </c>
      <c r="AB262" t="s">
        <v>5391</v>
      </c>
      <c r="AC262" t="s">
        <v>5392</v>
      </c>
      <c r="AD262" t="s">
        <v>5393</v>
      </c>
      <c r="AE262" t="s">
        <v>5394</v>
      </c>
      <c r="AF262" t="s">
        <v>74</v>
      </c>
      <c r="AG262">
        <v>55</v>
      </c>
      <c r="AH262">
        <v>25</v>
      </c>
      <c r="AI262">
        <v>29</v>
      </c>
      <c r="AJ262">
        <v>0</v>
      </c>
      <c r="AK262">
        <v>28</v>
      </c>
      <c r="AL262" t="s">
        <v>574</v>
      </c>
      <c r="AM262" t="s">
        <v>575</v>
      </c>
      <c r="AN262" t="s">
        <v>576</v>
      </c>
      <c r="AO262" t="s">
        <v>2090</v>
      </c>
      <c r="AP262" t="s">
        <v>74</v>
      </c>
      <c r="AQ262" t="s">
        <v>74</v>
      </c>
      <c r="AR262" t="s">
        <v>2091</v>
      </c>
      <c r="AS262" t="s">
        <v>2092</v>
      </c>
      <c r="AT262" t="s">
        <v>5351</v>
      </c>
      <c r="AU262">
        <v>2016</v>
      </c>
      <c r="AV262">
        <v>6</v>
      </c>
      <c r="AW262" t="s">
        <v>74</v>
      </c>
      <c r="AX262" t="s">
        <v>74</v>
      </c>
      <c r="AY262" t="s">
        <v>74</v>
      </c>
      <c r="AZ262" t="s">
        <v>74</v>
      </c>
      <c r="BA262" t="s">
        <v>74</v>
      </c>
      <c r="BB262" t="s">
        <v>74</v>
      </c>
      <c r="BC262" t="s">
        <v>74</v>
      </c>
      <c r="BD262">
        <v>33211</v>
      </c>
      <c r="BE262" t="s">
        <v>5395</v>
      </c>
      <c r="BF262" t="str">
        <f>HYPERLINK("http://dx.doi.org/10.1038/srep33211","http://dx.doi.org/10.1038/srep33211")</f>
        <v>http://dx.doi.org/10.1038/srep33211</v>
      </c>
      <c r="BG262" t="s">
        <v>74</v>
      </c>
      <c r="BH262" t="s">
        <v>74</v>
      </c>
      <c r="BI262">
        <v>10</v>
      </c>
      <c r="BJ262" t="s">
        <v>719</v>
      </c>
      <c r="BK262" t="s">
        <v>156</v>
      </c>
      <c r="BL262" t="s">
        <v>720</v>
      </c>
      <c r="BM262" t="s">
        <v>5396</v>
      </c>
      <c r="BN262">
        <v>27620663</v>
      </c>
      <c r="BO262" t="s">
        <v>3908</v>
      </c>
      <c r="BP262" t="s">
        <v>74</v>
      </c>
      <c r="BQ262" t="s">
        <v>74</v>
      </c>
      <c r="BR262" t="s">
        <v>105</v>
      </c>
      <c r="BS262" t="s">
        <v>5397</v>
      </c>
      <c r="BT262" t="str">
        <f>HYPERLINK("https%3A%2F%2Fwww.webofscience.com%2Fwos%2Fwoscc%2Ffull-record%2FWOS:000382933500001","View Full Record in Web of Science")</f>
        <v>View Full Record in Web of Science</v>
      </c>
    </row>
    <row r="263" spans="1:72" x14ac:dyDescent="0.15">
      <c r="A263" t="s">
        <v>72</v>
      </c>
      <c r="B263" t="s">
        <v>5398</v>
      </c>
      <c r="C263" t="s">
        <v>74</v>
      </c>
      <c r="D263" t="s">
        <v>74</v>
      </c>
      <c r="E263" t="s">
        <v>74</v>
      </c>
      <c r="F263" t="s">
        <v>5399</v>
      </c>
      <c r="G263" t="s">
        <v>74</v>
      </c>
      <c r="H263" t="s">
        <v>74</v>
      </c>
      <c r="I263" t="s">
        <v>5400</v>
      </c>
      <c r="J263" t="s">
        <v>1072</v>
      </c>
      <c r="K263" t="s">
        <v>74</v>
      </c>
      <c r="L263" t="s">
        <v>74</v>
      </c>
      <c r="M263" t="s">
        <v>78</v>
      </c>
      <c r="N263" t="s">
        <v>79</v>
      </c>
      <c r="O263" t="s">
        <v>74</v>
      </c>
      <c r="P263" t="s">
        <v>74</v>
      </c>
      <c r="Q263" t="s">
        <v>74</v>
      </c>
      <c r="R263" t="s">
        <v>74</v>
      </c>
      <c r="S263" t="s">
        <v>74</v>
      </c>
      <c r="T263" t="s">
        <v>74</v>
      </c>
      <c r="U263" t="s">
        <v>5401</v>
      </c>
      <c r="V263" t="s">
        <v>5402</v>
      </c>
      <c r="W263" t="s">
        <v>5403</v>
      </c>
      <c r="X263" t="s">
        <v>5404</v>
      </c>
      <c r="Y263" t="s">
        <v>5405</v>
      </c>
      <c r="Z263" t="s">
        <v>5406</v>
      </c>
      <c r="AA263" t="s">
        <v>5407</v>
      </c>
      <c r="AB263" t="s">
        <v>5408</v>
      </c>
      <c r="AC263" t="s">
        <v>5409</v>
      </c>
      <c r="AD263" t="s">
        <v>5410</v>
      </c>
      <c r="AE263" t="s">
        <v>5411</v>
      </c>
      <c r="AF263" t="s">
        <v>74</v>
      </c>
      <c r="AG263">
        <v>51</v>
      </c>
      <c r="AH263">
        <v>7</v>
      </c>
      <c r="AI263">
        <v>7</v>
      </c>
      <c r="AJ263">
        <v>1</v>
      </c>
      <c r="AK263">
        <v>11</v>
      </c>
      <c r="AL263" t="s">
        <v>1074</v>
      </c>
      <c r="AM263" t="s">
        <v>1075</v>
      </c>
      <c r="AN263" t="s">
        <v>1076</v>
      </c>
      <c r="AO263" t="s">
        <v>1077</v>
      </c>
      <c r="AP263" t="s">
        <v>74</v>
      </c>
      <c r="AQ263" t="s">
        <v>74</v>
      </c>
      <c r="AR263" t="s">
        <v>1072</v>
      </c>
      <c r="AS263" t="s">
        <v>1078</v>
      </c>
      <c r="AT263" t="s">
        <v>5351</v>
      </c>
      <c r="AU263">
        <v>2016</v>
      </c>
      <c r="AV263">
        <v>11</v>
      </c>
      <c r="AW263">
        <v>9</v>
      </c>
      <c r="AX263" t="s">
        <v>74</v>
      </c>
      <c r="AY263" t="s">
        <v>74</v>
      </c>
      <c r="AZ263" t="s">
        <v>74</v>
      </c>
      <c r="BA263" t="s">
        <v>74</v>
      </c>
      <c r="BB263" t="s">
        <v>74</v>
      </c>
      <c r="BC263" t="s">
        <v>74</v>
      </c>
      <c r="BD263" t="s">
        <v>5412</v>
      </c>
      <c r="BE263" t="s">
        <v>5413</v>
      </c>
      <c r="BF263" t="str">
        <f>HYPERLINK("http://dx.doi.org/10.1371/journal.pone.0162170","http://dx.doi.org/10.1371/journal.pone.0162170")</f>
        <v>http://dx.doi.org/10.1371/journal.pone.0162170</v>
      </c>
      <c r="BG263" t="s">
        <v>74</v>
      </c>
      <c r="BH263" t="s">
        <v>74</v>
      </c>
      <c r="BI263">
        <v>24</v>
      </c>
      <c r="BJ263" t="s">
        <v>719</v>
      </c>
      <c r="BK263" t="s">
        <v>156</v>
      </c>
      <c r="BL263" t="s">
        <v>720</v>
      </c>
      <c r="BM263" t="s">
        <v>5354</v>
      </c>
      <c r="BN263">
        <v>27622552</v>
      </c>
      <c r="BO263" t="s">
        <v>1519</v>
      </c>
      <c r="BP263" t="s">
        <v>74</v>
      </c>
      <c r="BQ263" t="s">
        <v>74</v>
      </c>
      <c r="BR263" t="s">
        <v>105</v>
      </c>
      <c r="BS263" t="s">
        <v>5414</v>
      </c>
      <c r="BT263" t="str">
        <f>HYPERLINK("https%3A%2F%2Fwww.webofscience.com%2Fwos%2Fwoscc%2Ffull-record%2FWOS:000383681000016","View Full Record in Web of Science")</f>
        <v>View Full Record in Web of Science</v>
      </c>
    </row>
    <row r="264" spans="1:72" x14ac:dyDescent="0.15">
      <c r="A264" t="s">
        <v>72</v>
      </c>
      <c r="B264" t="s">
        <v>5415</v>
      </c>
      <c r="C264" t="s">
        <v>74</v>
      </c>
      <c r="D264" t="s">
        <v>74</v>
      </c>
      <c r="E264" t="s">
        <v>74</v>
      </c>
      <c r="F264" t="s">
        <v>5416</v>
      </c>
      <c r="G264" t="s">
        <v>74</v>
      </c>
      <c r="H264" t="s">
        <v>74</v>
      </c>
      <c r="I264" t="s">
        <v>5417</v>
      </c>
      <c r="J264" t="s">
        <v>2078</v>
      </c>
      <c r="K264" t="s">
        <v>74</v>
      </c>
      <c r="L264" t="s">
        <v>74</v>
      </c>
      <c r="M264" t="s">
        <v>78</v>
      </c>
      <c r="N264" t="s">
        <v>79</v>
      </c>
      <c r="O264" t="s">
        <v>74</v>
      </c>
      <c r="P264" t="s">
        <v>74</v>
      </c>
      <c r="Q264" t="s">
        <v>74</v>
      </c>
      <c r="R264" t="s">
        <v>74</v>
      </c>
      <c r="S264" t="s">
        <v>74</v>
      </c>
      <c r="T264" t="s">
        <v>74</v>
      </c>
      <c r="U264" t="s">
        <v>5418</v>
      </c>
      <c r="V264" t="s">
        <v>5419</v>
      </c>
      <c r="W264" t="s">
        <v>5420</v>
      </c>
      <c r="X264" t="s">
        <v>5421</v>
      </c>
      <c r="Y264" t="s">
        <v>5422</v>
      </c>
      <c r="Z264" t="s">
        <v>5423</v>
      </c>
      <c r="AA264" t="s">
        <v>5424</v>
      </c>
      <c r="AB264" t="s">
        <v>5425</v>
      </c>
      <c r="AC264" t="s">
        <v>5426</v>
      </c>
      <c r="AD264" t="s">
        <v>5427</v>
      </c>
      <c r="AE264" t="s">
        <v>5428</v>
      </c>
      <c r="AF264" t="s">
        <v>74</v>
      </c>
      <c r="AG264">
        <v>45</v>
      </c>
      <c r="AH264">
        <v>23</v>
      </c>
      <c r="AI264">
        <v>23</v>
      </c>
      <c r="AJ264">
        <v>0</v>
      </c>
      <c r="AK264">
        <v>18</v>
      </c>
      <c r="AL264" t="s">
        <v>574</v>
      </c>
      <c r="AM264" t="s">
        <v>575</v>
      </c>
      <c r="AN264" t="s">
        <v>576</v>
      </c>
      <c r="AO264" t="s">
        <v>2090</v>
      </c>
      <c r="AP264" t="s">
        <v>74</v>
      </c>
      <c r="AQ264" t="s">
        <v>74</v>
      </c>
      <c r="AR264" t="s">
        <v>2091</v>
      </c>
      <c r="AS264" t="s">
        <v>2092</v>
      </c>
      <c r="AT264" t="s">
        <v>5429</v>
      </c>
      <c r="AU264">
        <v>2016</v>
      </c>
      <c r="AV264">
        <v>6</v>
      </c>
      <c r="AW264" t="s">
        <v>74</v>
      </c>
      <c r="AX264" t="s">
        <v>74</v>
      </c>
      <c r="AY264" t="s">
        <v>74</v>
      </c>
      <c r="AZ264" t="s">
        <v>74</v>
      </c>
      <c r="BA264" t="s">
        <v>74</v>
      </c>
      <c r="BB264" t="s">
        <v>74</v>
      </c>
      <c r="BC264" t="s">
        <v>74</v>
      </c>
      <c r="BD264">
        <v>33158</v>
      </c>
      <c r="BE264" t="s">
        <v>5430</v>
      </c>
      <c r="BF264" t="str">
        <f>HYPERLINK("http://dx.doi.org/10.1038/srep33158","http://dx.doi.org/10.1038/srep33158")</f>
        <v>http://dx.doi.org/10.1038/srep33158</v>
      </c>
      <c r="BG264" t="s">
        <v>74</v>
      </c>
      <c r="BH264" t="s">
        <v>74</v>
      </c>
      <c r="BI264">
        <v>10</v>
      </c>
      <c r="BJ264" t="s">
        <v>719</v>
      </c>
      <c r="BK264" t="s">
        <v>156</v>
      </c>
      <c r="BL264" t="s">
        <v>720</v>
      </c>
      <c r="BM264" t="s">
        <v>5431</v>
      </c>
      <c r="BN264">
        <v>27616183</v>
      </c>
      <c r="BO264" t="s">
        <v>133</v>
      </c>
      <c r="BP264" t="s">
        <v>74</v>
      </c>
      <c r="BQ264" t="s">
        <v>74</v>
      </c>
      <c r="BR264" t="s">
        <v>105</v>
      </c>
      <c r="BS264" t="s">
        <v>5432</v>
      </c>
      <c r="BT264" t="str">
        <f>HYPERLINK("https%3A%2F%2Fwww.webofscience.com%2Fwos%2Fwoscc%2Ffull-record%2FWOS:000382867300001","View Full Record in Web of Science")</f>
        <v>View Full Record in Web of Science</v>
      </c>
    </row>
    <row r="265" spans="1:72" x14ac:dyDescent="0.15">
      <c r="A265" t="s">
        <v>72</v>
      </c>
      <c r="B265" t="s">
        <v>5433</v>
      </c>
      <c r="C265" t="s">
        <v>74</v>
      </c>
      <c r="D265" t="s">
        <v>74</v>
      </c>
      <c r="E265" t="s">
        <v>74</v>
      </c>
      <c r="F265" t="s">
        <v>5434</v>
      </c>
      <c r="G265" t="s">
        <v>74</v>
      </c>
      <c r="H265" t="s">
        <v>74</v>
      </c>
      <c r="I265" t="s">
        <v>5435</v>
      </c>
      <c r="J265" t="s">
        <v>1921</v>
      </c>
      <c r="K265" t="s">
        <v>74</v>
      </c>
      <c r="L265" t="s">
        <v>74</v>
      </c>
      <c r="M265" t="s">
        <v>78</v>
      </c>
      <c r="N265" t="s">
        <v>79</v>
      </c>
      <c r="O265" t="s">
        <v>74</v>
      </c>
      <c r="P265" t="s">
        <v>74</v>
      </c>
      <c r="Q265" t="s">
        <v>74</v>
      </c>
      <c r="R265" t="s">
        <v>74</v>
      </c>
      <c r="S265" t="s">
        <v>74</v>
      </c>
      <c r="T265" t="s">
        <v>74</v>
      </c>
      <c r="U265" t="s">
        <v>5436</v>
      </c>
      <c r="V265" t="s">
        <v>5437</v>
      </c>
      <c r="W265" t="s">
        <v>5438</v>
      </c>
      <c r="X265" t="s">
        <v>5439</v>
      </c>
      <c r="Y265" t="s">
        <v>5440</v>
      </c>
      <c r="Z265" t="s">
        <v>5441</v>
      </c>
      <c r="AA265" t="s">
        <v>5442</v>
      </c>
      <c r="AB265" t="s">
        <v>5443</v>
      </c>
      <c r="AC265" t="s">
        <v>5444</v>
      </c>
      <c r="AD265" t="s">
        <v>5445</v>
      </c>
      <c r="AE265" t="s">
        <v>5446</v>
      </c>
      <c r="AF265" t="s">
        <v>74</v>
      </c>
      <c r="AG265">
        <v>39</v>
      </c>
      <c r="AH265">
        <v>16</v>
      </c>
      <c r="AI265">
        <v>17</v>
      </c>
      <c r="AJ265">
        <v>0</v>
      </c>
      <c r="AK265">
        <v>17</v>
      </c>
      <c r="AL265" t="s">
        <v>1305</v>
      </c>
      <c r="AM265" t="s">
        <v>1306</v>
      </c>
      <c r="AN265" t="s">
        <v>1307</v>
      </c>
      <c r="AO265" t="s">
        <v>1933</v>
      </c>
      <c r="AP265" t="s">
        <v>1934</v>
      </c>
      <c r="AQ265" t="s">
        <v>74</v>
      </c>
      <c r="AR265" t="s">
        <v>1935</v>
      </c>
      <c r="AS265" t="s">
        <v>1936</v>
      </c>
      <c r="AT265" t="s">
        <v>5429</v>
      </c>
      <c r="AU265">
        <v>2016</v>
      </c>
      <c r="AV265">
        <v>9</v>
      </c>
      <c r="AW265">
        <v>9</v>
      </c>
      <c r="AX265" t="s">
        <v>74</v>
      </c>
      <c r="AY265" t="s">
        <v>74</v>
      </c>
      <c r="AZ265" t="s">
        <v>74</v>
      </c>
      <c r="BA265" t="s">
        <v>74</v>
      </c>
      <c r="BB265">
        <v>3123</v>
      </c>
      <c r="BC265">
        <v>3136</v>
      </c>
      <c r="BD265" t="s">
        <v>74</v>
      </c>
      <c r="BE265" t="s">
        <v>5447</v>
      </c>
      <c r="BF265" t="str">
        <f>HYPERLINK("http://dx.doi.org/10.5194/gmd-9-3123-2016","http://dx.doi.org/10.5194/gmd-9-3123-2016")</f>
        <v>http://dx.doi.org/10.5194/gmd-9-3123-2016</v>
      </c>
      <c r="BG265" t="s">
        <v>74</v>
      </c>
      <c r="BH265" t="s">
        <v>74</v>
      </c>
      <c r="BI265">
        <v>14</v>
      </c>
      <c r="BJ265" t="s">
        <v>352</v>
      </c>
      <c r="BK265" t="s">
        <v>156</v>
      </c>
      <c r="BL265" t="s">
        <v>177</v>
      </c>
      <c r="BM265" t="s">
        <v>5448</v>
      </c>
      <c r="BN265" t="s">
        <v>74</v>
      </c>
      <c r="BO265" t="s">
        <v>1878</v>
      </c>
      <c r="BP265" t="s">
        <v>74</v>
      </c>
      <c r="BQ265" t="s">
        <v>74</v>
      </c>
      <c r="BR265" t="s">
        <v>105</v>
      </c>
      <c r="BS265" t="s">
        <v>5449</v>
      </c>
      <c r="BT265" t="str">
        <f>HYPERLINK("https%3A%2F%2Fwww.webofscience.com%2Fwos%2Fwoscc%2Ffull-record%2FWOS:000384301800001","View Full Record in Web of Science")</f>
        <v>View Full Record in Web of Science</v>
      </c>
    </row>
    <row r="266" spans="1:72" x14ac:dyDescent="0.15">
      <c r="A266" t="s">
        <v>72</v>
      </c>
      <c r="B266" t="s">
        <v>5450</v>
      </c>
      <c r="C266" t="s">
        <v>74</v>
      </c>
      <c r="D266" t="s">
        <v>74</v>
      </c>
      <c r="E266" t="s">
        <v>74</v>
      </c>
      <c r="F266" t="s">
        <v>5451</v>
      </c>
      <c r="G266" t="s">
        <v>74</v>
      </c>
      <c r="H266" t="s">
        <v>74</v>
      </c>
      <c r="I266" t="s">
        <v>5452</v>
      </c>
      <c r="J266" t="s">
        <v>1472</v>
      </c>
      <c r="K266" t="s">
        <v>74</v>
      </c>
      <c r="L266" t="s">
        <v>74</v>
      </c>
      <c r="M266" t="s">
        <v>78</v>
      </c>
      <c r="N266" t="s">
        <v>79</v>
      </c>
      <c r="O266" t="s">
        <v>74</v>
      </c>
      <c r="P266" t="s">
        <v>74</v>
      </c>
      <c r="Q266" t="s">
        <v>74</v>
      </c>
      <c r="R266" t="s">
        <v>74</v>
      </c>
      <c r="S266" t="s">
        <v>74</v>
      </c>
      <c r="T266" t="s">
        <v>5453</v>
      </c>
      <c r="U266" t="s">
        <v>5454</v>
      </c>
      <c r="V266" t="s">
        <v>5455</v>
      </c>
      <c r="W266" t="s">
        <v>5456</v>
      </c>
      <c r="X266" t="s">
        <v>5457</v>
      </c>
      <c r="Y266" t="s">
        <v>5458</v>
      </c>
      <c r="Z266" t="s">
        <v>5459</v>
      </c>
      <c r="AA266" t="s">
        <v>5460</v>
      </c>
      <c r="AB266" t="s">
        <v>5461</v>
      </c>
      <c r="AC266" t="s">
        <v>5462</v>
      </c>
      <c r="AD266" t="s">
        <v>5463</v>
      </c>
      <c r="AE266" t="s">
        <v>5464</v>
      </c>
      <c r="AF266" t="s">
        <v>74</v>
      </c>
      <c r="AG266">
        <v>49</v>
      </c>
      <c r="AH266">
        <v>30</v>
      </c>
      <c r="AI266">
        <v>34</v>
      </c>
      <c r="AJ266">
        <v>0</v>
      </c>
      <c r="AK266">
        <v>2</v>
      </c>
      <c r="AL266" t="s">
        <v>1484</v>
      </c>
      <c r="AM266" t="s">
        <v>1485</v>
      </c>
      <c r="AN266" t="s">
        <v>1486</v>
      </c>
      <c r="AO266" t="s">
        <v>1487</v>
      </c>
      <c r="AP266" t="s">
        <v>1488</v>
      </c>
      <c r="AQ266" t="s">
        <v>74</v>
      </c>
      <c r="AR266" t="s">
        <v>1489</v>
      </c>
      <c r="AS266" t="s">
        <v>1490</v>
      </c>
      <c r="AT266" t="s">
        <v>5465</v>
      </c>
      <c r="AU266">
        <v>2016</v>
      </c>
      <c r="AV266">
        <v>828</v>
      </c>
      <c r="AW266">
        <v>2</v>
      </c>
      <c r="AX266" t="s">
        <v>74</v>
      </c>
      <c r="AY266" t="s">
        <v>74</v>
      </c>
      <c r="AZ266" t="s">
        <v>74</v>
      </c>
      <c r="BA266" t="s">
        <v>74</v>
      </c>
      <c r="BB266" t="s">
        <v>74</v>
      </c>
      <c r="BC266" t="s">
        <v>74</v>
      </c>
      <c r="BD266">
        <v>87</v>
      </c>
      <c r="BE266" t="s">
        <v>5466</v>
      </c>
      <c r="BF266" t="str">
        <f>HYPERLINK("http://dx.doi.org/10.3847/0004-637X/828/2/87","http://dx.doi.org/10.3847/0004-637X/828/2/87")</f>
        <v>http://dx.doi.org/10.3847/0004-637X/828/2/87</v>
      </c>
      <c r="BG266" t="s">
        <v>74</v>
      </c>
      <c r="BH266" t="s">
        <v>74</v>
      </c>
      <c r="BI266">
        <v>5</v>
      </c>
      <c r="BJ266" t="s">
        <v>748</v>
      </c>
      <c r="BK266" t="s">
        <v>156</v>
      </c>
      <c r="BL266" t="s">
        <v>748</v>
      </c>
      <c r="BM266" t="s">
        <v>5467</v>
      </c>
      <c r="BN266" t="s">
        <v>74</v>
      </c>
      <c r="BO266" t="s">
        <v>2617</v>
      </c>
      <c r="BP266" t="s">
        <v>74</v>
      </c>
      <c r="BQ266" t="s">
        <v>74</v>
      </c>
      <c r="BR266" t="s">
        <v>105</v>
      </c>
      <c r="BS266" t="s">
        <v>5468</v>
      </c>
      <c r="BT266" t="str">
        <f>HYPERLINK("https%3A%2F%2Fwww.webofscience.com%2Fwos%2Fwoscc%2Ffull-record%2FWOS:000384075600006","View Full Record in Web of Science")</f>
        <v>View Full Record in Web of Science</v>
      </c>
    </row>
    <row r="267" spans="1:72" x14ac:dyDescent="0.15">
      <c r="A267" t="s">
        <v>72</v>
      </c>
      <c r="B267" t="s">
        <v>5469</v>
      </c>
      <c r="C267" t="s">
        <v>74</v>
      </c>
      <c r="D267" t="s">
        <v>74</v>
      </c>
      <c r="E267" t="s">
        <v>74</v>
      </c>
      <c r="F267" t="s">
        <v>5470</v>
      </c>
      <c r="G267" t="s">
        <v>74</v>
      </c>
      <c r="H267" t="s">
        <v>74</v>
      </c>
      <c r="I267" t="s">
        <v>5471</v>
      </c>
      <c r="J267" t="s">
        <v>5472</v>
      </c>
      <c r="K267" t="s">
        <v>74</v>
      </c>
      <c r="L267" t="s">
        <v>74</v>
      </c>
      <c r="M267" t="s">
        <v>78</v>
      </c>
      <c r="N267" t="s">
        <v>79</v>
      </c>
      <c r="O267" t="s">
        <v>74</v>
      </c>
      <c r="P267" t="s">
        <v>74</v>
      </c>
      <c r="Q267" t="s">
        <v>74</v>
      </c>
      <c r="R267" t="s">
        <v>74</v>
      </c>
      <c r="S267" t="s">
        <v>74</v>
      </c>
      <c r="T267" t="s">
        <v>5473</v>
      </c>
      <c r="U267" t="s">
        <v>5474</v>
      </c>
      <c r="V267" t="s">
        <v>5475</v>
      </c>
      <c r="W267" t="s">
        <v>5476</v>
      </c>
      <c r="X267" t="s">
        <v>5477</v>
      </c>
      <c r="Y267" t="s">
        <v>5478</v>
      </c>
      <c r="Z267" t="s">
        <v>5479</v>
      </c>
      <c r="AA267" t="s">
        <v>5480</v>
      </c>
      <c r="AB267" t="s">
        <v>5481</v>
      </c>
      <c r="AC267" t="s">
        <v>5482</v>
      </c>
      <c r="AD267" t="s">
        <v>5483</v>
      </c>
      <c r="AE267" t="s">
        <v>5484</v>
      </c>
      <c r="AF267" t="s">
        <v>74</v>
      </c>
      <c r="AG267">
        <v>38</v>
      </c>
      <c r="AH267">
        <v>16</v>
      </c>
      <c r="AI267">
        <v>18</v>
      </c>
      <c r="AJ267">
        <v>0</v>
      </c>
      <c r="AK267">
        <v>17</v>
      </c>
      <c r="AL267" t="s">
        <v>1911</v>
      </c>
      <c r="AM267" t="s">
        <v>250</v>
      </c>
      <c r="AN267" t="s">
        <v>1912</v>
      </c>
      <c r="AO267" t="s">
        <v>5485</v>
      </c>
      <c r="AP267" t="s">
        <v>74</v>
      </c>
      <c r="AQ267" t="s">
        <v>74</v>
      </c>
      <c r="AR267" t="s">
        <v>5486</v>
      </c>
      <c r="AS267" t="s">
        <v>5487</v>
      </c>
      <c r="AT267" t="s">
        <v>5465</v>
      </c>
      <c r="AU267">
        <v>2016</v>
      </c>
      <c r="AV267">
        <v>11</v>
      </c>
      <c r="AW267" t="s">
        <v>74</v>
      </c>
      <c r="AX267" t="s">
        <v>74</v>
      </c>
      <c r="AY267" t="s">
        <v>74</v>
      </c>
      <c r="AZ267" t="s">
        <v>74</v>
      </c>
      <c r="BA267" t="s">
        <v>74</v>
      </c>
      <c r="BB267" t="s">
        <v>74</v>
      </c>
      <c r="BC267" t="s">
        <v>74</v>
      </c>
      <c r="BD267">
        <v>70</v>
      </c>
      <c r="BE267" t="s">
        <v>5488</v>
      </c>
      <c r="BF267" t="str">
        <f>HYPERLINK("http://dx.doi.org/10.1186/s40793-016-0194-2","http://dx.doi.org/10.1186/s40793-016-0194-2")</f>
        <v>http://dx.doi.org/10.1186/s40793-016-0194-2</v>
      </c>
      <c r="BG267" t="s">
        <v>74</v>
      </c>
      <c r="BH267" t="s">
        <v>74</v>
      </c>
      <c r="BI267">
        <v>6</v>
      </c>
      <c r="BJ267" t="s">
        <v>5489</v>
      </c>
      <c r="BK267" t="s">
        <v>156</v>
      </c>
      <c r="BL267" t="s">
        <v>5489</v>
      </c>
      <c r="BM267" t="s">
        <v>5490</v>
      </c>
      <c r="BN267">
        <v>27617060</v>
      </c>
      <c r="BO267" t="s">
        <v>133</v>
      </c>
      <c r="BP267" t="s">
        <v>74</v>
      </c>
      <c r="BQ267" t="s">
        <v>74</v>
      </c>
      <c r="BR267" t="s">
        <v>105</v>
      </c>
      <c r="BS267" t="s">
        <v>5491</v>
      </c>
      <c r="BT267" t="str">
        <f>HYPERLINK("https%3A%2F%2Fwww.webofscience.com%2Fwos%2Fwoscc%2Ffull-record%2FWOS:000383920400001","View Full Record in Web of Science")</f>
        <v>View Full Record in Web of Science</v>
      </c>
    </row>
    <row r="268" spans="1:72" x14ac:dyDescent="0.15">
      <c r="A268" t="s">
        <v>72</v>
      </c>
      <c r="B268" t="s">
        <v>5492</v>
      </c>
      <c r="C268" t="s">
        <v>74</v>
      </c>
      <c r="D268" t="s">
        <v>74</v>
      </c>
      <c r="E268" t="s">
        <v>74</v>
      </c>
      <c r="F268" t="s">
        <v>5493</v>
      </c>
      <c r="G268" t="s">
        <v>74</v>
      </c>
      <c r="H268" t="s">
        <v>74</v>
      </c>
      <c r="I268" t="s">
        <v>5494</v>
      </c>
      <c r="J268" t="s">
        <v>5495</v>
      </c>
      <c r="K268" t="s">
        <v>74</v>
      </c>
      <c r="L268" t="s">
        <v>74</v>
      </c>
      <c r="M268" t="s">
        <v>78</v>
      </c>
      <c r="N268" t="s">
        <v>79</v>
      </c>
      <c r="O268" t="s">
        <v>74</v>
      </c>
      <c r="P268" t="s">
        <v>74</v>
      </c>
      <c r="Q268" t="s">
        <v>74</v>
      </c>
      <c r="R268" t="s">
        <v>74</v>
      </c>
      <c r="S268" t="s">
        <v>74</v>
      </c>
      <c r="T268" t="s">
        <v>5496</v>
      </c>
      <c r="U268" t="s">
        <v>5497</v>
      </c>
      <c r="V268" t="s">
        <v>5498</v>
      </c>
      <c r="W268" t="s">
        <v>5499</v>
      </c>
      <c r="X268" t="s">
        <v>5500</v>
      </c>
      <c r="Y268" t="s">
        <v>5501</v>
      </c>
      <c r="Z268" t="s">
        <v>5502</v>
      </c>
      <c r="AA268" t="s">
        <v>5503</v>
      </c>
      <c r="AB268" t="s">
        <v>5504</v>
      </c>
      <c r="AC268" t="s">
        <v>5505</v>
      </c>
      <c r="AD268" t="s">
        <v>5506</v>
      </c>
      <c r="AE268" t="s">
        <v>5507</v>
      </c>
      <c r="AF268" t="s">
        <v>74</v>
      </c>
      <c r="AG268">
        <v>44</v>
      </c>
      <c r="AH268">
        <v>13</v>
      </c>
      <c r="AI268">
        <v>17</v>
      </c>
      <c r="AJ268">
        <v>1</v>
      </c>
      <c r="AK268">
        <v>21</v>
      </c>
      <c r="AL268" t="s">
        <v>92</v>
      </c>
      <c r="AM268" t="s">
        <v>93</v>
      </c>
      <c r="AN268" t="s">
        <v>94</v>
      </c>
      <c r="AO268" t="s">
        <v>5508</v>
      </c>
      <c r="AP268" t="s">
        <v>5509</v>
      </c>
      <c r="AQ268" t="s">
        <v>74</v>
      </c>
      <c r="AR268" t="s">
        <v>5510</v>
      </c>
      <c r="AS268" t="s">
        <v>5511</v>
      </c>
      <c r="AT268" t="s">
        <v>5512</v>
      </c>
      <c r="AU268">
        <v>2016</v>
      </c>
      <c r="AV268">
        <v>1463</v>
      </c>
      <c r="AW268" t="s">
        <v>74</v>
      </c>
      <c r="AX268" t="s">
        <v>74</v>
      </c>
      <c r="AY268" t="s">
        <v>74</v>
      </c>
      <c r="AZ268" t="s">
        <v>74</v>
      </c>
      <c r="BA268" t="s">
        <v>74</v>
      </c>
      <c r="BB268">
        <v>162</v>
      </c>
      <c r="BC268">
        <v>168</v>
      </c>
      <c r="BD268" t="s">
        <v>74</v>
      </c>
      <c r="BE268" t="s">
        <v>5513</v>
      </c>
      <c r="BF268" t="str">
        <f>HYPERLINK("http://dx.doi.org/10.1016/j.chroma.2016.08.009","http://dx.doi.org/10.1016/j.chroma.2016.08.009")</f>
        <v>http://dx.doi.org/10.1016/j.chroma.2016.08.009</v>
      </c>
      <c r="BG268" t="s">
        <v>74</v>
      </c>
      <c r="BH268" t="s">
        <v>74</v>
      </c>
      <c r="BI268">
        <v>7</v>
      </c>
      <c r="BJ268" t="s">
        <v>5514</v>
      </c>
      <c r="BK268" t="s">
        <v>156</v>
      </c>
      <c r="BL268" t="s">
        <v>5515</v>
      </c>
      <c r="BM268" t="s">
        <v>5516</v>
      </c>
      <c r="BN268">
        <v>27527879</v>
      </c>
      <c r="BO268" t="s">
        <v>74</v>
      </c>
      <c r="BP268" t="s">
        <v>74</v>
      </c>
      <c r="BQ268" t="s">
        <v>74</v>
      </c>
      <c r="BR268" t="s">
        <v>105</v>
      </c>
      <c r="BS268" t="s">
        <v>5517</v>
      </c>
      <c r="BT268" t="str">
        <f>HYPERLINK("https%3A%2F%2Fwww.webofscience.com%2Fwos%2Fwoscc%2Ffull-record%2FWOS:000382595800018","View Full Record in Web of Science")</f>
        <v>View Full Record in Web of Science</v>
      </c>
    </row>
    <row r="269" spans="1:72" x14ac:dyDescent="0.15">
      <c r="A269" t="s">
        <v>72</v>
      </c>
      <c r="B269" t="s">
        <v>5518</v>
      </c>
      <c r="C269" t="s">
        <v>74</v>
      </c>
      <c r="D269" t="s">
        <v>74</v>
      </c>
      <c r="E269" t="s">
        <v>74</v>
      </c>
      <c r="F269" t="s">
        <v>5519</v>
      </c>
      <c r="G269" t="s">
        <v>74</v>
      </c>
      <c r="H269" t="s">
        <v>74</v>
      </c>
      <c r="I269" t="s">
        <v>5520</v>
      </c>
      <c r="J269" t="s">
        <v>1838</v>
      </c>
      <c r="K269" t="s">
        <v>74</v>
      </c>
      <c r="L269" t="s">
        <v>74</v>
      </c>
      <c r="M269" t="s">
        <v>78</v>
      </c>
      <c r="N269" t="s">
        <v>79</v>
      </c>
      <c r="O269" t="s">
        <v>74</v>
      </c>
      <c r="P269" t="s">
        <v>74</v>
      </c>
      <c r="Q269" t="s">
        <v>74</v>
      </c>
      <c r="R269" t="s">
        <v>74</v>
      </c>
      <c r="S269" t="s">
        <v>74</v>
      </c>
      <c r="T269" t="s">
        <v>74</v>
      </c>
      <c r="U269" t="s">
        <v>5521</v>
      </c>
      <c r="V269" t="s">
        <v>5522</v>
      </c>
      <c r="W269" t="s">
        <v>5523</v>
      </c>
      <c r="X269" t="s">
        <v>5524</v>
      </c>
      <c r="Y269" t="s">
        <v>5525</v>
      </c>
      <c r="Z269" t="s">
        <v>5526</v>
      </c>
      <c r="AA269" t="s">
        <v>74</v>
      </c>
      <c r="AB269" t="s">
        <v>5527</v>
      </c>
      <c r="AC269" t="s">
        <v>5528</v>
      </c>
      <c r="AD269" t="s">
        <v>5528</v>
      </c>
      <c r="AE269" t="s">
        <v>5529</v>
      </c>
      <c r="AF269" t="s">
        <v>74</v>
      </c>
      <c r="AG269">
        <v>57</v>
      </c>
      <c r="AH269">
        <v>38</v>
      </c>
      <c r="AI269">
        <v>39</v>
      </c>
      <c r="AJ269">
        <v>0</v>
      </c>
      <c r="AK269">
        <v>21</v>
      </c>
      <c r="AL269" t="s">
        <v>1305</v>
      </c>
      <c r="AM269" t="s">
        <v>1306</v>
      </c>
      <c r="AN269" t="s">
        <v>1307</v>
      </c>
      <c r="AO269" t="s">
        <v>1850</v>
      </c>
      <c r="AP269" t="s">
        <v>1851</v>
      </c>
      <c r="AQ269" t="s">
        <v>74</v>
      </c>
      <c r="AR269" t="s">
        <v>1852</v>
      </c>
      <c r="AS269" t="s">
        <v>1853</v>
      </c>
      <c r="AT269" t="s">
        <v>5530</v>
      </c>
      <c r="AU269">
        <v>2016</v>
      </c>
      <c r="AV269">
        <v>12</v>
      </c>
      <c r="AW269">
        <v>9</v>
      </c>
      <c r="AX269" t="s">
        <v>74</v>
      </c>
      <c r="AY269" t="s">
        <v>74</v>
      </c>
      <c r="AZ269" t="s">
        <v>74</v>
      </c>
      <c r="BA269" t="s">
        <v>74</v>
      </c>
      <c r="BB269">
        <v>1829</v>
      </c>
      <c r="BC269">
        <v>1846</v>
      </c>
      <c r="BD269" t="s">
        <v>74</v>
      </c>
      <c r="BE269" t="s">
        <v>5531</v>
      </c>
      <c r="BF269" t="str">
        <f>HYPERLINK("http://dx.doi.org/10.5194/cp-12-1829-2016","http://dx.doi.org/10.5194/cp-12-1829-2016")</f>
        <v>http://dx.doi.org/10.5194/cp-12-1829-2016</v>
      </c>
      <c r="BG269" t="s">
        <v>74</v>
      </c>
      <c r="BH269" t="s">
        <v>74</v>
      </c>
      <c r="BI269">
        <v>18</v>
      </c>
      <c r="BJ269" t="s">
        <v>1336</v>
      </c>
      <c r="BK269" t="s">
        <v>156</v>
      </c>
      <c r="BL269" t="s">
        <v>1337</v>
      </c>
      <c r="BM269" t="s">
        <v>5532</v>
      </c>
      <c r="BN269" t="s">
        <v>74</v>
      </c>
      <c r="BO269" t="s">
        <v>5533</v>
      </c>
      <c r="BP269" t="s">
        <v>74</v>
      </c>
      <c r="BQ269" t="s">
        <v>74</v>
      </c>
      <c r="BR269" t="s">
        <v>105</v>
      </c>
      <c r="BS269" t="s">
        <v>5534</v>
      </c>
      <c r="BT269" t="str">
        <f>HYPERLINK("https%3A%2F%2Fwww.webofscience.com%2Fwos%2Fwoscc%2Ffull-record%2FWOS:000384010600001","View Full Record in Web of Science")</f>
        <v>View Full Record in Web of Science</v>
      </c>
    </row>
    <row r="270" spans="1:72" x14ac:dyDescent="0.15">
      <c r="A270" t="s">
        <v>72</v>
      </c>
      <c r="B270" t="s">
        <v>5535</v>
      </c>
      <c r="C270" t="s">
        <v>74</v>
      </c>
      <c r="D270" t="s">
        <v>74</v>
      </c>
      <c r="E270" t="s">
        <v>74</v>
      </c>
      <c r="F270" t="s">
        <v>5536</v>
      </c>
      <c r="G270" t="s">
        <v>74</v>
      </c>
      <c r="H270" t="s">
        <v>74</v>
      </c>
      <c r="I270" t="s">
        <v>5537</v>
      </c>
      <c r="J270" t="s">
        <v>2078</v>
      </c>
      <c r="K270" t="s">
        <v>74</v>
      </c>
      <c r="L270" t="s">
        <v>74</v>
      </c>
      <c r="M270" t="s">
        <v>78</v>
      </c>
      <c r="N270" t="s">
        <v>79</v>
      </c>
      <c r="O270" t="s">
        <v>74</v>
      </c>
      <c r="P270" t="s">
        <v>74</v>
      </c>
      <c r="Q270" t="s">
        <v>74</v>
      </c>
      <c r="R270" t="s">
        <v>74</v>
      </c>
      <c r="S270" t="s">
        <v>74</v>
      </c>
      <c r="T270" t="s">
        <v>74</v>
      </c>
      <c r="U270" t="s">
        <v>5538</v>
      </c>
      <c r="V270" t="s">
        <v>5539</v>
      </c>
      <c r="W270" t="s">
        <v>5540</v>
      </c>
      <c r="X270" t="s">
        <v>5541</v>
      </c>
      <c r="Y270" t="s">
        <v>5542</v>
      </c>
      <c r="Z270" t="s">
        <v>5543</v>
      </c>
      <c r="AA270" t="s">
        <v>5544</v>
      </c>
      <c r="AB270" t="s">
        <v>5545</v>
      </c>
      <c r="AC270" t="s">
        <v>5546</v>
      </c>
      <c r="AD270" t="s">
        <v>5547</v>
      </c>
      <c r="AE270" t="s">
        <v>5548</v>
      </c>
      <c r="AF270" t="s">
        <v>74</v>
      </c>
      <c r="AG270">
        <v>45</v>
      </c>
      <c r="AH270">
        <v>56</v>
      </c>
      <c r="AI270">
        <v>78</v>
      </c>
      <c r="AJ270">
        <v>1</v>
      </c>
      <c r="AK270">
        <v>40</v>
      </c>
      <c r="AL270" t="s">
        <v>574</v>
      </c>
      <c r="AM270" t="s">
        <v>575</v>
      </c>
      <c r="AN270" t="s">
        <v>576</v>
      </c>
      <c r="AO270" t="s">
        <v>2090</v>
      </c>
      <c r="AP270" t="s">
        <v>74</v>
      </c>
      <c r="AQ270" t="s">
        <v>74</v>
      </c>
      <c r="AR270" t="s">
        <v>2091</v>
      </c>
      <c r="AS270" t="s">
        <v>2092</v>
      </c>
      <c r="AT270" t="s">
        <v>5530</v>
      </c>
      <c r="AU270">
        <v>2016</v>
      </c>
      <c r="AV270">
        <v>6</v>
      </c>
      <c r="AW270" t="s">
        <v>74</v>
      </c>
      <c r="AX270" t="s">
        <v>74</v>
      </c>
      <c r="AY270" t="s">
        <v>74</v>
      </c>
      <c r="AZ270" t="s">
        <v>74</v>
      </c>
      <c r="BA270" t="s">
        <v>74</v>
      </c>
      <c r="BB270" t="s">
        <v>74</v>
      </c>
      <c r="BC270" t="s">
        <v>74</v>
      </c>
      <c r="BD270">
        <v>32995</v>
      </c>
      <c r="BE270" t="s">
        <v>5549</v>
      </c>
      <c r="BF270" t="str">
        <f>HYPERLINK("http://dx.doi.org/10.1038/srep32995","http://dx.doi.org/10.1038/srep32995")</f>
        <v>http://dx.doi.org/10.1038/srep32995</v>
      </c>
      <c r="BG270" t="s">
        <v>74</v>
      </c>
      <c r="BH270" t="s">
        <v>74</v>
      </c>
      <c r="BI270">
        <v>7</v>
      </c>
      <c r="BJ270" t="s">
        <v>719</v>
      </c>
      <c r="BK270" t="s">
        <v>156</v>
      </c>
      <c r="BL270" t="s">
        <v>720</v>
      </c>
      <c r="BM270" t="s">
        <v>5550</v>
      </c>
      <c r="BN270">
        <v>27605015</v>
      </c>
      <c r="BO270" t="s">
        <v>133</v>
      </c>
      <c r="BP270" t="s">
        <v>74</v>
      </c>
      <c r="BQ270" t="s">
        <v>74</v>
      </c>
      <c r="BR270" t="s">
        <v>105</v>
      </c>
      <c r="BS270" t="s">
        <v>5551</v>
      </c>
      <c r="BT270" t="str">
        <f>HYPERLINK("https%3A%2F%2Fwww.webofscience.com%2Fwos%2Fwoscc%2Ffull-record%2FWOS:000382651700001","View Full Record in Web of Science")</f>
        <v>View Full Record in Web of Science</v>
      </c>
    </row>
    <row r="271" spans="1:72" x14ac:dyDescent="0.15">
      <c r="A271" t="s">
        <v>72</v>
      </c>
      <c r="B271" t="s">
        <v>5552</v>
      </c>
      <c r="C271" t="s">
        <v>74</v>
      </c>
      <c r="D271" t="s">
        <v>74</v>
      </c>
      <c r="E271" t="s">
        <v>74</v>
      </c>
      <c r="F271" t="s">
        <v>5553</v>
      </c>
      <c r="G271" t="s">
        <v>74</v>
      </c>
      <c r="H271" t="s">
        <v>74</v>
      </c>
      <c r="I271" t="s">
        <v>5554</v>
      </c>
      <c r="J271" t="s">
        <v>2078</v>
      </c>
      <c r="K271" t="s">
        <v>74</v>
      </c>
      <c r="L271" t="s">
        <v>74</v>
      </c>
      <c r="M271" t="s">
        <v>78</v>
      </c>
      <c r="N271" t="s">
        <v>79</v>
      </c>
      <c r="O271" t="s">
        <v>74</v>
      </c>
      <c r="P271" t="s">
        <v>74</v>
      </c>
      <c r="Q271" t="s">
        <v>74</v>
      </c>
      <c r="R271" t="s">
        <v>74</v>
      </c>
      <c r="S271" t="s">
        <v>74</v>
      </c>
      <c r="T271" t="s">
        <v>74</v>
      </c>
      <c r="U271" t="s">
        <v>5555</v>
      </c>
      <c r="V271" t="s">
        <v>5556</v>
      </c>
      <c r="W271" t="s">
        <v>5557</v>
      </c>
      <c r="X271" t="s">
        <v>1682</v>
      </c>
      <c r="Y271" t="s">
        <v>5558</v>
      </c>
      <c r="Z271" t="s">
        <v>5559</v>
      </c>
      <c r="AA271" t="s">
        <v>74</v>
      </c>
      <c r="AB271" t="s">
        <v>5560</v>
      </c>
      <c r="AC271" t="s">
        <v>5561</v>
      </c>
      <c r="AD271" t="s">
        <v>5562</v>
      </c>
      <c r="AE271" t="s">
        <v>5563</v>
      </c>
      <c r="AF271" t="s">
        <v>74</v>
      </c>
      <c r="AG271">
        <v>51</v>
      </c>
      <c r="AH271">
        <v>25</v>
      </c>
      <c r="AI271">
        <v>32</v>
      </c>
      <c r="AJ271">
        <v>1</v>
      </c>
      <c r="AK271">
        <v>27</v>
      </c>
      <c r="AL271" t="s">
        <v>574</v>
      </c>
      <c r="AM271" t="s">
        <v>575</v>
      </c>
      <c r="AN271" t="s">
        <v>576</v>
      </c>
      <c r="AO271" t="s">
        <v>2090</v>
      </c>
      <c r="AP271" t="s">
        <v>74</v>
      </c>
      <c r="AQ271" t="s">
        <v>74</v>
      </c>
      <c r="AR271" t="s">
        <v>2091</v>
      </c>
      <c r="AS271" t="s">
        <v>2092</v>
      </c>
      <c r="AT271" t="s">
        <v>5530</v>
      </c>
      <c r="AU271">
        <v>2016</v>
      </c>
      <c r="AV271">
        <v>6</v>
      </c>
      <c r="AW271" t="s">
        <v>74</v>
      </c>
      <c r="AX271" t="s">
        <v>74</v>
      </c>
      <c r="AY271" t="s">
        <v>74</v>
      </c>
      <c r="AZ271" t="s">
        <v>74</v>
      </c>
      <c r="BA271" t="s">
        <v>74</v>
      </c>
      <c r="BB271" t="s">
        <v>74</v>
      </c>
      <c r="BC271" t="s">
        <v>74</v>
      </c>
      <c r="BD271">
        <v>33031</v>
      </c>
      <c r="BE271" t="s">
        <v>5564</v>
      </c>
      <c r="BF271" t="str">
        <f>HYPERLINK("http://dx.doi.org/10.1038/srep33031","http://dx.doi.org/10.1038/srep33031")</f>
        <v>http://dx.doi.org/10.1038/srep33031</v>
      </c>
      <c r="BG271" t="s">
        <v>74</v>
      </c>
      <c r="BH271" t="s">
        <v>74</v>
      </c>
      <c r="BI271">
        <v>9</v>
      </c>
      <c r="BJ271" t="s">
        <v>719</v>
      </c>
      <c r="BK271" t="s">
        <v>156</v>
      </c>
      <c r="BL271" t="s">
        <v>720</v>
      </c>
      <c r="BM271" t="s">
        <v>5565</v>
      </c>
      <c r="BN271">
        <v>27604458</v>
      </c>
      <c r="BO271" t="s">
        <v>133</v>
      </c>
      <c r="BP271" t="s">
        <v>74</v>
      </c>
      <c r="BQ271" t="s">
        <v>74</v>
      </c>
      <c r="BR271" t="s">
        <v>105</v>
      </c>
      <c r="BS271" t="s">
        <v>5566</v>
      </c>
      <c r="BT271" t="str">
        <f>HYPERLINK("https%3A%2F%2Fwww.webofscience.com%2Fwos%2Fwoscc%2Ffull-record%2FWOS:000382653100001","View Full Record in Web of Science")</f>
        <v>View Full Record in Web of Science</v>
      </c>
    </row>
    <row r="272" spans="1:72" x14ac:dyDescent="0.15">
      <c r="A272" t="s">
        <v>72</v>
      </c>
      <c r="B272" t="s">
        <v>5567</v>
      </c>
      <c r="C272" t="s">
        <v>74</v>
      </c>
      <c r="D272" t="s">
        <v>74</v>
      </c>
      <c r="E272" t="s">
        <v>74</v>
      </c>
      <c r="F272" t="s">
        <v>5568</v>
      </c>
      <c r="G272" t="s">
        <v>74</v>
      </c>
      <c r="H272" t="s">
        <v>74</v>
      </c>
      <c r="I272" t="s">
        <v>5569</v>
      </c>
      <c r="J272" t="s">
        <v>5570</v>
      </c>
      <c r="K272" t="s">
        <v>74</v>
      </c>
      <c r="L272" t="s">
        <v>74</v>
      </c>
      <c r="M272" t="s">
        <v>78</v>
      </c>
      <c r="N272" t="s">
        <v>317</v>
      </c>
      <c r="O272" t="s">
        <v>74</v>
      </c>
      <c r="P272" t="s">
        <v>74</v>
      </c>
      <c r="Q272" t="s">
        <v>74</v>
      </c>
      <c r="R272" t="s">
        <v>74</v>
      </c>
      <c r="S272" t="s">
        <v>74</v>
      </c>
      <c r="T272" t="s">
        <v>5571</v>
      </c>
      <c r="U272" t="s">
        <v>5572</v>
      </c>
      <c r="V272" t="s">
        <v>5573</v>
      </c>
      <c r="W272" t="s">
        <v>5574</v>
      </c>
      <c r="X272" t="s">
        <v>5575</v>
      </c>
      <c r="Y272" t="s">
        <v>5576</v>
      </c>
      <c r="Z272" t="s">
        <v>5577</v>
      </c>
      <c r="AA272" t="s">
        <v>5578</v>
      </c>
      <c r="AB272" t="s">
        <v>5579</v>
      </c>
      <c r="AC272" t="s">
        <v>74</v>
      </c>
      <c r="AD272" t="s">
        <v>74</v>
      </c>
      <c r="AE272" t="s">
        <v>74</v>
      </c>
      <c r="AF272" t="s">
        <v>74</v>
      </c>
      <c r="AG272">
        <v>156</v>
      </c>
      <c r="AH272">
        <v>81</v>
      </c>
      <c r="AI272">
        <v>84</v>
      </c>
      <c r="AJ272">
        <v>9</v>
      </c>
      <c r="AK272">
        <v>212</v>
      </c>
      <c r="AL272" t="s">
        <v>92</v>
      </c>
      <c r="AM272" t="s">
        <v>93</v>
      </c>
      <c r="AN272" t="s">
        <v>94</v>
      </c>
      <c r="AO272" t="s">
        <v>5580</v>
      </c>
      <c r="AP272" t="s">
        <v>5581</v>
      </c>
      <c r="AQ272" t="s">
        <v>74</v>
      </c>
      <c r="AR272" t="s">
        <v>5582</v>
      </c>
      <c r="AS272" t="s">
        <v>5583</v>
      </c>
      <c r="AT272" t="s">
        <v>5584</v>
      </c>
      <c r="AU272">
        <v>2016</v>
      </c>
      <c r="AV272">
        <v>935</v>
      </c>
      <c r="AW272" t="s">
        <v>74</v>
      </c>
      <c r="AX272" t="s">
        <v>74</v>
      </c>
      <c r="AY272" t="s">
        <v>74</v>
      </c>
      <c r="AZ272" t="s">
        <v>74</v>
      </c>
      <c r="BA272" t="s">
        <v>74</v>
      </c>
      <c r="BB272">
        <v>1</v>
      </c>
      <c r="BC272">
        <v>29</v>
      </c>
      <c r="BD272" t="s">
        <v>74</v>
      </c>
      <c r="BE272" t="s">
        <v>5585</v>
      </c>
      <c r="BF272" t="str">
        <f>HYPERLINK("http://dx.doi.org/10.1016/j.aca.2016.05.052","http://dx.doi.org/10.1016/j.aca.2016.05.052")</f>
        <v>http://dx.doi.org/10.1016/j.aca.2016.05.052</v>
      </c>
      <c r="BG272" t="s">
        <v>74</v>
      </c>
      <c r="BH272" t="s">
        <v>74</v>
      </c>
      <c r="BI272">
        <v>29</v>
      </c>
      <c r="BJ272" t="s">
        <v>5586</v>
      </c>
      <c r="BK272" t="s">
        <v>156</v>
      </c>
      <c r="BL272" t="s">
        <v>5587</v>
      </c>
      <c r="BM272" t="s">
        <v>5588</v>
      </c>
      <c r="BN272">
        <v>27543012</v>
      </c>
      <c r="BO272" t="s">
        <v>805</v>
      </c>
      <c r="BP272" t="s">
        <v>74</v>
      </c>
      <c r="BQ272" t="s">
        <v>74</v>
      </c>
      <c r="BR272" t="s">
        <v>105</v>
      </c>
      <c r="BS272" t="s">
        <v>5589</v>
      </c>
      <c r="BT272" t="str">
        <f>HYPERLINK("https%3A%2F%2Fwww.webofscience.com%2Fwos%2Fwoscc%2Ffull-record%2FWOS:000382249600001","View Full Record in Web of Science")</f>
        <v>View Full Record in Web of Science</v>
      </c>
    </row>
    <row r="273" spans="1:72" x14ac:dyDescent="0.15">
      <c r="A273" t="s">
        <v>72</v>
      </c>
      <c r="B273" t="s">
        <v>5590</v>
      </c>
      <c r="C273" t="s">
        <v>74</v>
      </c>
      <c r="D273" t="s">
        <v>74</v>
      </c>
      <c r="E273" t="s">
        <v>74</v>
      </c>
      <c r="F273" t="s">
        <v>5591</v>
      </c>
      <c r="G273" t="s">
        <v>74</v>
      </c>
      <c r="H273" t="s">
        <v>74</v>
      </c>
      <c r="I273" t="s">
        <v>5592</v>
      </c>
      <c r="J273" t="s">
        <v>2163</v>
      </c>
      <c r="K273" t="s">
        <v>74</v>
      </c>
      <c r="L273" t="s">
        <v>74</v>
      </c>
      <c r="M273" t="s">
        <v>78</v>
      </c>
      <c r="N273" t="s">
        <v>79</v>
      </c>
      <c r="O273" t="s">
        <v>74</v>
      </c>
      <c r="P273" t="s">
        <v>74</v>
      </c>
      <c r="Q273" t="s">
        <v>74</v>
      </c>
      <c r="R273" t="s">
        <v>74</v>
      </c>
      <c r="S273" t="s">
        <v>74</v>
      </c>
      <c r="T273" t="s">
        <v>74</v>
      </c>
      <c r="U273" t="s">
        <v>5593</v>
      </c>
      <c r="V273" t="s">
        <v>5594</v>
      </c>
      <c r="W273" t="s">
        <v>5595</v>
      </c>
      <c r="X273" t="s">
        <v>5596</v>
      </c>
      <c r="Y273" t="s">
        <v>5597</v>
      </c>
      <c r="Z273" t="s">
        <v>5598</v>
      </c>
      <c r="AA273" t="s">
        <v>5599</v>
      </c>
      <c r="AB273" t="s">
        <v>5600</v>
      </c>
      <c r="AC273" t="s">
        <v>5601</v>
      </c>
      <c r="AD273" t="s">
        <v>5602</v>
      </c>
      <c r="AE273" t="s">
        <v>5603</v>
      </c>
      <c r="AF273" t="s">
        <v>74</v>
      </c>
      <c r="AG273">
        <v>60</v>
      </c>
      <c r="AH273">
        <v>60</v>
      </c>
      <c r="AI273">
        <v>65</v>
      </c>
      <c r="AJ273">
        <v>16</v>
      </c>
      <c r="AK273">
        <v>135</v>
      </c>
      <c r="AL273" t="s">
        <v>2175</v>
      </c>
      <c r="AM273" t="s">
        <v>123</v>
      </c>
      <c r="AN273" t="s">
        <v>2176</v>
      </c>
      <c r="AO273" t="s">
        <v>2177</v>
      </c>
      <c r="AP273" t="s">
        <v>2178</v>
      </c>
      <c r="AQ273" t="s">
        <v>74</v>
      </c>
      <c r="AR273" t="s">
        <v>2179</v>
      </c>
      <c r="AS273" t="s">
        <v>2180</v>
      </c>
      <c r="AT273" t="s">
        <v>5604</v>
      </c>
      <c r="AU273">
        <v>2016</v>
      </c>
      <c r="AV273">
        <v>50</v>
      </c>
      <c r="AW273">
        <v>17</v>
      </c>
      <c r="AX273" t="s">
        <v>74</v>
      </c>
      <c r="AY273" t="s">
        <v>74</v>
      </c>
      <c r="AZ273" t="s">
        <v>74</v>
      </c>
      <c r="BA273" t="s">
        <v>74</v>
      </c>
      <c r="BB273">
        <v>9161</v>
      </c>
      <c r="BC273">
        <v>9168</v>
      </c>
      <c r="BD273" t="s">
        <v>74</v>
      </c>
      <c r="BE273" t="s">
        <v>5605</v>
      </c>
      <c r="BF273" t="str">
        <f>HYPERLINK("http://dx.doi.org/10.1021/acs.est.6b02766","http://dx.doi.org/10.1021/acs.est.6b02766")</f>
        <v>http://dx.doi.org/10.1021/acs.est.6b02766</v>
      </c>
      <c r="BG273" t="s">
        <v>74</v>
      </c>
      <c r="BH273" t="s">
        <v>74</v>
      </c>
      <c r="BI273">
        <v>8</v>
      </c>
      <c r="BJ273" t="s">
        <v>2182</v>
      </c>
      <c r="BK273" t="s">
        <v>156</v>
      </c>
      <c r="BL273" t="s">
        <v>2183</v>
      </c>
      <c r="BM273" t="s">
        <v>5606</v>
      </c>
      <c r="BN273">
        <v>27509536</v>
      </c>
      <c r="BO273" t="s">
        <v>74</v>
      </c>
      <c r="BP273" t="s">
        <v>74</v>
      </c>
      <c r="BQ273" t="s">
        <v>74</v>
      </c>
      <c r="BR273" t="s">
        <v>105</v>
      </c>
      <c r="BS273" t="s">
        <v>5607</v>
      </c>
      <c r="BT273" t="str">
        <f>HYPERLINK("https%3A%2F%2Fwww.webofscience.com%2Fwos%2Fwoscc%2Ffull-record%2FWOS:000382805800028","View Full Record in Web of Science")</f>
        <v>View Full Record in Web of Science</v>
      </c>
    </row>
    <row r="274" spans="1:72" x14ac:dyDescent="0.15">
      <c r="A274" t="s">
        <v>72</v>
      </c>
      <c r="B274" t="s">
        <v>5608</v>
      </c>
      <c r="C274" t="s">
        <v>74</v>
      </c>
      <c r="D274" t="s">
        <v>74</v>
      </c>
      <c r="E274" t="s">
        <v>74</v>
      </c>
      <c r="F274" t="s">
        <v>5609</v>
      </c>
      <c r="G274" t="s">
        <v>74</v>
      </c>
      <c r="H274" t="s">
        <v>74</v>
      </c>
      <c r="I274" t="s">
        <v>5610</v>
      </c>
      <c r="J274" t="s">
        <v>1072</v>
      </c>
      <c r="K274" t="s">
        <v>74</v>
      </c>
      <c r="L274" t="s">
        <v>74</v>
      </c>
      <c r="M274" t="s">
        <v>78</v>
      </c>
      <c r="N274" t="s">
        <v>79</v>
      </c>
      <c r="O274" t="s">
        <v>74</v>
      </c>
      <c r="P274" t="s">
        <v>74</v>
      </c>
      <c r="Q274" t="s">
        <v>74</v>
      </c>
      <c r="R274" t="s">
        <v>74</v>
      </c>
      <c r="S274" t="s">
        <v>74</v>
      </c>
      <c r="T274" t="s">
        <v>74</v>
      </c>
      <c r="U274" t="s">
        <v>5611</v>
      </c>
      <c r="V274" t="s">
        <v>5612</v>
      </c>
      <c r="W274" t="s">
        <v>5613</v>
      </c>
      <c r="X274" t="s">
        <v>5614</v>
      </c>
      <c r="Y274" t="s">
        <v>5615</v>
      </c>
      <c r="Z274" t="s">
        <v>5616</v>
      </c>
      <c r="AA274" t="s">
        <v>5617</v>
      </c>
      <c r="AB274" t="s">
        <v>5618</v>
      </c>
      <c r="AC274" t="s">
        <v>5619</v>
      </c>
      <c r="AD274" t="s">
        <v>5620</v>
      </c>
      <c r="AE274" t="s">
        <v>5621</v>
      </c>
      <c r="AF274" t="s">
        <v>74</v>
      </c>
      <c r="AG274">
        <v>136</v>
      </c>
      <c r="AH274">
        <v>15</v>
      </c>
      <c r="AI274">
        <v>15</v>
      </c>
      <c r="AJ274">
        <v>2</v>
      </c>
      <c r="AK274">
        <v>43</v>
      </c>
      <c r="AL274" t="s">
        <v>1074</v>
      </c>
      <c r="AM274" t="s">
        <v>1075</v>
      </c>
      <c r="AN274" t="s">
        <v>1076</v>
      </c>
      <c r="AO274" t="s">
        <v>1077</v>
      </c>
      <c r="AP274" t="s">
        <v>74</v>
      </c>
      <c r="AQ274" t="s">
        <v>74</v>
      </c>
      <c r="AR274" t="s">
        <v>1072</v>
      </c>
      <c r="AS274" t="s">
        <v>1078</v>
      </c>
      <c r="AT274" t="s">
        <v>5604</v>
      </c>
      <c r="AU274">
        <v>2016</v>
      </c>
      <c r="AV274">
        <v>11</v>
      </c>
      <c r="AW274">
        <v>9</v>
      </c>
      <c r="AX274" t="s">
        <v>74</v>
      </c>
      <c r="AY274" t="s">
        <v>74</v>
      </c>
      <c r="AZ274" t="s">
        <v>74</v>
      </c>
      <c r="BA274" t="s">
        <v>74</v>
      </c>
      <c r="BB274" t="s">
        <v>74</v>
      </c>
      <c r="BC274" t="s">
        <v>74</v>
      </c>
      <c r="BD274" t="s">
        <v>5622</v>
      </c>
      <c r="BE274" t="s">
        <v>5623</v>
      </c>
      <c r="BF274" t="str">
        <f>HYPERLINK("http://dx.doi.org/10.1371/journal.pone.0161963","http://dx.doi.org/10.1371/journal.pone.0161963")</f>
        <v>http://dx.doi.org/10.1371/journal.pone.0161963</v>
      </c>
      <c r="BG274" t="s">
        <v>74</v>
      </c>
      <c r="BH274" t="s">
        <v>74</v>
      </c>
      <c r="BI274">
        <v>24</v>
      </c>
      <c r="BJ274" t="s">
        <v>719</v>
      </c>
      <c r="BK274" t="s">
        <v>156</v>
      </c>
      <c r="BL274" t="s">
        <v>720</v>
      </c>
      <c r="BM274" t="s">
        <v>5624</v>
      </c>
      <c r="BN274">
        <v>27598461</v>
      </c>
      <c r="BO274" t="s">
        <v>1377</v>
      </c>
      <c r="BP274" t="s">
        <v>74</v>
      </c>
      <c r="BQ274" t="s">
        <v>74</v>
      </c>
      <c r="BR274" t="s">
        <v>105</v>
      </c>
      <c r="BS274" t="s">
        <v>5625</v>
      </c>
      <c r="BT274" t="str">
        <f>HYPERLINK("https%3A%2F%2Fwww.webofscience.com%2Fwos%2Fwoscc%2Ffull-record%2FWOS:000383254800030","View Full Record in Web of Science")</f>
        <v>View Full Record in Web of Science</v>
      </c>
    </row>
    <row r="275" spans="1:72" x14ac:dyDescent="0.15">
      <c r="A275" t="s">
        <v>72</v>
      </c>
      <c r="B275" t="s">
        <v>5626</v>
      </c>
      <c r="C275" t="s">
        <v>74</v>
      </c>
      <c r="D275" t="s">
        <v>74</v>
      </c>
      <c r="E275" t="s">
        <v>74</v>
      </c>
      <c r="F275" t="s">
        <v>5627</v>
      </c>
      <c r="G275" t="s">
        <v>74</v>
      </c>
      <c r="H275" t="s">
        <v>74</v>
      </c>
      <c r="I275" t="s">
        <v>5628</v>
      </c>
      <c r="J275" t="s">
        <v>4864</v>
      </c>
      <c r="K275" t="s">
        <v>74</v>
      </c>
      <c r="L275" t="s">
        <v>74</v>
      </c>
      <c r="M275" t="s">
        <v>78</v>
      </c>
      <c r="N275" t="s">
        <v>79</v>
      </c>
      <c r="O275" t="s">
        <v>74</v>
      </c>
      <c r="P275" t="s">
        <v>74</v>
      </c>
      <c r="Q275" t="s">
        <v>74</v>
      </c>
      <c r="R275" t="s">
        <v>74</v>
      </c>
      <c r="S275" t="s">
        <v>74</v>
      </c>
      <c r="T275" t="s">
        <v>74</v>
      </c>
      <c r="U275" t="s">
        <v>5629</v>
      </c>
      <c r="V275" t="s">
        <v>5630</v>
      </c>
      <c r="W275" t="s">
        <v>5631</v>
      </c>
      <c r="X275" t="s">
        <v>5632</v>
      </c>
      <c r="Y275" t="s">
        <v>5633</v>
      </c>
      <c r="Z275" t="s">
        <v>5634</v>
      </c>
      <c r="AA275" t="s">
        <v>74</v>
      </c>
      <c r="AB275" t="s">
        <v>5635</v>
      </c>
      <c r="AC275" t="s">
        <v>5636</v>
      </c>
      <c r="AD275" t="s">
        <v>5637</v>
      </c>
      <c r="AE275" t="s">
        <v>5638</v>
      </c>
      <c r="AF275" t="s">
        <v>74</v>
      </c>
      <c r="AG275">
        <v>30</v>
      </c>
      <c r="AH275">
        <v>23</v>
      </c>
      <c r="AI275">
        <v>30</v>
      </c>
      <c r="AJ275">
        <v>2</v>
      </c>
      <c r="AK275">
        <v>24</v>
      </c>
      <c r="AL275" t="s">
        <v>4876</v>
      </c>
      <c r="AM275" t="s">
        <v>123</v>
      </c>
      <c r="AN275" t="s">
        <v>4877</v>
      </c>
      <c r="AO275" t="s">
        <v>4878</v>
      </c>
      <c r="AP275" t="s">
        <v>74</v>
      </c>
      <c r="AQ275" t="s">
        <v>74</v>
      </c>
      <c r="AR275" t="s">
        <v>4879</v>
      </c>
      <c r="AS275" t="s">
        <v>4880</v>
      </c>
      <c r="AT275" t="s">
        <v>5639</v>
      </c>
      <c r="AU275">
        <v>2016</v>
      </c>
      <c r="AV275">
        <v>24</v>
      </c>
      <c r="AW275">
        <v>18</v>
      </c>
      <c r="AX275" t="s">
        <v>74</v>
      </c>
      <c r="AY275" t="s">
        <v>74</v>
      </c>
      <c r="AZ275" t="s">
        <v>74</v>
      </c>
      <c r="BA275" t="s">
        <v>74</v>
      </c>
      <c r="BB275">
        <v>20424</v>
      </c>
      <c r="BC275">
        <v>20436</v>
      </c>
      <c r="BD275" t="s">
        <v>74</v>
      </c>
      <c r="BE275" t="s">
        <v>5640</v>
      </c>
      <c r="BF275" t="str">
        <f>HYPERLINK("http://dx.doi.org/10.1364/OE.24.020424","http://dx.doi.org/10.1364/OE.24.020424")</f>
        <v>http://dx.doi.org/10.1364/OE.24.020424</v>
      </c>
      <c r="BG275" t="s">
        <v>74</v>
      </c>
      <c r="BH275" t="s">
        <v>74</v>
      </c>
      <c r="BI275">
        <v>13</v>
      </c>
      <c r="BJ275" t="s">
        <v>4883</v>
      </c>
      <c r="BK275" t="s">
        <v>156</v>
      </c>
      <c r="BL275" t="s">
        <v>4883</v>
      </c>
      <c r="BM275" t="s">
        <v>5641</v>
      </c>
      <c r="BN275">
        <v>27607648</v>
      </c>
      <c r="BO275" t="s">
        <v>777</v>
      </c>
      <c r="BP275" t="s">
        <v>74</v>
      </c>
      <c r="BQ275" t="s">
        <v>74</v>
      </c>
      <c r="BR275" t="s">
        <v>105</v>
      </c>
      <c r="BS275" t="s">
        <v>5642</v>
      </c>
      <c r="BT275" t="str">
        <f>HYPERLINK("https%3A%2F%2Fwww.webofscience.com%2Fwos%2Fwoscc%2Ffull-record%2FWOS:000386091300051","View Full Record in Web of Science")</f>
        <v>View Full Record in Web of Science</v>
      </c>
    </row>
    <row r="276" spans="1:72" x14ac:dyDescent="0.15">
      <c r="A276" t="s">
        <v>72</v>
      </c>
      <c r="B276" t="s">
        <v>5643</v>
      </c>
      <c r="C276" t="s">
        <v>74</v>
      </c>
      <c r="D276" t="s">
        <v>74</v>
      </c>
      <c r="E276" t="s">
        <v>74</v>
      </c>
      <c r="F276" t="s">
        <v>5644</v>
      </c>
      <c r="G276" t="s">
        <v>74</v>
      </c>
      <c r="H276" t="s">
        <v>74</v>
      </c>
      <c r="I276" t="s">
        <v>5645</v>
      </c>
      <c r="J276" t="s">
        <v>2100</v>
      </c>
      <c r="K276" t="s">
        <v>74</v>
      </c>
      <c r="L276" t="s">
        <v>74</v>
      </c>
      <c r="M276" t="s">
        <v>78</v>
      </c>
      <c r="N276" t="s">
        <v>79</v>
      </c>
      <c r="O276" t="s">
        <v>74</v>
      </c>
      <c r="P276" t="s">
        <v>74</v>
      </c>
      <c r="Q276" t="s">
        <v>74</v>
      </c>
      <c r="R276" t="s">
        <v>74</v>
      </c>
      <c r="S276" t="s">
        <v>74</v>
      </c>
      <c r="T276" t="s">
        <v>5646</v>
      </c>
      <c r="U276" t="s">
        <v>5647</v>
      </c>
      <c r="V276" t="s">
        <v>5648</v>
      </c>
      <c r="W276" t="s">
        <v>5649</v>
      </c>
      <c r="X276" t="s">
        <v>5650</v>
      </c>
      <c r="Y276" t="s">
        <v>5651</v>
      </c>
      <c r="Z276" t="s">
        <v>5652</v>
      </c>
      <c r="AA276" t="s">
        <v>5653</v>
      </c>
      <c r="AB276" t="s">
        <v>74</v>
      </c>
      <c r="AC276" t="s">
        <v>5654</v>
      </c>
      <c r="AD276" t="s">
        <v>5655</v>
      </c>
      <c r="AE276" t="s">
        <v>5656</v>
      </c>
      <c r="AF276" t="s">
        <v>74</v>
      </c>
      <c r="AG276">
        <v>39</v>
      </c>
      <c r="AH276">
        <v>21</v>
      </c>
      <c r="AI276">
        <v>21</v>
      </c>
      <c r="AJ276">
        <v>4</v>
      </c>
      <c r="AK276">
        <v>24</v>
      </c>
      <c r="AL276" t="s">
        <v>2112</v>
      </c>
      <c r="AM276" t="s">
        <v>250</v>
      </c>
      <c r="AN276" t="s">
        <v>2113</v>
      </c>
      <c r="AO276" t="s">
        <v>2114</v>
      </c>
      <c r="AP276" t="s">
        <v>2115</v>
      </c>
      <c r="AQ276" t="s">
        <v>74</v>
      </c>
      <c r="AR276" t="s">
        <v>2116</v>
      </c>
      <c r="AS276" t="s">
        <v>2117</v>
      </c>
      <c r="AT276" t="s">
        <v>5639</v>
      </c>
      <c r="AU276">
        <v>2016</v>
      </c>
      <c r="AV276">
        <v>178</v>
      </c>
      <c r="AW276" t="s">
        <v>74</v>
      </c>
      <c r="AX276" t="s">
        <v>74</v>
      </c>
      <c r="AY276" t="s">
        <v>74</v>
      </c>
      <c r="AZ276" t="s">
        <v>74</v>
      </c>
      <c r="BA276" t="s">
        <v>74</v>
      </c>
      <c r="BB276">
        <v>158</v>
      </c>
      <c r="BC276">
        <v>167</v>
      </c>
      <c r="BD276" t="s">
        <v>74</v>
      </c>
      <c r="BE276" t="s">
        <v>5657</v>
      </c>
      <c r="BF276" t="str">
        <f>HYPERLINK("http://dx.doi.org/10.1016/j.ecss.2016.05.012","http://dx.doi.org/10.1016/j.ecss.2016.05.012")</f>
        <v>http://dx.doi.org/10.1016/j.ecss.2016.05.012</v>
      </c>
      <c r="BG276" t="s">
        <v>74</v>
      </c>
      <c r="BH276" t="s">
        <v>74</v>
      </c>
      <c r="BI276">
        <v>10</v>
      </c>
      <c r="BJ276" t="s">
        <v>2120</v>
      </c>
      <c r="BK276" t="s">
        <v>156</v>
      </c>
      <c r="BL276" t="s">
        <v>2120</v>
      </c>
      <c r="BM276" t="s">
        <v>5658</v>
      </c>
      <c r="BN276" t="s">
        <v>74</v>
      </c>
      <c r="BO276" t="s">
        <v>285</v>
      </c>
      <c r="BP276" t="s">
        <v>74</v>
      </c>
      <c r="BQ276" t="s">
        <v>74</v>
      </c>
      <c r="BR276" t="s">
        <v>105</v>
      </c>
      <c r="BS276" t="s">
        <v>5659</v>
      </c>
      <c r="BT276" t="str">
        <f>HYPERLINK("https%3A%2F%2Fwww.webofscience.com%2Fwos%2Fwoscc%2Ffull-record%2FWOS:000381164900017","View Full Record in Web of Science")</f>
        <v>View Full Record in Web of Science</v>
      </c>
    </row>
    <row r="277" spans="1:72" x14ac:dyDescent="0.15">
      <c r="A277" t="s">
        <v>72</v>
      </c>
      <c r="B277" t="s">
        <v>5660</v>
      </c>
      <c r="C277" t="s">
        <v>74</v>
      </c>
      <c r="D277" t="s">
        <v>74</v>
      </c>
      <c r="E277" t="s">
        <v>74</v>
      </c>
      <c r="F277" t="s">
        <v>5661</v>
      </c>
      <c r="G277" t="s">
        <v>74</v>
      </c>
      <c r="H277" t="s">
        <v>74</v>
      </c>
      <c r="I277" t="s">
        <v>5662</v>
      </c>
      <c r="J277" t="s">
        <v>5663</v>
      </c>
      <c r="K277" t="s">
        <v>74</v>
      </c>
      <c r="L277" t="s">
        <v>74</v>
      </c>
      <c r="M277" t="s">
        <v>78</v>
      </c>
      <c r="N277" t="s">
        <v>79</v>
      </c>
      <c r="O277" t="s">
        <v>74</v>
      </c>
      <c r="P277" t="s">
        <v>74</v>
      </c>
      <c r="Q277" t="s">
        <v>74</v>
      </c>
      <c r="R277" t="s">
        <v>74</v>
      </c>
      <c r="S277" t="s">
        <v>74</v>
      </c>
      <c r="T277" t="s">
        <v>5664</v>
      </c>
      <c r="U277" t="s">
        <v>5665</v>
      </c>
      <c r="V277" t="s">
        <v>5666</v>
      </c>
      <c r="W277" t="s">
        <v>5667</v>
      </c>
      <c r="X277" t="s">
        <v>5668</v>
      </c>
      <c r="Y277" t="s">
        <v>5669</v>
      </c>
      <c r="Z277" t="s">
        <v>5670</v>
      </c>
      <c r="AA277" t="s">
        <v>5671</v>
      </c>
      <c r="AB277" t="s">
        <v>74</v>
      </c>
      <c r="AC277" t="s">
        <v>5672</v>
      </c>
      <c r="AD277" t="s">
        <v>2632</v>
      </c>
      <c r="AE277" t="s">
        <v>5673</v>
      </c>
      <c r="AF277" t="s">
        <v>74</v>
      </c>
      <c r="AG277">
        <v>34</v>
      </c>
      <c r="AH277">
        <v>22</v>
      </c>
      <c r="AI277">
        <v>23</v>
      </c>
      <c r="AJ277">
        <v>2</v>
      </c>
      <c r="AK277">
        <v>11</v>
      </c>
      <c r="AL277" t="s">
        <v>5674</v>
      </c>
      <c r="AM277" t="s">
        <v>1485</v>
      </c>
      <c r="AN277" t="s">
        <v>1486</v>
      </c>
      <c r="AO277" t="s">
        <v>5675</v>
      </c>
      <c r="AP277" t="s">
        <v>74</v>
      </c>
      <c r="AQ277" t="s">
        <v>74</v>
      </c>
      <c r="AR277" t="s">
        <v>5676</v>
      </c>
      <c r="AS277" t="s">
        <v>5677</v>
      </c>
      <c r="AT277" t="s">
        <v>5678</v>
      </c>
      <c r="AU277">
        <v>2016</v>
      </c>
      <c r="AV277">
        <v>11</v>
      </c>
      <c r="AW277">
        <v>9</v>
      </c>
      <c r="AX277" t="s">
        <v>74</v>
      </c>
      <c r="AY277" t="s">
        <v>74</v>
      </c>
      <c r="AZ277" t="s">
        <v>74</v>
      </c>
      <c r="BA277" t="s">
        <v>74</v>
      </c>
      <c r="BB277" t="s">
        <v>74</v>
      </c>
      <c r="BC277" t="s">
        <v>74</v>
      </c>
      <c r="BD277">
        <v>94001</v>
      </c>
      <c r="BE277" t="s">
        <v>5679</v>
      </c>
      <c r="BF277" t="str">
        <f>HYPERLINK("http://dx.doi.org/10.1088/1748-9326/11/9/094001","http://dx.doi.org/10.1088/1748-9326/11/9/094001")</f>
        <v>http://dx.doi.org/10.1088/1748-9326/11/9/094001</v>
      </c>
      <c r="BG277" t="s">
        <v>74</v>
      </c>
      <c r="BH277" t="s">
        <v>74</v>
      </c>
      <c r="BI277">
        <v>9</v>
      </c>
      <c r="BJ277" t="s">
        <v>1286</v>
      </c>
      <c r="BK277" t="s">
        <v>156</v>
      </c>
      <c r="BL277" t="s">
        <v>825</v>
      </c>
      <c r="BM277" t="s">
        <v>5680</v>
      </c>
      <c r="BN277" t="s">
        <v>74</v>
      </c>
      <c r="BO277" t="s">
        <v>133</v>
      </c>
      <c r="BP277" t="s">
        <v>74</v>
      </c>
      <c r="BQ277" t="s">
        <v>74</v>
      </c>
      <c r="BR277" t="s">
        <v>105</v>
      </c>
      <c r="BS277" t="s">
        <v>5681</v>
      </c>
      <c r="BT277" t="str">
        <f>HYPERLINK("https%3A%2F%2Fwww.webofscience.com%2Fwos%2Fwoscc%2Ffull-record%2FWOS:000403801100001","View Full Record in Web of Science")</f>
        <v>View Full Record in Web of Science</v>
      </c>
    </row>
    <row r="278" spans="1:72" x14ac:dyDescent="0.15">
      <c r="A278" t="s">
        <v>72</v>
      </c>
      <c r="B278" t="s">
        <v>5682</v>
      </c>
      <c r="C278" t="s">
        <v>74</v>
      </c>
      <c r="D278" t="s">
        <v>74</v>
      </c>
      <c r="E278" t="s">
        <v>74</v>
      </c>
      <c r="F278" t="s">
        <v>5683</v>
      </c>
      <c r="G278" t="s">
        <v>74</v>
      </c>
      <c r="H278" t="s">
        <v>74</v>
      </c>
      <c r="I278" t="s">
        <v>5684</v>
      </c>
      <c r="J278" t="s">
        <v>5685</v>
      </c>
      <c r="K278" t="s">
        <v>74</v>
      </c>
      <c r="L278" t="s">
        <v>74</v>
      </c>
      <c r="M278" t="s">
        <v>78</v>
      </c>
      <c r="N278" t="s">
        <v>52</v>
      </c>
      <c r="O278" t="s">
        <v>5686</v>
      </c>
      <c r="P278" t="s">
        <v>5687</v>
      </c>
      <c r="Q278" t="s">
        <v>5688</v>
      </c>
      <c r="R278" t="s">
        <v>74</v>
      </c>
      <c r="S278" t="s">
        <v>74</v>
      </c>
      <c r="T278" t="s">
        <v>74</v>
      </c>
      <c r="U278" t="s">
        <v>74</v>
      </c>
      <c r="V278" t="s">
        <v>74</v>
      </c>
      <c r="W278" t="s">
        <v>5689</v>
      </c>
      <c r="X278" t="s">
        <v>5690</v>
      </c>
      <c r="Y278" t="s">
        <v>74</v>
      </c>
      <c r="Z278" t="s">
        <v>74</v>
      </c>
      <c r="AA278" t="s">
        <v>5691</v>
      </c>
      <c r="AB278" t="s">
        <v>5692</v>
      </c>
      <c r="AC278" t="s">
        <v>74</v>
      </c>
      <c r="AD278" t="s">
        <v>74</v>
      </c>
      <c r="AE278" t="s">
        <v>74</v>
      </c>
      <c r="AF278" t="s">
        <v>74</v>
      </c>
      <c r="AG278">
        <v>0</v>
      </c>
      <c r="AH278">
        <v>0</v>
      </c>
      <c r="AI278">
        <v>0</v>
      </c>
      <c r="AJ278">
        <v>0</v>
      </c>
      <c r="AK278">
        <v>1</v>
      </c>
      <c r="AL278" t="s">
        <v>2541</v>
      </c>
      <c r="AM278" t="s">
        <v>502</v>
      </c>
      <c r="AN278" t="s">
        <v>503</v>
      </c>
      <c r="AO278" t="s">
        <v>5693</v>
      </c>
      <c r="AP278" t="s">
        <v>5694</v>
      </c>
      <c r="AQ278" t="s">
        <v>74</v>
      </c>
      <c r="AR278" t="s">
        <v>5695</v>
      </c>
      <c r="AS278" t="s">
        <v>5696</v>
      </c>
      <c r="AT278" t="s">
        <v>5678</v>
      </c>
      <c r="AU278">
        <v>2016</v>
      </c>
      <c r="AV278">
        <v>283</v>
      </c>
      <c r="AW278" t="s">
        <v>74</v>
      </c>
      <c r="AX278" t="s">
        <v>74</v>
      </c>
      <c r="AY278">
        <v>1</v>
      </c>
      <c r="AZ278" t="s">
        <v>650</v>
      </c>
      <c r="BA278" t="s">
        <v>5697</v>
      </c>
      <c r="BB278">
        <v>335</v>
      </c>
      <c r="BC278">
        <v>335</v>
      </c>
      <c r="BD278" t="s">
        <v>74</v>
      </c>
      <c r="BE278" t="s">
        <v>74</v>
      </c>
      <c r="BF278" t="s">
        <v>74</v>
      </c>
      <c r="BG278" t="s">
        <v>74</v>
      </c>
      <c r="BH278" t="s">
        <v>74</v>
      </c>
      <c r="BI278">
        <v>1</v>
      </c>
      <c r="BJ278" t="s">
        <v>2547</v>
      </c>
      <c r="BK278" t="s">
        <v>2548</v>
      </c>
      <c r="BL278" t="s">
        <v>2547</v>
      </c>
      <c r="BM278" t="s">
        <v>5698</v>
      </c>
      <c r="BN278" t="s">
        <v>74</v>
      </c>
      <c r="BO278" t="s">
        <v>74</v>
      </c>
      <c r="BP278" t="s">
        <v>74</v>
      </c>
      <c r="BQ278" t="s">
        <v>74</v>
      </c>
      <c r="BR278" t="s">
        <v>105</v>
      </c>
      <c r="BS278" t="s">
        <v>5699</v>
      </c>
      <c r="BT278" t="str">
        <f>HYPERLINK("https%3A%2F%2Fwww.webofscience.com%2Fwos%2Fwoscc%2Ffull-record%2FWOS:000383616901642","View Full Record in Web of Science")</f>
        <v>View Full Record in Web of Science</v>
      </c>
    </row>
    <row r="279" spans="1:72" x14ac:dyDescent="0.15">
      <c r="A279" t="s">
        <v>72</v>
      </c>
      <c r="B279" t="s">
        <v>5700</v>
      </c>
      <c r="C279" t="s">
        <v>74</v>
      </c>
      <c r="D279" t="s">
        <v>74</v>
      </c>
      <c r="E279" t="s">
        <v>74</v>
      </c>
      <c r="F279" t="s">
        <v>5701</v>
      </c>
      <c r="G279" t="s">
        <v>74</v>
      </c>
      <c r="H279" t="s">
        <v>74</v>
      </c>
      <c r="I279" t="s">
        <v>5702</v>
      </c>
      <c r="J279" t="s">
        <v>5703</v>
      </c>
      <c r="K279" t="s">
        <v>74</v>
      </c>
      <c r="L279" t="s">
        <v>74</v>
      </c>
      <c r="M279" t="s">
        <v>78</v>
      </c>
      <c r="N279" t="s">
        <v>52</v>
      </c>
      <c r="O279" t="s">
        <v>5704</v>
      </c>
      <c r="P279" t="s">
        <v>5705</v>
      </c>
      <c r="Q279" t="s">
        <v>5706</v>
      </c>
      <c r="R279" t="s">
        <v>74</v>
      </c>
      <c r="S279" t="s">
        <v>74</v>
      </c>
      <c r="T279" t="s">
        <v>74</v>
      </c>
      <c r="U279" t="s">
        <v>74</v>
      </c>
      <c r="V279" t="s">
        <v>74</v>
      </c>
      <c r="W279" t="s">
        <v>5707</v>
      </c>
      <c r="X279" t="s">
        <v>5708</v>
      </c>
      <c r="Y279" t="s">
        <v>74</v>
      </c>
      <c r="Z279" t="s">
        <v>74</v>
      </c>
      <c r="AA279" t="s">
        <v>5709</v>
      </c>
      <c r="AB279" t="s">
        <v>5710</v>
      </c>
      <c r="AC279" t="s">
        <v>74</v>
      </c>
      <c r="AD279" t="s">
        <v>74</v>
      </c>
      <c r="AE279" t="s">
        <v>74</v>
      </c>
      <c r="AF279" t="s">
        <v>74</v>
      </c>
      <c r="AG279">
        <v>0</v>
      </c>
      <c r="AH279">
        <v>0</v>
      </c>
      <c r="AI279">
        <v>1</v>
      </c>
      <c r="AJ279">
        <v>0</v>
      </c>
      <c r="AK279">
        <v>6</v>
      </c>
      <c r="AL279" t="s">
        <v>4920</v>
      </c>
      <c r="AM279" t="s">
        <v>4921</v>
      </c>
      <c r="AN279" t="s">
        <v>4922</v>
      </c>
      <c r="AO279" t="s">
        <v>5711</v>
      </c>
      <c r="AP279" t="s">
        <v>5712</v>
      </c>
      <c r="AQ279" t="s">
        <v>74</v>
      </c>
      <c r="AR279" t="s">
        <v>5703</v>
      </c>
      <c r="AS279" t="s">
        <v>5713</v>
      </c>
      <c r="AT279" t="s">
        <v>5678</v>
      </c>
      <c r="AU279">
        <v>2016</v>
      </c>
      <c r="AV279">
        <v>252</v>
      </c>
      <c r="AW279" t="s">
        <v>74</v>
      </c>
      <c r="AX279" t="s">
        <v>74</v>
      </c>
      <c r="AY279" t="s">
        <v>74</v>
      </c>
      <c r="AZ279" t="s">
        <v>74</v>
      </c>
      <c r="BA279" t="s">
        <v>5714</v>
      </c>
      <c r="BB279" t="s">
        <v>5715</v>
      </c>
      <c r="BC279" t="s">
        <v>5715</v>
      </c>
      <c r="BD279" t="s">
        <v>74</v>
      </c>
      <c r="BE279" t="s">
        <v>5716</v>
      </c>
      <c r="BF279" t="str">
        <f>HYPERLINK("http://dx.doi.org/10.1016/j.atherosclerosis.2016.07.551","http://dx.doi.org/10.1016/j.atherosclerosis.2016.07.551")</f>
        <v>http://dx.doi.org/10.1016/j.atherosclerosis.2016.07.551</v>
      </c>
      <c r="BG279" t="s">
        <v>74</v>
      </c>
      <c r="BH279" t="s">
        <v>74</v>
      </c>
      <c r="BI279">
        <v>1</v>
      </c>
      <c r="BJ279" t="s">
        <v>5717</v>
      </c>
      <c r="BK279" t="s">
        <v>2548</v>
      </c>
      <c r="BL279" t="s">
        <v>602</v>
      </c>
      <c r="BM279" t="s">
        <v>5718</v>
      </c>
      <c r="BN279" t="s">
        <v>74</v>
      </c>
      <c r="BO279" t="s">
        <v>74</v>
      </c>
      <c r="BP279" t="s">
        <v>74</v>
      </c>
      <c r="BQ279" t="s">
        <v>74</v>
      </c>
      <c r="BR279" t="s">
        <v>105</v>
      </c>
      <c r="BS279" t="s">
        <v>5719</v>
      </c>
      <c r="BT279" t="str">
        <f>HYPERLINK("https%3A%2F%2Fwww.webofscience.com%2Fwos%2Fwoscc%2Ffull-record%2FWOS:000388978400319","View Full Record in Web of Science")</f>
        <v>View Full Record in Web of Science</v>
      </c>
    </row>
    <row r="280" spans="1:72" x14ac:dyDescent="0.15">
      <c r="A280" t="s">
        <v>72</v>
      </c>
      <c r="B280" t="s">
        <v>5720</v>
      </c>
      <c r="C280" t="s">
        <v>74</v>
      </c>
      <c r="D280" t="s">
        <v>74</v>
      </c>
      <c r="E280" t="s">
        <v>74</v>
      </c>
      <c r="F280" t="s">
        <v>5721</v>
      </c>
      <c r="G280" t="s">
        <v>74</v>
      </c>
      <c r="H280" t="s">
        <v>74</v>
      </c>
      <c r="I280" t="s">
        <v>5722</v>
      </c>
      <c r="J280" t="s">
        <v>5723</v>
      </c>
      <c r="K280" t="s">
        <v>74</v>
      </c>
      <c r="L280" t="s">
        <v>74</v>
      </c>
      <c r="M280" t="s">
        <v>78</v>
      </c>
      <c r="N280" t="s">
        <v>2730</v>
      </c>
      <c r="O280" t="s">
        <v>5724</v>
      </c>
      <c r="P280">
        <v>2015</v>
      </c>
      <c r="Q280" t="s">
        <v>5725</v>
      </c>
      <c r="R280" t="s">
        <v>74</v>
      </c>
      <c r="S280" t="s">
        <v>74</v>
      </c>
      <c r="T280" t="s">
        <v>5726</v>
      </c>
      <c r="U280" t="s">
        <v>5727</v>
      </c>
      <c r="V280" t="s">
        <v>5728</v>
      </c>
      <c r="W280" t="s">
        <v>5729</v>
      </c>
      <c r="X280" t="s">
        <v>5730</v>
      </c>
      <c r="Y280" t="s">
        <v>5731</v>
      </c>
      <c r="Z280" t="s">
        <v>5732</v>
      </c>
      <c r="AA280" t="s">
        <v>74</v>
      </c>
      <c r="AB280" t="s">
        <v>5733</v>
      </c>
      <c r="AC280" t="s">
        <v>5734</v>
      </c>
      <c r="AD280" t="s">
        <v>5735</v>
      </c>
      <c r="AE280" t="s">
        <v>74</v>
      </c>
      <c r="AF280" t="s">
        <v>74</v>
      </c>
      <c r="AG280">
        <v>96</v>
      </c>
      <c r="AH280">
        <v>15</v>
      </c>
      <c r="AI280">
        <v>15</v>
      </c>
      <c r="AJ280">
        <v>0</v>
      </c>
      <c r="AK280">
        <v>14</v>
      </c>
      <c r="AL280" t="s">
        <v>3262</v>
      </c>
      <c r="AM280" t="s">
        <v>3263</v>
      </c>
      <c r="AN280" t="s">
        <v>3264</v>
      </c>
      <c r="AO280" t="s">
        <v>5736</v>
      </c>
      <c r="AP280" t="s">
        <v>5737</v>
      </c>
      <c r="AQ280" t="s">
        <v>74</v>
      </c>
      <c r="AR280" t="s">
        <v>5723</v>
      </c>
      <c r="AS280" t="s">
        <v>5738</v>
      </c>
      <c r="AT280" t="s">
        <v>5678</v>
      </c>
      <c r="AU280">
        <v>2016</v>
      </c>
      <c r="AV280">
        <v>94</v>
      </c>
      <c r="AW280">
        <v>9</v>
      </c>
      <c r="AX280" t="s">
        <v>74</v>
      </c>
      <c r="AY280" t="s">
        <v>74</v>
      </c>
      <c r="AZ280" t="s">
        <v>650</v>
      </c>
      <c r="BA280" t="s">
        <v>74</v>
      </c>
      <c r="BB280">
        <v>817</v>
      </c>
      <c r="BC280">
        <v>829</v>
      </c>
      <c r="BD280" t="s">
        <v>74</v>
      </c>
      <c r="BE280" t="s">
        <v>5739</v>
      </c>
      <c r="BF280" t="str">
        <f>HYPERLINK("http://dx.doi.org/10.1139/cjb-2016-0038","http://dx.doi.org/10.1139/cjb-2016-0038")</f>
        <v>http://dx.doi.org/10.1139/cjb-2016-0038</v>
      </c>
      <c r="BG280" t="s">
        <v>74</v>
      </c>
      <c r="BH280" t="s">
        <v>74</v>
      </c>
      <c r="BI280">
        <v>13</v>
      </c>
      <c r="BJ280" t="s">
        <v>1580</v>
      </c>
      <c r="BK280" t="s">
        <v>2548</v>
      </c>
      <c r="BL280" t="s">
        <v>1580</v>
      </c>
      <c r="BM280" t="s">
        <v>5740</v>
      </c>
      <c r="BN280" t="s">
        <v>74</v>
      </c>
      <c r="BO280" t="s">
        <v>258</v>
      </c>
      <c r="BP280" t="s">
        <v>74</v>
      </c>
      <c r="BQ280" t="s">
        <v>74</v>
      </c>
      <c r="BR280" t="s">
        <v>105</v>
      </c>
      <c r="BS280" t="s">
        <v>5741</v>
      </c>
      <c r="BT280" t="str">
        <f>HYPERLINK("https%3A%2F%2Fwww.webofscience.com%2Fwos%2Fwoscc%2Ffull-record%2FWOS:000383701100011","View Full Record in Web of Science")</f>
        <v>View Full Record in Web of Science</v>
      </c>
    </row>
    <row r="281" spans="1:72" x14ac:dyDescent="0.15">
      <c r="A281" t="s">
        <v>72</v>
      </c>
      <c r="B281" t="s">
        <v>5742</v>
      </c>
      <c r="C281" t="s">
        <v>74</v>
      </c>
      <c r="D281" t="s">
        <v>74</v>
      </c>
      <c r="E281" t="s">
        <v>74</v>
      </c>
      <c r="F281" t="s">
        <v>5743</v>
      </c>
      <c r="G281" t="s">
        <v>74</v>
      </c>
      <c r="H281" t="s">
        <v>74</v>
      </c>
      <c r="I281" t="s">
        <v>5744</v>
      </c>
      <c r="J281" t="s">
        <v>5745</v>
      </c>
      <c r="K281" t="s">
        <v>74</v>
      </c>
      <c r="L281" t="s">
        <v>74</v>
      </c>
      <c r="M281" t="s">
        <v>78</v>
      </c>
      <c r="N281" t="s">
        <v>79</v>
      </c>
      <c r="O281" t="s">
        <v>74</v>
      </c>
      <c r="P281" t="s">
        <v>74</v>
      </c>
      <c r="Q281" t="s">
        <v>74</v>
      </c>
      <c r="R281" t="s">
        <v>74</v>
      </c>
      <c r="S281" t="s">
        <v>74</v>
      </c>
      <c r="T281" t="s">
        <v>5746</v>
      </c>
      <c r="U281" t="s">
        <v>5747</v>
      </c>
      <c r="V281" t="s">
        <v>5748</v>
      </c>
      <c r="W281" t="s">
        <v>5749</v>
      </c>
      <c r="X281" t="s">
        <v>5750</v>
      </c>
      <c r="Y281" t="s">
        <v>5751</v>
      </c>
      <c r="Z281" t="s">
        <v>5752</v>
      </c>
      <c r="AA281" t="s">
        <v>74</v>
      </c>
      <c r="AB281" t="s">
        <v>5753</v>
      </c>
      <c r="AC281" t="s">
        <v>5754</v>
      </c>
      <c r="AD281" t="s">
        <v>5755</v>
      </c>
      <c r="AE281" t="s">
        <v>5756</v>
      </c>
      <c r="AF281" t="s">
        <v>74</v>
      </c>
      <c r="AG281">
        <v>19</v>
      </c>
      <c r="AH281">
        <v>14</v>
      </c>
      <c r="AI281">
        <v>14</v>
      </c>
      <c r="AJ281">
        <v>0</v>
      </c>
      <c r="AK281">
        <v>4</v>
      </c>
      <c r="AL281" t="s">
        <v>2670</v>
      </c>
      <c r="AM281" t="s">
        <v>2026</v>
      </c>
      <c r="AN281" t="s">
        <v>2671</v>
      </c>
      <c r="AO281" t="s">
        <v>5757</v>
      </c>
      <c r="AP281" t="s">
        <v>5758</v>
      </c>
      <c r="AQ281" t="s">
        <v>74</v>
      </c>
      <c r="AR281" t="s">
        <v>5759</v>
      </c>
      <c r="AS281" t="s">
        <v>5760</v>
      </c>
      <c r="AT281" t="s">
        <v>5678</v>
      </c>
      <c r="AU281">
        <v>2016</v>
      </c>
      <c r="AV281">
        <v>57</v>
      </c>
      <c r="AW281">
        <v>73</v>
      </c>
      <c r="AX281" t="s">
        <v>74</v>
      </c>
      <c r="AY281" t="s">
        <v>74</v>
      </c>
      <c r="AZ281" t="s">
        <v>74</v>
      </c>
      <c r="BA281" t="s">
        <v>74</v>
      </c>
      <c r="BB281">
        <v>10</v>
      </c>
      <c r="BC281">
        <v>18</v>
      </c>
      <c r="BD281" t="s">
        <v>74</v>
      </c>
      <c r="BE281" t="s">
        <v>5761</v>
      </c>
      <c r="BF281" t="str">
        <f>HYPERLINK("http://dx.doi.org/10.1017/aog.2016.18","http://dx.doi.org/10.1017/aog.2016.18")</f>
        <v>http://dx.doi.org/10.1017/aog.2016.18</v>
      </c>
      <c r="BG281" t="s">
        <v>74</v>
      </c>
      <c r="BH281" t="s">
        <v>74</v>
      </c>
      <c r="BI281">
        <v>9</v>
      </c>
      <c r="BJ281" t="s">
        <v>203</v>
      </c>
      <c r="BK281" t="s">
        <v>156</v>
      </c>
      <c r="BL281" t="s">
        <v>204</v>
      </c>
      <c r="BM281" t="s">
        <v>5762</v>
      </c>
      <c r="BN281" t="s">
        <v>74</v>
      </c>
      <c r="BO281" t="s">
        <v>133</v>
      </c>
      <c r="BP281" t="s">
        <v>74</v>
      </c>
      <c r="BQ281" t="s">
        <v>74</v>
      </c>
      <c r="BR281" t="s">
        <v>105</v>
      </c>
      <c r="BS281" t="s">
        <v>5763</v>
      </c>
      <c r="BT281" t="str">
        <f>HYPERLINK("https%3A%2F%2Fwww.webofscience.com%2Fwos%2Fwoscc%2Ffull-record%2FWOS:000388953800003","View Full Record in Web of Science")</f>
        <v>View Full Record in Web of Science</v>
      </c>
    </row>
    <row r="282" spans="1:72" x14ac:dyDescent="0.15">
      <c r="A282" t="s">
        <v>72</v>
      </c>
      <c r="B282" t="s">
        <v>5764</v>
      </c>
      <c r="C282" t="s">
        <v>74</v>
      </c>
      <c r="D282" t="s">
        <v>74</v>
      </c>
      <c r="E282" t="s">
        <v>74</v>
      </c>
      <c r="F282" t="s">
        <v>5765</v>
      </c>
      <c r="G282" t="s">
        <v>74</v>
      </c>
      <c r="H282" t="s">
        <v>74</v>
      </c>
      <c r="I282" t="s">
        <v>5766</v>
      </c>
      <c r="J282" t="s">
        <v>5745</v>
      </c>
      <c r="K282" t="s">
        <v>74</v>
      </c>
      <c r="L282" t="s">
        <v>74</v>
      </c>
      <c r="M282" t="s">
        <v>78</v>
      </c>
      <c r="N282" t="s">
        <v>79</v>
      </c>
      <c r="O282" t="s">
        <v>74</v>
      </c>
      <c r="P282" t="s">
        <v>74</v>
      </c>
      <c r="Q282" t="s">
        <v>74</v>
      </c>
      <c r="R282" t="s">
        <v>74</v>
      </c>
      <c r="S282" t="s">
        <v>74</v>
      </c>
      <c r="T282" t="s">
        <v>5767</v>
      </c>
      <c r="U282" t="s">
        <v>5768</v>
      </c>
      <c r="V282" t="s">
        <v>5769</v>
      </c>
      <c r="W282" t="s">
        <v>5770</v>
      </c>
      <c r="X282" t="s">
        <v>5771</v>
      </c>
      <c r="Y282" t="s">
        <v>5772</v>
      </c>
      <c r="Z282" t="s">
        <v>5773</v>
      </c>
      <c r="AA282" t="s">
        <v>5774</v>
      </c>
      <c r="AB282" t="s">
        <v>5775</v>
      </c>
      <c r="AC282" t="s">
        <v>5776</v>
      </c>
      <c r="AD282" t="s">
        <v>5777</v>
      </c>
      <c r="AE282" t="s">
        <v>5778</v>
      </c>
      <c r="AF282" t="s">
        <v>74</v>
      </c>
      <c r="AG282">
        <v>45</v>
      </c>
      <c r="AH282">
        <v>9</v>
      </c>
      <c r="AI282">
        <v>10</v>
      </c>
      <c r="AJ282">
        <v>0</v>
      </c>
      <c r="AK282">
        <v>7</v>
      </c>
      <c r="AL282" t="s">
        <v>2670</v>
      </c>
      <c r="AM282" t="s">
        <v>2026</v>
      </c>
      <c r="AN282" t="s">
        <v>2671</v>
      </c>
      <c r="AO282" t="s">
        <v>5757</v>
      </c>
      <c r="AP282" t="s">
        <v>5758</v>
      </c>
      <c r="AQ282" t="s">
        <v>74</v>
      </c>
      <c r="AR282" t="s">
        <v>5759</v>
      </c>
      <c r="AS282" t="s">
        <v>5760</v>
      </c>
      <c r="AT282" t="s">
        <v>5678</v>
      </c>
      <c r="AU282">
        <v>2016</v>
      </c>
      <c r="AV282">
        <v>57</v>
      </c>
      <c r="AW282">
        <v>73</v>
      </c>
      <c r="AX282" t="s">
        <v>74</v>
      </c>
      <c r="AY282" t="s">
        <v>74</v>
      </c>
      <c r="AZ282" t="s">
        <v>74</v>
      </c>
      <c r="BA282" t="s">
        <v>74</v>
      </c>
      <c r="BB282">
        <v>56</v>
      </c>
      <c r="BC282">
        <v>68</v>
      </c>
      <c r="BD282" t="s">
        <v>74</v>
      </c>
      <c r="BE282" t="s">
        <v>5779</v>
      </c>
      <c r="BF282" t="str">
        <f>HYPERLINK("http://dx.doi.org/10.1017/aog.2016.26","http://dx.doi.org/10.1017/aog.2016.26")</f>
        <v>http://dx.doi.org/10.1017/aog.2016.26</v>
      </c>
      <c r="BG282" t="s">
        <v>74</v>
      </c>
      <c r="BH282" t="s">
        <v>74</v>
      </c>
      <c r="BI282">
        <v>13</v>
      </c>
      <c r="BJ282" t="s">
        <v>203</v>
      </c>
      <c r="BK282" t="s">
        <v>156</v>
      </c>
      <c r="BL282" t="s">
        <v>204</v>
      </c>
      <c r="BM282" t="s">
        <v>5762</v>
      </c>
      <c r="BN282" t="s">
        <v>74</v>
      </c>
      <c r="BO282" t="s">
        <v>777</v>
      </c>
      <c r="BP282" t="s">
        <v>74</v>
      </c>
      <c r="BQ282" t="s">
        <v>74</v>
      </c>
      <c r="BR282" t="s">
        <v>105</v>
      </c>
      <c r="BS282" t="s">
        <v>5780</v>
      </c>
      <c r="BT282" t="str">
        <f>HYPERLINK("https%3A%2F%2Fwww.webofscience.com%2Fwos%2Fwoscc%2Ffull-record%2FWOS:000388953800008","View Full Record in Web of Science")</f>
        <v>View Full Record in Web of Science</v>
      </c>
    </row>
    <row r="283" spans="1:72" x14ac:dyDescent="0.15">
      <c r="A283" t="s">
        <v>72</v>
      </c>
      <c r="B283" t="s">
        <v>5781</v>
      </c>
      <c r="C283" t="s">
        <v>74</v>
      </c>
      <c r="D283" t="s">
        <v>74</v>
      </c>
      <c r="E283" t="s">
        <v>74</v>
      </c>
      <c r="F283" t="s">
        <v>5782</v>
      </c>
      <c r="G283" t="s">
        <v>74</v>
      </c>
      <c r="H283" t="s">
        <v>74</v>
      </c>
      <c r="I283" t="s">
        <v>5783</v>
      </c>
      <c r="J283" t="s">
        <v>5745</v>
      </c>
      <c r="K283" t="s">
        <v>74</v>
      </c>
      <c r="L283" t="s">
        <v>74</v>
      </c>
      <c r="M283" t="s">
        <v>78</v>
      </c>
      <c r="N283" t="s">
        <v>79</v>
      </c>
      <c r="O283" t="s">
        <v>74</v>
      </c>
      <c r="P283" t="s">
        <v>74</v>
      </c>
      <c r="Q283" t="s">
        <v>74</v>
      </c>
      <c r="R283" t="s">
        <v>74</v>
      </c>
      <c r="S283" t="s">
        <v>74</v>
      </c>
      <c r="T283" t="s">
        <v>5784</v>
      </c>
      <c r="U283" t="s">
        <v>5785</v>
      </c>
      <c r="V283" t="s">
        <v>5786</v>
      </c>
      <c r="W283" t="s">
        <v>5787</v>
      </c>
      <c r="X283" t="s">
        <v>5788</v>
      </c>
      <c r="Y283" t="s">
        <v>5789</v>
      </c>
      <c r="Z283" t="s">
        <v>5790</v>
      </c>
      <c r="AA283" t="s">
        <v>5791</v>
      </c>
      <c r="AB283" t="s">
        <v>5792</v>
      </c>
      <c r="AC283" t="s">
        <v>5793</v>
      </c>
      <c r="AD283" t="s">
        <v>5793</v>
      </c>
      <c r="AE283" t="s">
        <v>5794</v>
      </c>
      <c r="AF283" t="s">
        <v>74</v>
      </c>
      <c r="AG283">
        <v>45</v>
      </c>
      <c r="AH283">
        <v>23</v>
      </c>
      <c r="AI283">
        <v>24</v>
      </c>
      <c r="AJ283">
        <v>1</v>
      </c>
      <c r="AK283">
        <v>7</v>
      </c>
      <c r="AL283" t="s">
        <v>2670</v>
      </c>
      <c r="AM283" t="s">
        <v>2026</v>
      </c>
      <c r="AN283" t="s">
        <v>2671</v>
      </c>
      <c r="AO283" t="s">
        <v>5757</v>
      </c>
      <c r="AP283" t="s">
        <v>5758</v>
      </c>
      <c r="AQ283" t="s">
        <v>74</v>
      </c>
      <c r="AR283" t="s">
        <v>5759</v>
      </c>
      <c r="AS283" t="s">
        <v>5760</v>
      </c>
      <c r="AT283" t="s">
        <v>5678</v>
      </c>
      <c r="AU283">
        <v>2016</v>
      </c>
      <c r="AV283">
        <v>57</v>
      </c>
      <c r="AW283">
        <v>73</v>
      </c>
      <c r="AX283" t="s">
        <v>74</v>
      </c>
      <c r="AY283" t="s">
        <v>74</v>
      </c>
      <c r="AZ283" t="s">
        <v>74</v>
      </c>
      <c r="BA283" t="s">
        <v>74</v>
      </c>
      <c r="BB283">
        <v>69</v>
      </c>
      <c r="BC283">
        <v>78</v>
      </c>
      <c r="BD283" t="s">
        <v>74</v>
      </c>
      <c r="BE283" t="s">
        <v>5795</v>
      </c>
      <c r="BF283" t="str">
        <f>HYPERLINK("http://dx.doi.org/10.1017/aog.2016.25","http://dx.doi.org/10.1017/aog.2016.25")</f>
        <v>http://dx.doi.org/10.1017/aog.2016.25</v>
      </c>
      <c r="BG283" t="s">
        <v>74</v>
      </c>
      <c r="BH283" t="s">
        <v>74</v>
      </c>
      <c r="BI283">
        <v>10</v>
      </c>
      <c r="BJ283" t="s">
        <v>203</v>
      </c>
      <c r="BK283" t="s">
        <v>156</v>
      </c>
      <c r="BL283" t="s">
        <v>204</v>
      </c>
      <c r="BM283" t="s">
        <v>5762</v>
      </c>
      <c r="BN283" t="s">
        <v>74</v>
      </c>
      <c r="BO283" t="s">
        <v>777</v>
      </c>
      <c r="BP283" t="s">
        <v>74</v>
      </c>
      <c r="BQ283" t="s">
        <v>74</v>
      </c>
      <c r="BR283" t="s">
        <v>105</v>
      </c>
      <c r="BS283" t="s">
        <v>5796</v>
      </c>
      <c r="BT283" t="str">
        <f>HYPERLINK("https%3A%2F%2Fwww.webofscience.com%2Fwos%2Fwoscc%2Ffull-record%2FWOS:000388953800009","View Full Record in Web of Science")</f>
        <v>View Full Record in Web of Science</v>
      </c>
    </row>
    <row r="284" spans="1:72" x14ac:dyDescent="0.15">
      <c r="A284" t="s">
        <v>72</v>
      </c>
      <c r="B284" t="s">
        <v>5797</v>
      </c>
      <c r="C284" t="s">
        <v>74</v>
      </c>
      <c r="D284" t="s">
        <v>74</v>
      </c>
      <c r="E284" t="s">
        <v>74</v>
      </c>
      <c r="F284" t="s">
        <v>5798</v>
      </c>
      <c r="G284" t="s">
        <v>74</v>
      </c>
      <c r="H284" t="s">
        <v>74</v>
      </c>
      <c r="I284" t="s">
        <v>5799</v>
      </c>
      <c r="J284" t="s">
        <v>5745</v>
      </c>
      <c r="K284" t="s">
        <v>74</v>
      </c>
      <c r="L284" t="s">
        <v>74</v>
      </c>
      <c r="M284" t="s">
        <v>78</v>
      </c>
      <c r="N284" t="s">
        <v>79</v>
      </c>
      <c r="O284" t="s">
        <v>74</v>
      </c>
      <c r="P284" t="s">
        <v>74</v>
      </c>
      <c r="Q284" t="s">
        <v>74</v>
      </c>
      <c r="R284" t="s">
        <v>74</v>
      </c>
      <c r="S284" t="s">
        <v>74</v>
      </c>
      <c r="T284" t="s">
        <v>5800</v>
      </c>
      <c r="U284" t="s">
        <v>5801</v>
      </c>
      <c r="V284" t="s">
        <v>5802</v>
      </c>
      <c r="W284" t="s">
        <v>5803</v>
      </c>
      <c r="X284" t="s">
        <v>5804</v>
      </c>
      <c r="Y284" t="s">
        <v>5805</v>
      </c>
      <c r="Z284" t="s">
        <v>5806</v>
      </c>
      <c r="AA284" t="s">
        <v>5807</v>
      </c>
      <c r="AB284" t="s">
        <v>5808</v>
      </c>
      <c r="AC284" t="s">
        <v>5809</v>
      </c>
      <c r="AD284" t="s">
        <v>5810</v>
      </c>
      <c r="AE284" t="s">
        <v>5811</v>
      </c>
      <c r="AF284" t="s">
        <v>74</v>
      </c>
      <c r="AG284">
        <v>37</v>
      </c>
      <c r="AH284">
        <v>4</v>
      </c>
      <c r="AI284">
        <v>7</v>
      </c>
      <c r="AJ284">
        <v>0</v>
      </c>
      <c r="AK284">
        <v>16</v>
      </c>
      <c r="AL284" t="s">
        <v>2670</v>
      </c>
      <c r="AM284" t="s">
        <v>2026</v>
      </c>
      <c r="AN284" t="s">
        <v>2671</v>
      </c>
      <c r="AO284" t="s">
        <v>5757</v>
      </c>
      <c r="AP284" t="s">
        <v>5758</v>
      </c>
      <c r="AQ284" t="s">
        <v>74</v>
      </c>
      <c r="AR284" t="s">
        <v>5759</v>
      </c>
      <c r="AS284" t="s">
        <v>5760</v>
      </c>
      <c r="AT284" t="s">
        <v>5678</v>
      </c>
      <c r="AU284">
        <v>2016</v>
      </c>
      <c r="AV284">
        <v>57</v>
      </c>
      <c r="AW284">
        <v>73</v>
      </c>
      <c r="AX284" t="s">
        <v>74</v>
      </c>
      <c r="AY284" t="s">
        <v>74</v>
      </c>
      <c r="AZ284" t="s">
        <v>74</v>
      </c>
      <c r="BA284" t="s">
        <v>74</v>
      </c>
      <c r="BB284">
        <v>87</v>
      </c>
      <c r="BC284">
        <v>93</v>
      </c>
      <c r="BD284" t="s">
        <v>74</v>
      </c>
      <c r="BE284" t="s">
        <v>5812</v>
      </c>
      <c r="BF284" t="str">
        <f>HYPERLINK("http://dx.doi.org/10.1017/aog.2016.28","http://dx.doi.org/10.1017/aog.2016.28")</f>
        <v>http://dx.doi.org/10.1017/aog.2016.28</v>
      </c>
      <c r="BG284" t="s">
        <v>74</v>
      </c>
      <c r="BH284" t="s">
        <v>74</v>
      </c>
      <c r="BI284">
        <v>7</v>
      </c>
      <c r="BJ284" t="s">
        <v>203</v>
      </c>
      <c r="BK284" t="s">
        <v>156</v>
      </c>
      <c r="BL284" t="s">
        <v>204</v>
      </c>
      <c r="BM284" t="s">
        <v>5762</v>
      </c>
      <c r="BN284" t="s">
        <v>74</v>
      </c>
      <c r="BO284" t="s">
        <v>777</v>
      </c>
      <c r="BP284" t="s">
        <v>74</v>
      </c>
      <c r="BQ284" t="s">
        <v>74</v>
      </c>
      <c r="BR284" t="s">
        <v>105</v>
      </c>
      <c r="BS284" t="s">
        <v>5813</v>
      </c>
      <c r="BT284" t="str">
        <f>HYPERLINK("https%3A%2F%2Fwww.webofscience.com%2Fwos%2Fwoscc%2Ffull-record%2FWOS:000388953800011","View Full Record in Web of Science")</f>
        <v>View Full Record in Web of Science</v>
      </c>
    </row>
    <row r="285" spans="1:72" x14ac:dyDescent="0.15">
      <c r="A285" t="s">
        <v>72</v>
      </c>
      <c r="B285" t="s">
        <v>5814</v>
      </c>
      <c r="C285" t="s">
        <v>74</v>
      </c>
      <c r="D285" t="s">
        <v>74</v>
      </c>
      <c r="E285" t="s">
        <v>74</v>
      </c>
      <c r="F285" t="s">
        <v>5815</v>
      </c>
      <c r="G285" t="s">
        <v>74</v>
      </c>
      <c r="H285" t="s">
        <v>74</v>
      </c>
      <c r="I285" t="s">
        <v>5816</v>
      </c>
      <c r="J285" t="s">
        <v>5745</v>
      </c>
      <c r="K285" t="s">
        <v>74</v>
      </c>
      <c r="L285" t="s">
        <v>74</v>
      </c>
      <c r="M285" t="s">
        <v>78</v>
      </c>
      <c r="N285" t="s">
        <v>79</v>
      </c>
      <c r="O285" t="s">
        <v>74</v>
      </c>
      <c r="P285" t="s">
        <v>74</v>
      </c>
      <c r="Q285" t="s">
        <v>74</v>
      </c>
      <c r="R285" t="s">
        <v>74</v>
      </c>
      <c r="S285" t="s">
        <v>74</v>
      </c>
      <c r="T285" t="s">
        <v>5817</v>
      </c>
      <c r="U285" t="s">
        <v>5818</v>
      </c>
      <c r="V285" t="s">
        <v>5819</v>
      </c>
      <c r="W285" t="s">
        <v>5820</v>
      </c>
      <c r="X285" t="s">
        <v>5821</v>
      </c>
      <c r="Y285" t="s">
        <v>5822</v>
      </c>
      <c r="Z285" t="s">
        <v>5823</v>
      </c>
      <c r="AA285" t="s">
        <v>5824</v>
      </c>
      <c r="AB285" t="s">
        <v>5825</v>
      </c>
      <c r="AC285" t="s">
        <v>5826</v>
      </c>
      <c r="AD285" t="s">
        <v>5827</v>
      </c>
      <c r="AE285" t="s">
        <v>5828</v>
      </c>
      <c r="AF285" t="s">
        <v>74</v>
      </c>
      <c r="AG285">
        <v>50</v>
      </c>
      <c r="AH285">
        <v>2</v>
      </c>
      <c r="AI285">
        <v>2</v>
      </c>
      <c r="AJ285">
        <v>1</v>
      </c>
      <c r="AK285">
        <v>8</v>
      </c>
      <c r="AL285" t="s">
        <v>2670</v>
      </c>
      <c r="AM285" t="s">
        <v>2026</v>
      </c>
      <c r="AN285" t="s">
        <v>2671</v>
      </c>
      <c r="AO285" t="s">
        <v>5757</v>
      </c>
      <c r="AP285" t="s">
        <v>5758</v>
      </c>
      <c r="AQ285" t="s">
        <v>74</v>
      </c>
      <c r="AR285" t="s">
        <v>5759</v>
      </c>
      <c r="AS285" t="s">
        <v>5760</v>
      </c>
      <c r="AT285" t="s">
        <v>5678</v>
      </c>
      <c r="AU285">
        <v>2016</v>
      </c>
      <c r="AV285">
        <v>57</v>
      </c>
      <c r="AW285">
        <v>73</v>
      </c>
      <c r="AX285" t="s">
        <v>74</v>
      </c>
      <c r="AY285" t="s">
        <v>74</v>
      </c>
      <c r="AZ285" t="s">
        <v>74</v>
      </c>
      <c r="BA285" t="s">
        <v>74</v>
      </c>
      <c r="BB285">
        <v>94</v>
      </c>
      <c r="BC285">
        <v>104</v>
      </c>
      <c r="BD285" t="s">
        <v>74</v>
      </c>
      <c r="BE285" t="s">
        <v>5829</v>
      </c>
      <c r="BF285" t="str">
        <f>HYPERLINK("http://dx.doi.org/10.1017/aog.2016.29","http://dx.doi.org/10.1017/aog.2016.29")</f>
        <v>http://dx.doi.org/10.1017/aog.2016.29</v>
      </c>
      <c r="BG285" t="s">
        <v>74</v>
      </c>
      <c r="BH285" t="s">
        <v>74</v>
      </c>
      <c r="BI285">
        <v>11</v>
      </c>
      <c r="BJ285" t="s">
        <v>203</v>
      </c>
      <c r="BK285" t="s">
        <v>156</v>
      </c>
      <c r="BL285" t="s">
        <v>204</v>
      </c>
      <c r="BM285" t="s">
        <v>5762</v>
      </c>
      <c r="BN285" t="s">
        <v>74</v>
      </c>
      <c r="BO285" t="s">
        <v>133</v>
      </c>
      <c r="BP285" t="s">
        <v>74</v>
      </c>
      <c r="BQ285" t="s">
        <v>74</v>
      </c>
      <c r="BR285" t="s">
        <v>105</v>
      </c>
      <c r="BS285" t="s">
        <v>5830</v>
      </c>
      <c r="BT285" t="str">
        <f>HYPERLINK("https%3A%2F%2Fwww.webofscience.com%2Fwos%2Fwoscc%2Ffull-record%2FWOS:000388953800012","View Full Record in Web of Science")</f>
        <v>View Full Record in Web of Science</v>
      </c>
    </row>
    <row r="286" spans="1:72" x14ac:dyDescent="0.15">
      <c r="A286" t="s">
        <v>72</v>
      </c>
      <c r="B286" t="s">
        <v>5831</v>
      </c>
      <c r="C286" t="s">
        <v>74</v>
      </c>
      <c r="D286" t="s">
        <v>74</v>
      </c>
      <c r="E286" t="s">
        <v>74</v>
      </c>
      <c r="F286" t="s">
        <v>5832</v>
      </c>
      <c r="G286" t="s">
        <v>74</v>
      </c>
      <c r="H286" t="s">
        <v>74</v>
      </c>
      <c r="I286" t="s">
        <v>5833</v>
      </c>
      <c r="J286" t="s">
        <v>5745</v>
      </c>
      <c r="K286" t="s">
        <v>74</v>
      </c>
      <c r="L286" t="s">
        <v>74</v>
      </c>
      <c r="M286" t="s">
        <v>78</v>
      </c>
      <c r="N286" t="s">
        <v>79</v>
      </c>
      <c r="O286" t="s">
        <v>74</v>
      </c>
      <c r="P286" t="s">
        <v>74</v>
      </c>
      <c r="Q286" t="s">
        <v>74</v>
      </c>
      <c r="R286" t="s">
        <v>74</v>
      </c>
      <c r="S286" t="s">
        <v>74</v>
      </c>
      <c r="T286" t="s">
        <v>5834</v>
      </c>
      <c r="U286" t="s">
        <v>5835</v>
      </c>
      <c r="V286" t="s">
        <v>5836</v>
      </c>
      <c r="W286" t="s">
        <v>5837</v>
      </c>
      <c r="X286" t="s">
        <v>5838</v>
      </c>
      <c r="Y286" t="s">
        <v>5839</v>
      </c>
      <c r="Z286" t="s">
        <v>5840</v>
      </c>
      <c r="AA286" t="s">
        <v>5841</v>
      </c>
      <c r="AB286" t="s">
        <v>5842</v>
      </c>
      <c r="AC286" t="s">
        <v>5843</v>
      </c>
      <c r="AD286" t="s">
        <v>5844</v>
      </c>
      <c r="AE286" t="s">
        <v>5845</v>
      </c>
      <c r="AF286" t="s">
        <v>74</v>
      </c>
      <c r="AG286">
        <v>47</v>
      </c>
      <c r="AH286">
        <v>20</v>
      </c>
      <c r="AI286">
        <v>22</v>
      </c>
      <c r="AJ286">
        <v>0</v>
      </c>
      <c r="AK286">
        <v>3</v>
      </c>
      <c r="AL286" t="s">
        <v>2670</v>
      </c>
      <c r="AM286" t="s">
        <v>2026</v>
      </c>
      <c r="AN286" t="s">
        <v>2671</v>
      </c>
      <c r="AO286" t="s">
        <v>5757</v>
      </c>
      <c r="AP286" t="s">
        <v>5758</v>
      </c>
      <c r="AQ286" t="s">
        <v>74</v>
      </c>
      <c r="AR286" t="s">
        <v>5759</v>
      </c>
      <c r="AS286" t="s">
        <v>5760</v>
      </c>
      <c r="AT286" t="s">
        <v>5678</v>
      </c>
      <c r="AU286">
        <v>2016</v>
      </c>
      <c r="AV286">
        <v>57</v>
      </c>
      <c r="AW286">
        <v>73</v>
      </c>
      <c r="AX286" t="s">
        <v>74</v>
      </c>
      <c r="AY286" t="s">
        <v>74</v>
      </c>
      <c r="AZ286" t="s">
        <v>74</v>
      </c>
      <c r="BA286" t="s">
        <v>74</v>
      </c>
      <c r="BB286">
        <v>131</v>
      </c>
      <c r="BC286">
        <v>141</v>
      </c>
      <c r="BD286" t="s">
        <v>74</v>
      </c>
      <c r="BE286" t="s">
        <v>5846</v>
      </c>
      <c r="BF286" t="str">
        <f>HYPERLINK("http://dx.doi.org/10.1017/aog.2016.31","http://dx.doi.org/10.1017/aog.2016.31")</f>
        <v>http://dx.doi.org/10.1017/aog.2016.31</v>
      </c>
      <c r="BG286" t="s">
        <v>74</v>
      </c>
      <c r="BH286" t="s">
        <v>74</v>
      </c>
      <c r="BI286">
        <v>11</v>
      </c>
      <c r="BJ286" t="s">
        <v>203</v>
      </c>
      <c r="BK286" t="s">
        <v>156</v>
      </c>
      <c r="BL286" t="s">
        <v>204</v>
      </c>
      <c r="BM286" t="s">
        <v>5762</v>
      </c>
      <c r="BN286" t="s">
        <v>74</v>
      </c>
      <c r="BO286" t="s">
        <v>5847</v>
      </c>
      <c r="BP286" t="s">
        <v>74</v>
      </c>
      <c r="BQ286" t="s">
        <v>74</v>
      </c>
      <c r="BR286" t="s">
        <v>105</v>
      </c>
      <c r="BS286" t="s">
        <v>5848</v>
      </c>
      <c r="BT286" t="str">
        <f>HYPERLINK("https%3A%2F%2Fwww.webofscience.com%2Fwos%2Fwoscc%2Ffull-record%2FWOS:000388953800015","View Full Record in Web of Science")</f>
        <v>View Full Record in Web of Science</v>
      </c>
    </row>
    <row r="287" spans="1:72" x14ac:dyDescent="0.15">
      <c r="A287" t="s">
        <v>72</v>
      </c>
      <c r="B287" t="s">
        <v>5849</v>
      </c>
      <c r="C287" t="s">
        <v>74</v>
      </c>
      <c r="D287" t="s">
        <v>74</v>
      </c>
      <c r="E287" t="s">
        <v>74</v>
      </c>
      <c r="F287" t="s">
        <v>5850</v>
      </c>
      <c r="G287" t="s">
        <v>74</v>
      </c>
      <c r="H287" t="s">
        <v>74</v>
      </c>
      <c r="I287" t="s">
        <v>5851</v>
      </c>
      <c r="J287" t="s">
        <v>5852</v>
      </c>
      <c r="K287" t="s">
        <v>74</v>
      </c>
      <c r="L287" t="s">
        <v>74</v>
      </c>
      <c r="M287" t="s">
        <v>78</v>
      </c>
      <c r="N287" t="s">
        <v>317</v>
      </c>
      <c r="O287" t="s">
        <v>74</v>
      </c>
      <c r="P287" t="s">
        <v>74</v>
      </c>
      <c r="Q287" t="s">
        <v>74</v>
      </c>
      <c r="R287" t="s">
        <v>74</v>
      </c>
      <c r="S287" t="s">
        <v>74</v>
      </c>
      <c r="T287" t="s">
        <v>5853</v>
      </c>
      <c r="U287" t="s">
        <v>5854</v>
      </c>
      <c r="V287" t="s">
        <v>5855</v>
      </c>
      <c r="W287" t="s">
        <v>5856</v>
      </c>
      <c r="X287" t="s">
        <v>5857</v>
      </c>
      <c r="Y287" t="s">
        <v>5858</v>
      </c>
      <c r="Z287" t="s">
        <v>5859</v>
      </c>
      <c r="AA287" t="s">
        <v>5860</v>
      </c>
      <c r="AB287" t="s">
        <v>5861</v>
      </c>
      <c r="AC287" t="s">
        <v>74</v>
      </c>
      <c r="AD287" t="s">
        <v>74</v>
      </c>
      <c r="AE287" t="s">
        <v>74</v>
      </c>
      <c r="AF287" t="s">
        <v>74</v>
      </c>
      <c r="AG287">
        <v>107</v>
      </c>
      <c r="AH287">
        <v>18</v>
      </c>
      <c r="AI287">
        <v>24</v>
      </c>
      <c r="AJ287">
        <v>5</v>
      </c>
      <c r="AK287">
        <v>83</v>
      </c>
      <c r="AL287" t="s">
        <v>501</v>
      </c>
      <c r="AM287" t="s">
        <v>502</v>
      </c>
      <c r="AN287" t="s">
        <v>503</v>
      </c>
      <c r="AO287" t="s">
        <v>5862</v>
      </c>
      <c r="AP287" t="s">
        <v>5863</v>
      </c>
      <c r="AQ287" t="s">
        <v>74</v>
      </c>
      <c r="AR287" t="s">
        <v>5864</v>
      </c>
      <c r="AS287" t="s">
        <v>5865</v>
      </c>
      <c r="AT287" t="s">
        <v>5678</v>
      </c>
      <c r="AU287">
        <v>2016</v>
      </c>
      <c r="AV287">
        <v>26</v>
      </c>
      <c r="AW287">
        <v>5</v>
      </c>
      <c r="AX287" t="s">
        <v>74</v>
      </c>
      <c r="AY287" t="s">
        <v>74</v>
      </c>
      <c r="AZ287" t="s">
        <v>74</v>
      </c>
      <c r="BA287" t="s">
        <v>74</v>
      </c>
      <c r="BB287">
        <v>858</v>
      </c>
      <c r="BC287">
        <v>871</v>
      </c>
      <c r="BD287" t="s">
        <v>74</v>
      </c>
      <c r="BE287" t="s">
        <v>5866</v>
      </c>
      <c r="BF287" t="str">
        <f>HYPERLINK("http://dx.doi.org/10.1002/aqc.2707","http://dx.doi.org/10.1002/aqc.2707")</f>
        <v>http://dx.doi.org/10.1002/aqc.2707</v>
      </c>
      <c r="BG287" t="s">
        <v>74</v>
      </c>
      <c r="BH287" t="s">
        <v>74</v>
      </c>
      <c r="BI287">
        <v>14</v>
      </c>
      <c r="BJ287" t="s">
        <v>5867</v>
      </c>
      <c r="BK287" t="s">
        <v>156</v>
      </c>
      <c r="BL287" t="s">
        <v>5868</v>
      </c>
      <c r="BM287" t="s">
        <v>5869</v>
      </c>
      <c r="BN287" t="s">
        <v>74</v>
      </c>
      <c r="BO287" t="s">
        <v>258</v>
      </c>
      <c r="BP287" t="s">
        <v>74</v>
      </c>
      <c r="BQ287" t="s">
        <v>74</v>
      </c>
      <c r="BR287" t="s">
        <v>105</v>
      </c>
      <c r="BS287" t="s">
        <v>5870</v>
      </c>
      <c r="BT287" t="str">
        <f>HYPERLINK("https%3A%2F%2Fwww.webofscience.com%2Fwos%2Fwoscc%2Ffull-record%2FWOS:000388445200004","View Full Record in Web of Science")</f>
        <v>View Full Record in Web of Science</v>
      </c>
    </row>
    <row r="288" spans="1:72" x14ac:dyDescent="0.15">
      <c r="A288" t="s">
        <v>72</v>
      </c>
      <c r="B288" t="s">
        <v>5871</v>
      </c>
      <c r="C288" t="s">
        <v>74</v>
      </c>
      <c r="D288" t="s">
        <v>74</v>
      </c>
      <c r="E288" t="s">
        <v>74</v>
      </c>
      <c r="F288" t="s">
        <v>5872</v>
      </c>
      <c r="G288" t="s">
        <v>74</v>
      </c>
      <c r="H288" t="s">
        <v>74</v>
      </c>
      <c r="I288" t="s">
        <v>5873</v>
      </c>
      <c r="J288" t="s">
        <v>5874</v>
      </c>
      <c r="K288" t="s">
        <v>74</v>
      </c>
      <c r="L288" t="s">
        <v>74</v>
      </c>
      <c r="M288" t="s">
        <v>78</v>
      </c>
      <c r="N288" t="s">
        <v>79</v>
      </c>
      <c r="O288" t="s">
        <v>74</v>
      </c>
      <c r="P288" t="s">
        <v>74</v>
      </c>
      <c r="Q288" t="s">
        <v>74</v>
      </c>
      <c r="R288" t="s">
        <v>74</v>
      </c>
      <c r="S288" t="s">
        <v>74</v>
      </c>
      <c r="T288" t="s">
        <v>74</v>
      </c>
      <c r="U288" t="s">
        <v>5875</v>
      </c>
      <c r="V288" t="s">
        <v>5876</v>
      </c>
      <c r="W288" t="s">
        <v>5877</v>
      </c>
      <c r="X288" t="s">
        <v>5878</v>
      </c>
      <c r="Y288" t="s">
        <v>5879</v>
      </c>
      <c r="Z288" t="s">
        <v>5880</v>
      </c>
      <c r="AA288" t="s">
        <v>5881</v>
      </c>
      <c r="AB288" t="s">
        <v>5882</v>
      </c>
      <c r="AC288" t="s">
        <v>5883</v>
      </c>
      <c r="AD288" t="s">
        <v>5884</v>
      </c>
      <c r="AE288" t="s">
        <v>5885</v>
      </c>
      <c r="AF288" t="s">
        <v>74</v>
      </c>
      <c r="AG288">
        <v>85</v>
      </c>
      <c r="AH288">
        <v>13</v>
      </c>
      <c r="AI288">
        <v>13</v>
      </c>
      <c r="AJ288">
        <v>1</v>
      </c>
      <c r="AK288">
        <v>23</v>
      </c>
      <c r="AL288" t="s">
        <v>501</v>
      </c>
      <c r="AM288" t="s">
        <v>502</v>
      </c>
      <c r="AN288" t="s">
        <v>503</v>
      </c>
      <c r="AO288" t="s">
        <v>5886</v>
      </c>
      <c r="AP288" t="s">
        <v>5887</v>
      </c>
      <c r="AQ288" t="s">
        <v>74</v>
      </c>
      <c r="AR288" t="s">
        <v>5888</v>
      </c>
      <c r="AS288" t="s">
        <v>5889</v>
      </c>
      <c r="AT288" t="s">
        <v>5678</v>
      </c>
      <c r="AU288">
        <v>2016</v>
      </c>
      <c r="AV288">
        <v>18</v>
      </c>
      <c r="AW288">
        <v>9</v>
      </c>
      <c r="AX288" t="s">
        <v>74</v>
      </c>
      <c r="AY288" t="s">
        <v>74</v>
      </c>
      <c r="AZ288" t="s">
        <v>650</v>
      </c>
      <c r="BA288" t="s">
        <v>74</v>
      </c>
      <c r="BB288">
        <v>2810</v>
      </c>
      <c r="BC288">
        <v>2824</v>
      </c>
      <c r="BD288" t="s">
        <v>74</v>
      </c>
      <c r="BE288" t="s">
        <v>5890</v>
      </c>
      <c r="BF288" t="str">
        <f>HYPERLINK("http://dx.doi.org/10.1111/1462-2920.13229","http://dx.doi.org/10.1111/1462-2920.13229")</f>
        <v>http://dx.doi.org/10.1111/1462-2920.13229</v>
      </c>
      <c r="BG288" t="s">
        <v>74</v>
      </c>
      <c r="BH288" t="s">
        <v>74</v>
      </c>
      <c r="BI288">
        <v>15</v>
      </c>
      <c r="BJ288" t="s">
        <v>130</v>
      </c>
      <c r="BK288" t="s">
        <v>156</v>
      </c>
      <c r="BL288" t="s">
        <v>130</v>
      </c>
      <c r="BM288" t="s">
        <v>5891</v>
      </c>
      <c r="BN288">
        <v>26769275</v>
      </c>
      <c r="BO288" t="s">
        <v>258</v>
      </c>
      <c r="BP288" t="s">
        <v>74</v>
      </c>
      <c r="BQ288" t="s">
        <v>74</v>
      </c>
      <c r="BR288" t="s">
        <v>105</v>
      </c>
      <c r="BS288" t="s">
        <v>5892</v>
      </c>
      <c r="BT288" t="str">
        <f>HYPERLINK("https%3A%2F%2Fwww.webofscience.com%2Fwos%2Fwoscc%2Ffull-record%2FWOS:000387550700006","View Full Record in Web of Science")</f>
        <v>View Full Record in Web of Science</v>
      </c>
    </row>
    <row r="289" spans="1:72" x14ac:dyDescent="0.15">
      <c r="A289" t="s">
        <v>72</v>
      </c>
      <c r="B289" t="s">
        <v>5893</v>
      </c>
      <c r="C289" t="s">
        <v>74</v>
      </c>
      <c r="D289" t="s">
        <v>74</v>
      </c>
      <c r="E289" t="s">
        <v>74</v>
      </c>
      <c r="F289" t="s">
        <v>5894</v>
      </c>
      <c r="G289" t="s">
        <v>74</v>
      </c>
      <c r="H289" t="s">
        <v>74</v>
      </c>
      <c r="I289" t="s">
        <v>5895</v>
      </c>
      <c r="J289" t="s">
        <v>2554</v>
      </c>
      <c r="K289" t="s">
        <v>74</v>
      </c>
      <c r="L289" t="s">
        <v>74</v>
      </c>
      <c r="M289" t="s">
        <v>78</v>
      </c>
      <c r="N289" t="s">
        <v>79</v>
      </c>
      <c r="O289" t="s">
        <v>74</v>
      </c>
      <c r="P289" t="s">
        <v>74</v>
      </c>
      <c r="Q289" t="s">
        <v>74</v>
      </c>
      <c r="R289" t="s">
        <v>74</v>
      </c>
      <c r="S289" t="s">
        <v>74</v>
      </c>
      <c r="T289" t="s">
        <v>5896</v>
      </c>
      <c r="U289" t="s">
        <v>5897</v>
      </c>
      <c r="V289" t="s">
        <v>5898</v>
      </c>
      <c r="W289" t="s">
        <v>5899</v>
      </c>
      <c r="X289" t="s">
        <v>5900</v>
      </c>
      <c r="Y289" t="s">
        <v>5901</v>
      </c>
      <c r="Z289" t="s">
        <v>5902</v>
      </c>
      <c r="AA289" t="s">
        <v>5903</v>
      </c>
      <c r="AB289" t="s">
        <v>5904</v>
      </c>
      <c r="AC289" t="s">
        <v>5905</v>
      </c>
      <c r="AD289" t="s">
        <v>5906</v>
      </c>
      <c r="AE289" t="s">
        <v>5907</v>
      </c>
      <c r="AF289" t="s">
        <v>74</v>
      </c>
      <c r="AG289">
        <v>70</v>
      </c>
      <c r="AH289">
        <v>36</v>
      </c>
      <c r="AI289">
        <v>43</v>
      </c>
      <c r="AJ289">
        <v>9</v>
      </c>
      <c r="AK289">
        <v>54</v>
      </c>
      <c r="AL289" t="s">
        <v>4320</v>
      </c>
      <c r="AM289" t="s">
        <v>2567</v>
      </c>
      <c r="AN289" t="s">
        <v>2568</v>
      </c>
      <c r="AO289" t="s">
        <v>74</v>
      </c>
      <c r="AP289" t="s">
        <v>2569</v>
      </c>
      <c r="AQ289" t="s">
        <v>74</v>
      </c>
      <c r="AR289" t="s">
        <v>2570</v>
      </c>
      <c r="AS289" t="s">
        <v>2571</v>
      </c>
      <c r="AT289" t="s">
        <v>5678</v>
      </c>
      <c r="AU289">
        <v>2016</v>
      </c>
      <c r="AV289">
        <v>8</v>
      </c>
      <c r="AW289">
        <v>9</v>
      </c>
      <c r="AX289" t="s">
        <v>74</v>
      </c>
      <c r="AY289" t="s">
        <v>74</v>
      </c>
      <c r="AZ289" t="s">
        <v>74</v>
      </c>
      <c r="BA289" t="s">
        <v>74</v>
      </c>
      <c r="BB289" t="s">
        <v>74</v>
      </c>
      <c r="BC289" t="s">
        <v>74</v>
      </c>
      <c r="BD289">
        <v>698</v>
      </c>
      <c r="BE289" t="s">
        <v>5908</v>
      </c>
      <c r="BF289" t="str">
        <f>HYPERLINK("http://dx.doi.org/10.3390/rs8090698","http://dx.doi.org/10.3390/rs8090698")</f>
        <v>http://dx.doi.org/10.3390/rs8090698</v>
      </c>
      <c r="BG289" t="s">
        <v>74</v>
      </c>
      <c r="BH289" t="s">
        <v>74</v>
      </c>
      <c r="BI289">
        <v>20</v>
      </c>
      <c r="BJ289" t="s">
        <v>2573</v>
      </c>
      <c r="BK289" t="s">
        <v>156</v>
      </c>
      <c r="BL289" t="s">
        <v>2574</v>
      </c>
      <c r="BM289" t="s">
        <v>5909</v>
      </c>
      <c r="BN289" t="s">
        <v>74</v>
      </c>
      <c r="BO289" t="s">
        <v>1083</v>
      </c>
      <c r="BP289" t="s">
        <v>74</v>
      </c>
      <c r="BQ289" t="s">
        <v>74</v>
      </c>
      <c r="BR289" t="s">
        <v>105</v>
      </c>
      <c r="BS289" t="s">
        <v>5910</v>
      </c>
      <c r="BT289" t="str">
        <f>HYPERLINK("https%3A%2F%2Fwww.webofscience.com%2Fwos%2Fwoscc%2Ffull-record%2FWOS:000385488000008","View Full Record in Web of Science")</f>
        <v>View Full Record in Web of Science</v>
      </c>
    </row>
    <row r="290" spans="1:72" x14ac:dyDescent="0.15">
      <c r="A290" t="s">
        <v>72</v>
      </c>
      <c r="B290" t="s">
        <v>5911</v>
      </c>
      <c r="C290" t="s">
        <v>74</v>
      </c>
      <c r="D290" t="s">
        <v>74</v>
      </c>
      <c r="E290" t="s">
        <v>74</v>
      </c>
      <c r="F290" t="s">
        <v>5912</v>
      </c>
      <c r="G290" t="s">
        <v>74</v>
      </c>
      <c r="H290" t="s">
        <v>74</v>
      </c>
      <c r="I290" t="s">
        <v>5913</v>
      </c>
      <c r="J290" t="s">
        <v>2357</v>
      </c>
      <c r="K290" t="s">
        <v>74</v>
      </c>
      <c r="L290" t="s">
        <v>74</v>
      </c>
      <c r="M290" t="s">
        <v>78</v>
      </c>
      <c r="N290" t="s">
        <v>79</v>
      </c>
      <c r="O290" t="s">
        <v>74</v>
      </c>
      <c r="P290" t="s">
        <v>74</v>
      </c>
      <c r="Q290" t="s">
        <v>74</v>
      </c>
      <c r="R290" t="s">
        <v>74</v>
      </c>
      <c r="S290" t="s">
        <v>74</v>
      </c>
      <c r="T290" t="s">
        <v>5914</v>
      </c>
      <c r="U290" t="s">
        <v>5915</v>
      </c>
      <c r="V290" t="s">
        <v>5916</v>
      </c>
      <c r="W290" t="s">
        <v>5917</v>
      </c>
      <c r="X290" t="s">
        <v>5918</v>
      </c>
      <c r="Y290" t="s">
        <v>5919</v>
      </c>
      <c r="Z290" t="s">
        <v>5920</v>
      </c>
      <c r="AA290" t="s">
        <v>5921</v>
      </c>
      <c r="AB290" t="s">
        <v>5922</v>
      </c>
      <c r="AC290" t="s">
        <v>5923</v>
      </c>
      <c r="AD290" t="s">
        <v>5924</v>
      </c>
      <c r="AE290" t="s">
        <v>5925</v>
      </c>
      <c r="AF290" t="s">
        <v>74</v>
      </c>
      <c r="AG290">
        <v>41</v>
      </c>
      <c r="AH290">
        <v>8</v>
      </c>
      <c r="AI290">
        <v>8</v>
      </c>
      <c r="AJ290">
        <v>0</v>
      </c>
      <c r="AK290">
        <v>9</v>
      </c>
      <c r="AL290" t="s">
        <v>149</v>
      </c>
      <c r="AM290" t="s">
        <v>123</v>
      </c>
      <c r="AN290" t="s">
        <v>150</v>
      </c>
      <c r="AO290" t="s">
        <v>2370</v>
      </c>
      <c r="AP290" t="s">
        <v>2371</v>
      </c>
      <c r="AQ290" t="s">
        <v>74</v>
      </c>
      <c r="AR290" t="s">
        <v>2372</v>
      </c>
      <c r="AS290" t="s">
        <v>2373</v>
      </c>
      <c r="AT290" t="s">
        <v>5678</v>
      </c>
      <c r="AU290">
        <v>2016</v>
      </c>
      <c r="AV290">
        <v>121</v>
      </c>
      <c r="AW290">
        <v>9</v>
      </c>
      <c r="AX290" t="s">
        <v>74</v>
      </c>
      <c r="AY290" t="s">
        <v>74</v>
      </c>
      <c r="AZ290" t="s">
        <v>74</v>
      </c>
      <c r="BA290" t="s">
        <v>74</v>
      </c>
      <c r="BB290">
        <v>7108</v>
      </c>
      <c r="BC290">
        <v>7122</v>
      </c>
      <c r="BD290" t="s">
        <v>74</v>
      </c>
      <c r="BE290" t="s">
        <v>5926</v>
      </c>
      <c r="BF290" t="str">
        <f>HYPERLINK("http://dx.doi.org/10.1002/2015JC011582","http://dx.doi.org/10.1002/2015JC011582")</f>
        <v>http://dx.doi.org/10.1002/2015JC011582</v>
      </c>
      <c r="BG290" t="s">
        <v>74</v>
      </c>
      <c r="BH290" t="s">
        <v>74</v>
      </c>
      <c r="BI290">
        <v>15</v>
      </c>
      <c r="BJ290" t="s">
        <v>405</v>
      </c>
      <c r="BK290" t="s">
        <v>156</v>
      </c>
      <c r="BL290" t="s">
        <v>405</v>
      </c>
      <c r="BM290" t="s">
        <v>5927</v>
      </c>
      <c r="BN290" t="s">
        <v>74</v>
      </c>
      <c r="BO290" t="s">
        <v>1002</v>
      </c>
      <c r="BP290" t="s">
        <v>74</v>
      </c>
      <c r="BQ290" t="s">
        <v>74</v>
      </c>
      <c r="BR290" t="s">
        <v>105</v>
      </c>
      <c r="BS290" t="s">
        <v>5928</v>
      </c>
      <c r="BT290" t="str">
        <f>HYPERLINK("https%3A%2F%2Fwww.webofscience.com%2Fwos%2Fwoscc%2Ffull-record%2FWOS:000386913200031","View Full Record in Web of Science")</f>
        <v>View Full Record in Web of Science</v>
      </c>
    </row>
    <row r="291" spans="1:72" x14ac:dyDescent="0.15">
      <c r="A291" t="s">
        <v>72</v>
      </c>
      <c r="B291" t="s">
        <v>5929</v>
      </c>
      <c r="C291" t="s">
        <v>74</v>
      </c>
      <c r="D291" t="s">
        <v>74</v>
      </c>
      <c r="E291" t="s">
        <v>74</v>
      </c>
      <c r="F291" t="s">
        <v>5930</v>
      </c>
      <c r="G291" t="s">
        <v>74</v>
      </c>
      <c r="H291" t="s">
        <v>74</v>
      </c>
      <c r="I291" t="s">
        <v>5931</v>
      </c>
      <c r="J291" t="s">
        <v>5932</v>
      </c>
      <c r="K291" t="s">
        <v>74</v>
      </c>
      <c r="L291" t="s">
        <v>74</v>
      </c>
      <c r="M291" t="s">
        <v>5933</v>
      </c>
      <c r="N291" t="s">
        <v>79</v>
      </c>
      <c r="O291" t="s">
        <v>74</v>
      </c>
      <c r="P291" t="s">
        <v>74</v>
      </c>
      <c r="Q291" t="s">
        <v>74</v>
      </c>
      <c r="R291" t="s">
        <v>74</v>
      </c>
      <c r="S291" t="s">
        <v>74</v>
      </c>
      <c r="T291" t="s">
        <v>5934</v>
      </c>
      <c r="U291" t="s">
        <v>5935</v>
      </c>
      <c r="V291" t="s">
        <v>5936</v>
      </c>
      <c r="W291" t="s">
        <v>5937</v>
      </c>
      <c r="X291" t="s">
        <v>5938</v>
      </c>
      <c r="Y291" t="s">
        <v>5939</v>
      </c>
      <c r="Z291" t="s">
        <v>5940</v>
      </c>
      <c r="AA291" t="s">
        <v>5941</v>
      </c>
      <c r="AB291" t="s">
        <v>5942</v>
      </c>
      <c r="AC291" t="s">
        <v>74</v>
      </c>
      <c r="AD291" t="s">
        <v>74</v>
      </c>
      <c r="AE291" t="s">
        <v>74</v>
      </c>
      <c r="AF291" t="s">
        <v>74</v>
      </c>
      <c r="AG291">
        <v>44</v>
      </c>
      <c r="AH291">
        <v>28</v>
      </c>
      <c r="AI291">
        <v>28</v>
      </c>
      <c r="AJ291">
        <v>0</v>
      </c>
      <c r="AK291">
        <v>6</v>
      </c>
      <c r="AL291" t="s">
        <v>5943</v>
      </c>
      <c r="AM291" t="s">
        <v>5944</v>
      </c>
      <c r="AN291" t="s">
        <v>5945</v>
      </c>
      <c r="AO291" t="s">
        <v>5946</v>
      </c>
      <c r="AP291" t="s">
        <v>5947</v>
      </c>
      <c r="AQ291" t="s">
        <v>74</v>
      </c>
      <c r="AR291" t="s">
        <v>5948</v>
      </c>
      <c r="AS291" t="s">
        <v>5949</v>
      </c>
      <c r="AT291" t="s">
        <v>5678</v>
      </c>
      <c r="AU291">
        <v>2016</v>
      </c>
      <c r="AV291">
        <v>39</v>
      </c>
      <c r="AW291">
        <v>8</v>
      </c>
      <c r="AX291" t="s">
        <v>74</v>
      </c>
      <c r="AY291" t="s">
        <v>74</v>
      </c>
      <c r="AZ291" t="s">
        <v>74</v>
      </c>
      <c r="BA291" t="s">
        <v>74</v>
      </c>
      <c r="BB291">
        <v>1007</v>
      </c>
      <c r="BC291">
        <v>1014</v>
      </c>
      <c r="BD291" t="s">
        <v>74</v>
      </c>
      <c r="BE291" t="s">
        <v>5950</v>
      </c>
      <c r="BF291" t="str">
        <f>HYPERLINK("http://dx.doi.org/10.5935/0100-4042.20160103","http://dx.doi.org/10.5935/0100-4042.20160103")</f>
        <v>http://dx.doi.org/10.5935/0100-4042.20160103</v>
      </c>
      <c r="BG291" t="s">
        <v>74</v>
      </c>
      <c r="BH291" t="s">
        <v>74</v>
      </c>
      <c r="BI291">
        <v>8</v>
      </c>
      <c r="BJ291" t="s">
        <v>5951</v>
      </c>
      <c r="BK291" t="s">
        <v>156</v>
      </c>
      <c r="BL291" t="s">
        <v>5587</v>
      </c>
      <c r="BM291" t="s">
        <v>5952</v>
      </c>
      <c r="BN291" t="s">
        <v>74</v>
      </c>
      <c r="BO291" t="s">
        <v>3908</v>
      </c>
      <c r="BP291" t="s">
        <v>74</v>
      </c>
      <c r="BQ291" t="s">
        <v>74</v>
      </c>
      <c r="BR291" t="s">
        <v>105</v>
      </c>
      <c r="BS291" t="s">
        <v>5953</v>
      </c>
      <c r="BT291" t="str">
        <f>HYPERLINK("https%3A%2F%2Fwww.webofscience.com%2Fwos%2Fwoscc%2Ffull-record%2FWOS:000387157800018","View Full Record in Web of Science")</f>
        <v>View Full Record in Web of Science</v>
      </c>
    </row>
    <row r="292" spans="1:72" x14ac:dyDescent="0.15">
      <c r="A292" t="s">
        <v>72</v>
      </c>
      <c r="B292" t="s">
        <v>5954</v>
      </c>
      <c r="C292" t="s">
        <v>74</v>
      </c>
      <c r="D292" t="s">
        <v>74</v>
      </c>
      <c r="E292" t="s">
        <v>74</v>
      </c>
      <c r="F292" t="s">
        <v>5955</v>
      </c>
      <c r="G292" t="s">
        <v>74</v>
      </c>
      <c r="H292" t="s">
        <v>74</v>
      </c>
      <c r="I292" t="s">
        <v>5956</v>
      </c>
      <c r="J292" t="s">
        <v>5957</v>
      </c>
      <c r="K292" t="s">
        <v>74</v>
      </c>
      <c r="L292" t="s">
        <v>74</v>
      </c>
      <c r="M292" t="s">
        <v>78</v>
      </c>
      <c r="N292" t="s">
        <v>79</v>
      </c>
      <c r="O292" t="s">
        <v>74</v>
      </c>
      <c r="P292" t="s">
        <v>74</v>
      </c>
      <c r="Q292" t="s">
        <v>74</v>
      </c>
      <c r="R292" t="s">
        <v>74</v>
      </c>
      <c r="S292" t="s">
        <v>74</v>
      </c>
      <c r="T292" t="s">
        <v>5958</v>
      </c>
      <c r="U292" t="s">
        <v>74</v>
      </c>
      <c r="V292" t="s">
        <v>5959</v>
      </c>
      <c r="W292" t="s">
        <v>5960</v>
      </c>
      <c r="X292" t="s">
        <v>5961</v>
      </c>
      <c r="Y292" t="s">
        <v>5962</v>
      </c>
      <c r="Z292" t="s">
        <v>5963</v>
      </c>
      <c r="AA292" t="s">
        <v>5964</v>
      </c>
      <c r="AB292" t="s">
        <v>5965</v>
      </c>
      <c r="AC292" t="s">
        <v>74</v>
      </c>
      <c r="AD292" t="s">
        <v>74</v>
      </c>
      <c r="AE292" t="s">
        <v>74</v>
      </c>
      <c r="AF292" t="s">
        <v>74</v>
      </c>
      <c r="AG292">
        <v>6</v>
      </c>
      <c r="AH292">
        <v>0</v>
      </c>
      <c r="AI292">
        <v>0</v>
      </c>
      <c r="AJ292">
        <v>0</v>
      </c>
      <c r="AK292">
        <v>1</v>
      </c>
      <c r="AL292" t="s">
        <v>5966</v>
      </c>
      <c r="AM292" t="s">
        <v>5967</v>
      </c>
      <c r="AN292" t="s">
        <v>5968</v>
      </c>
      <c r="AO292" t="s">
        <v>5969</v>
      </c>
      <c r="AP292" t="s">
        <v>74</v>
      </c>
      <c r="AQ292" t="s">
        <v>74</v>
      </c>
      <c r="AR292" t="s">
        <v>5970</v>
      </c>
      <c r="AS292" t="s">
        <v>5971</v>
      </c>
      <c r="AT292" t="s">
        <v>5678</v>
      </c>
      <c r="AU292">
        <v>2016</v>
      </c>
      <c r="AV292">
        <v>16</v>
      </c>
      <c r="AW292">
        <v>4</v>
      </c>
      <c r="AX292" t="s">
        <v>74</v>
      </c>
      <c r="AY292" t="s">
        <v>74</v>
      </c>
      <c r="AZ292" t="s">
        <v>74</v>
      </c>
      <c r="BA292" t="s">
        <v>74</v>
      </c>
      <c r="BB292" t="s">
        <v>74</v>
      </c>
      <c r="BC292" t="s">
        <v>74</v>
      </c>
      <c r="BD292" t="s">
        <v>5972</v>
      </c>
      <c r="BE292" t="s">
        <v>5973</v>
      </c>
      <c r="BF292" t="str">
        <f>HYPERLINK("http://dx.doi.org/10.2205/2016ES000575","http://dx.doi.org/10.2205/2016ES000575")</f>
        <v>http://dx.doi.org/10.2205/2016ES000575</v>
      </c>
      <c r="BG292" t="s">
        <v>74</v>
      </c>
      <c r="BH292" t="s">
        <v>74</v>
      </c>
      <c r="BI292">
        <v>4</v>
      </c>
      <c r="BJ292" t="s">
        <v>352</v>
      </c>
      <c r="BK292" t="s">
        <v>131</v>
      </c>
      <c r="BL292" t="s">
        <v>177</v>
      </c>
      <c r="BM292" t="s">
        <v>5974</v>
      </c>
      <c r="BN292" t="s">
        <v>74</v>
      </c>
      <c r="BO292" t="s">
        <v>258</v>
      </c>
      <c r="BP292" t="s">
        <v>74</v>
      </c>
      <c r="BQ292" t="s">
        <v>74</v>
      </c>
      <c r="BR292" t="s">
        <v>105</v>
      </c>
      <c r="BS292" t="s">
        <v>5975</v>
      </c>
      <c r="BT292" t="str">
        <f>HYPERLINK("https%3A%2F%2Fwww.webofscience.com%2Fwos%2Fwoscc%2Ffull-record%2FWOS:000387472800003","View Full Record in Web of Science")</f>
        <v>View Full Record in Web of Science</v>
      </c>
    </row>
    <row r="293" spans="1:72" x14ac:dyDescent="0.15">
      <c r="A293" t="s">
        <v>72</v>
      </c>
      <c r="B293" t="s">
        <v>5976</v>
      </c>
      <c r="C293" t="s">
        <v>74</v>
      </c>
      <c r="D293" t="s">
        <v>74</v>
      </c>
      <c r="E293" t="s">
        <v>74</v>
      </c>
      <c r="F293" t="s">
        <v>5977</v>
      </c>
      <c r="G293" t="s">
        <v>74</v>
      </c>
      <c r="H293" t="s">
        <v>74</v>
      </c>
      <c r="I293" t="s">
        <v>5978</v>
      </c>
      <c r="J293" t="s">
        <v>5979</v>
      </c>
      <c r="K293" t="s">
        <v>74</v>
      </c>
      <c r="L293" t="s">
        <v>74</v>
      </c>
      <c r="M293" t="s">
        <v>78</v>
      </c>
      <c r="N293" t="s">
        <v>79</v>
      </c>
      <c r="O293" t="s">
        <v>74</v>
      </c>
      <c r="P293" t="s">
        <v>74</v>
      </c>
      <c r="Q293" t="s">
        <v>74</v>
      </c>
      <c r="R293" t="s">
        <v>74</v>
      </c>
      <c r="S293" t="s">
        <v>74</v>
      </c>
      <c r="T293" t="s">
        <v>5980</v>
      </c>
      <c r="U293" t="s">
        <v>5981</v>
      </c>
      <c r="V293" t="s">
        <v>5982</v>
      </c>
      <c r="W293" t="s">
        <v>5983</v>
      </c>
      <c r="X293" t="s">
        <v>5984</v>
      </c>
      <c r="Y293" t="s">
        <v>5985</v>
      </c>
      <c r="Z293" t="s">
        <v>5986</v>
      </c>
      <c r="AA293" t="s">
        <v>5987</v>
      </c>
      <c r="AB293" t="s">
        <v>5988</v>
      </c>
      <c r="AC293" t="s">
        <v>5989</v>
      </c>
      <c r="AD293" t="s">
        <v>5990</v>
      </c>
      <c r="AE293" t="s">
        <v>5991</v>
      </c>
      <c r="AF293" t="s">
        <v>74</v>
      </c>
      <c r="AG293">
        <v>73</v>
      </c>
      <c r="AH293">
        <v>9</v>
      </c>
      <c r="AI293">
        <v>9</v>
      </c>
      <c r="AJ293">
        <v>0</v>
      </c>
      <c r="AK293">
        <v>23</v>
      </c>
      <c r="AL293" t="s">
        <v>2501</v>
      </c>
      <c r="AM293" t="s">
        <v>304</v>
      </c>
      <c r="AN293" t="s">
        <v>2502</v>
      </c>
      <c r="AO293" t="s">
        <v>5992</v>
      </c>
      <c r="AP293" t="s">
        <v>5993</v>
      </c>
      <c r="AQ293" t="s">
        <v>74</v>
      </c>
      <c r="AR293" t="s">
        <v>5994</v>
      </c>
      <c r="AS293" t="s">
        <v>5995</v>
      </c>
      <c r="AT293" t="s">
        <v>5678</v>
      </c>
      <c r="AU293">
        <v>2016</v>
      </c>
      <c r="AV293">
        <v>119</v>
      </c>
      <c r="AW293">
        <v>1</v>
      </c>
      <c r="AX293" t="s">
        <v>74</v>
      </c>
      <c r="AY293" t="s">
        <v>74</v>
      </c>
      <c r="AZ293" t="s">
        <v>74</v>
      </c>
      <c r="BA293" t="s">
        <v>74</v>
      </c>
      <c r="BB293">
        <v>179</v>
      </c>
      <c r="BC293">
        <v>193</v>
      </c>
      <c r="BD293" t="s">
        <v>74</v>
      </c>
      <c r="BE293" t="s">
        <v>5996</v>
      </c>
      <c r="BF293" t="str">
        <f>HYPERLINK("http://dx.doi.org/10.1111/bij.12815","http://dx.doi.org/10.1111/bij.12815")</f>
        <v>http://dx.doi.org/10.1111/bij.12815</v>
      </c>
      <c r="BG293" t="s">
        <v>74</v>
      </c>
      <c r="BH293" t="s">
        <v>74</v>
      </c>
      <c r="BI293">
        <v>15</v>
      </c>
      <c r="BJ293" t="s">
        <v>5997</v>
      </c>
      <c r="BK293" t="s">
        <v>156</v>
      </c>
      <c r="BL293" t="s">
        <v>5997</v>
      </c>
      <c r="BM293" t="s">
        <v>5998</v>
      </c>
      <c r="BN293" t="s">
        <v>74</v>
      </c>
      <c r="BO293" t="s">
        <v>258</v>
      </c>
      <c r="BP293" t="s">
        <v>74</v>
      </c>
      <c r="BQ293" t="s">
        <v>74</v>
      </c>
      <c r="BR293" t="s">
        <v>105</v>
      </c>
      <c r="BS293" t="s">
        <v>5999</v>
      </c>
      <c r="BT293" t="str">
        <f>HYPERLINK("https%3A%2F%2Fwww.webofscience.com%2Fwos%2Fwoscc%2Ffull-record%2FWOS:000386918500014","View Full Record in Web of Science")</f>
        <v>View Full Record in Web of Science</v>
      </c>
    </row>
    <row r="294" spans="1:72" x14ac:dyDescent="0.15">
      <c r="A294" t="s">
        <v>72</v>
      </c>
      <c r="B294" t="s">
        <v>6000</v>
      </c>
      <c r="C294" t="s">
        <v>74</v>
      </c>
      <c r="D294" t="s">
        <v>74</v>
      </c>
      <c r="E294" t="s">
        <v>74</v>
      </c>
      <c r="F294" t="s">
        <v>6001</v>
      </c>
      <c r="G294" t="s">
        <v>74</v>
      </c>
      <c r="H294" t="s">
        <v>74</v>
      </c>
      <c r="I294" t="s">
        <v>6002</v>
      </c>
      <c r="J294" t="s">
        <v>6003</v>
      </c>
      <c r="K294" t="s">
        <v>74</v>
      </c>
      <c r="L294" t="s">
        <v>74</v>
      </c>
      <c r="M294" t="s">
        <v>78</v>
      </c>
      <c r="N294" t="s">
        <v>79</v>
      </c>
      <c r="O294" t="s">
        <v>74</v>
      </c>
      <c r="P294" t="s">
        <v>74</v>
      </c>
      <c r="Q294" t="s">
        <v>74</v>
      </c>
      <c r="R294" t="s">
        <v>74</v>
      </c>
      <c r="S294" t="s">
        <v>74</v>
      </c>
      <c r="T294" t="s">
        <v>6004</v>
      </c>
      <c r="U294" t="s">
        <v>6005</v>
      </c>
      <c r="V294" t="s">
        <v>6006</v>
      </c>
      <c r="W294" t="s">
        <v>6007</v>
      </c>
      <c r="X294" t="s">
        <v>6008</v>
      </c>
      <c r="Y294" t="s">
        <v>6009</v>
      </c>
      <c r="Z294" t="s">
        <v>6010</v>
      </c>
      <c r="AA294" t="s">
        <v>6011</v>
      </c>
      <c r="AB294" t="s">
        <v>6012</v>
      </c>
      <c r="AC294" t="s">
        <v>6013</v>
      </c>
      <c r="AD294" t="s">
        <v>6014</v>
      </c>
      <c r="AE294" t="s">
        <v>6015</v>
      </c>
      <c r="AF294" t="s">
        <v>74</v>
      </c>
      <c r="AG294">
        <v>104</v>
      </c>
      <c r="AH294">
        <v>35</v>
      </c>
      <c r="AI294">
        <v>41</v>
      </c>
      <c r="AJ294">
        <v>2</v>
      </c>
      <c r="AK294">
        <v>33</v>
      </c>
      <c r="AL294" t="s">
        <v>303</v>
      </c>
      <c r="AM294" t="s">
        <v>304</v>
      </c>
      <c r="AN294" t="s">
        <v>305</v>
      </c>
      <c r="AO294" t="s">
        <v>6016</v>
      </c>
      <c r="AP294" t="s">
        <v>6017</v>
      </c>
      <c r="AQ294" t="s">
        <v>74</v>
      </c>
      <c r="AR294" t="s">
        <v>6018</v>
      </c>
      <c r="AS294" t="s">
        <v>6019</v>
      </c>
      <c r="AT294" t="s">
        <v>5678</v>
      </c>
      <c r="AU294">
        <v>2016</v>
      </c>
      <c r="AV294">
        <v>115</v>
      </c>
      <c r="AW294" t="s">
        <v>74</v>
      </c>
      <c r="AX294" t="s">
        <v>74</v>
      </c>
      <c r="AY294" t="s">
        <v>74</v>
      </c>
      <c r="AZ294" t="s">
        <v>74</v>
      </c>
      <c r="BA294" t="s">
        <v>74</v>
      </c>
      <c r="BB294">
        <v>91</v>
      </c>
      <c r="BC294">
        <v>102</v>
      </c>
      <c r="BD294" t="s">
        <v>74</v>
      </c>
      <c r="BE294" t="s">
        <v>6020</v>
      </c>
      <c r="BF294" t="str">
        <f>HYPERLINK("http://dx.doi.org/10.1016/j.dsr.2016.05.014","http://dx.doi.org/10.1016/j.dsr.2016.05.014")</f>
        <v>http://dx.doi.org/10.1016/j.dsr.2016.05.014</v>
      </c>
      <c r="BG294" t="s">
        <v>74</v>
      </c>
      <c r="BH294" t="s">
        <v>74</v>
      </c>
      <c r="BI294">
        <v>12</v>
      </c>
      <c r="BJ294" t="s">
        <v>405</v>
      </c>
      <c r="BK294" t="s">
        <v>156</v>
      </c>
      <c r="BL294" t="s">
        <v>405</v>
      </c>
      <c r="BM294" t="s">
        <v>6021</v>
      </c>
      <c r="BN294" t="s">
        <v>74</v>
      </c>
      <c r="BO294" t="s">
        <v>104</v>
      </c>
      <c r="BP294" t="s">
        <v>74</v>
      </c>
      <c r="BQ294" t="s">
        <v>74</v>
      </c>
      <c r="BR294" t="s">
        <v>105</v>
      </c>
      <c r="BS294" t="s">
        <v>6022</v>
      </c>
      <c r="BT294" t="str">
        <f>HYPERLINK("https%3A%2F%2Fwww.webofscience.com%2Fwos%2Fwoscc%2Ffull-record%2FWOS:000386984200007","View Full Record in Web of Science")</f>
        <v>View Full Record in Web of Science</v>
      </c>
    </row>
    <row r="295" spans="1:72" x14ac:dyDescent="0.15">
      <c r="A295" t="s">
        <v>72</v>
      </c>
      <c r="B295" t="s">
        <v>6023</v>
      </c>
      <c r="C295" t="s">
        <v>74</v>
      </c>
      <c r="D295" t="s">
        <v>74</v>
      </c>
      <c r="E295" t="s">
        <v>74</v>
      </c>
      <c r="F295" t="s">
        <v>6024</v>
      </c>
      <c r="G295" t="s">
        <v>74</v>
      </c>
      <c r="H295" t="s">
        <v>74</v>
      </c>
      <c r="I295" t="s">
        <v>6025</v>
      </c>
      <c r="J295" t="s">
        <v>6003</v>
      </c>
      <c r="K295" t="s">
        <v>74</v>
      </c>
      <c r="L295" t="s">
        <v>74</v>
      </c>
      <c r="M295" t="s">
        <v>78</v>
      </c>
      <c r="N295" t="s">
        <v>79</v>
      </c>
      <c r="O295" t="s">
        <v>74</v>
      </c>
      <c r="P295" t="s">
        <v>74</v>
      </c>
      <c r="Q295" t="s">
        <v>74</v>
      </c>
      <c r="R295" t="s">
        <v>74</v>
      </c>
      <c r="S295" t="s">
        <v>74</v>
      </c>
      <c r="T295" t="s">
        <v>74</v>
      </c>
      <c r="U295" t="s">
        <v>6026</v>
      </c>
      <c r="V295" t="s">
        <v>6027</v>
      </c>
      <c r="W295" t="s">
        <v>6028</v>
      </c>
      <c r="X295" t="s">
        <v>6029</v>
      </c>
      <c r="Y295" t="s">
        <v>6030</v>
      </c>
      <c r="Z295" t="s">
        <v>6031</v>
      </c>
      <c r="AA295" t="s">
        <v>6032</v>
      </c>
      <c r="AB295" t="s">
        <v>6033</v>
      </c>
      <c r="AC295" t="s">
        <v>6034</v>
      </c>
      <c r="AD295" t="s">
        <v>6035</v>
      </c>
      <c r="AE295" t="s">
        <v>6036</v>
      </c>
      <c r="AF295" t="s">
        <v>74</v>
      </c>
      <c r="AG295">
        <v>36</v>
      </c>
      <c r="AH295">
        <v>16</v>
      </c>
      <c r="AI295">
        <v>18</v>
      </c>
      <c r="AJ295">
        <v>1</v>
      </c>
      <c r="AK295">
        <v>19</v>
      </c>
      <c r="AL295" t="s">
        <v>303</v>
      </c>
      <c r="AM295" t="s">
        <v>304</v>
      </c>
      <c r="AN295" t="s">
        <v>305</v>
      </c>
      <c r="AO295" t="s">
        <v>6016</v>
      </c>
      <c r="AP295" t="s">
        <v>6017</v>
      </c>
      <c r="AQ295" t="s">
        <v>74</v>
      </c>
      <c r="AR295" t="s">
        <v>6018</v>
      </c>
      <c r="AS295" t="s">
        <v>6019</v>
      </c>
      <c r="AT295" t="s">
        <v>5678</v>
      </c>
      <c r="AU295">
        <v>2016</v>
      </c>
      <c r="AV295">
        <v>115</v>
      </c>
      <c r="AW295" t="s">
        <v>74</v>
      </c>
      <c r="AX295" t="s">
        <v>74</v>
      </c>
      <c r="AY295" t="s">
        <v>74</v>
      </c>
      <c r="AZ295" t="s">
        <v>74</v>
      </c>
      <c r="BA295" t="s">
        <v>74</v>
      </c>
      <c r="BB295">
        <v>199</v>
      </c>
      <c r="BC295">
        <v>209</v>
      </c>
      <c r="BD295" t="s">
        <v>74</v>
      </c>
      <c r="BE295" t="s">
        <v>6037</v>
      </c>
      <c r="BF295" t="str">
        <f>HYPERLINK("http://dx.doi.org/10.1016/j.dsr.2016.06.009","http://dx.doi.org/10.1016/j.dsr.2016.06.009")</f>
        <v>http://dx.doi.org/10.1016/j.dsr.2016.06.009</v>
      </c>
      <c r="BG295" t="s">
        <v>74</v>
      </c>
      <c r="BH295" t="s">
        <v>74</v>
      </c>
      <c r="BI295">
        <v>11</v>
      </c>
      <c r="BJ295" t="s">
        <v>405</v>
      </c>
      <c r="BK295" t="s">
        <v>156</v>
      </c>
      <c r="BL295" t="s">
        <v>405</v>
      </c>
      <c r="BM295" t="s">
        <v>6021</v>
      </c>
      <c r="BN295" t="s">
        <v>74</v>
      </c>
      <c r="BO295" t="s">
        <v>805</v>
      </c>
      <c r="BP295" t="s">
        <v>74</v>
      </c>
      <c r="BQ295" t="s">
        <v>74</v>
      </c>
      <c r="BR295" t="s">
        <v>105</v>
      </c>
      <c r="BS295" t="s">
        <v>6038</v>
      </c>
      <c r="BT295" t="str">
        <f>HYPERLINK("https%3A%2F%2Fwww.webofscience.com%2Fwos%2Fwoscc%2Ffull-record%2FWOS:000386984200016","View Full Record in Web of Science")</f>
        <v>View Full Record in Web of Science</v>
      </c>
    </row>
    <row r="296" spans="1:72" x14ac:dyDescent="0.15">
      <c r="A296" t="s">
        <v>72</v>
      </c>
      <c r="B296" t="s">
        <v>6039</v>
      </c>
      <c r="C296" t="s">
        <v>74</v>
      </c>
      <c r="D296" t="s">
        <v>74</v>
      </c>
      <c r="E296" t="s">
        <v>74</v>
      </c>
      <c r="F296" t="s">
        <v>6040</v>
      </c>
      <c r="G296" t="s">
        <v>74</v>
      </c>
      <c r="H296" t="s">
        <v>74</v>
      </c>
      <c r="I296" t="s">
        <v>6041</v>
      </c>
      <c r="J296" t="s">
        <v>6042</v>
      </c>
      <c r="K296" t="s">
        <v>74</v>
      </c>
      <c r="L296" t="s">
        <v>74</v>
      </c>
      <c r="M296" t="s">
        <v>78</v>
      </c>
      <c r="N296" t="s">
        <v>79</v>
      </c>
      <c r="O296" t="s">
        <v>74</v>
      </c>
      <c r="P296" t="s">
        <v>74</v>
      </c>
      <c r="Q296" t="s">
        <v>74</v>
      </c>
      <c r="R296" t="s">
        <v>74</v>
      </c>
      <c r="S296" t="s">
        <v>74</v>
      </c>
      <c r="T296" t="s">
        <v>74</v>
      </c>
      <c r="U296" t="s">
        <v>6043</v>
      </c>
      <c r="V296" t="s">
        <v>6044</v>
      </c>
      <c r="W296" t="s">
        <v>6045</v>
      </c>
      <c r="X296" t="s">
        <v>6046</v>
      </c>
      <c r="Y296" t="s">
        <v>6047</v>
      </c>
      <c r="Z296" t="s">
        <v>6048</v>
      </c>
      <c r="AA296" t="s">
        <v>6049</v>
      </c>
      <c r="AB296" t="s">
        <v>74</v>
      </c>
      <c r="AC296" t="s">
        <v>6050</v>
      </c>
      <c r="AD296" t="s">
        <v>6051</v>
      </c>
      <c r="AE296" t="s">
        <v>6052</v>
      </c>
      <c r="AF296" t="s">
        <v>74</v>
      </c>
      <c r="AG296">
        <v>15</v>
      </c>
      <c r="AH296">
        <v>2</v>
      </c>
      <c r="AI296">
        <v>2</v>
      </c>
      <c r="AJ296">
        <v>0</v>
      </c>
      <c r="AK296">
        <v>1</v>
      </c>
      <c r="AL296" t="s">
        <v>6053</v>
      </c>
      <c r="AM296" t="s">
        <v>594</v>
      </c>
      <c r="AN296" t="s">
        <v>6054</v>
      </c>
      <c r="AO296" t="s">
        <v>6055</v>
      </c>
      <c r="AP296" t="s">
        <v>6056</v>
      </c>
      <c r="AQ296" t="s">
        <v>74</v>
      </c>
      <c r="AR296" t="s">
        <v>6057</v>
      </c>
      <c r="AS296" t="s">
        <v>6058</v>
      </c>
      <c r="AT296" t="s">
        <v>5678</v>
      </c>
      <c r="AU296">
        <v>2016</v>
      </c>
      <c r="AV296">
        <v>56</v>
      </c>
      <c r="AW296">
        <v>5</v>
      </c>
      <c r="AX296" t="s">
        <v>74</v>
      </c>
      <c r="AY296" t="s">
        <v>74</v>
      </c>
      <c r="AZ296" t="s">
        <v>74</v>
      </c>
      <c r="BA296" t="s">
        <v>74</v>
      </c>
      <c r="BB296">
        <v>626</v>
      </c>
      <c r="BC296">
        <v>633</v>
      </c>
      <c r="BD296" t="s">
        <v>74</v>
      </c>
      <c r="BE296" t="s">
        <v>6059</v>
      </c>
      <c r="BF296" t="str">
        <f>HYPERLINK("http://dx.doi.org/10.1134/S0016793216050078","http://dx.doi.org/10.1134/S0016793216050078")</f>
        <v>http://dx.doi.org/10.1134/S0016793216050078</v>
      </c>
      <c r="BG296" t="s">
        <v>74</v>
      </c>
      <c r="BH296" t="s">
        <v>74</v>
      </c>
      <c r="BI296">
        <v>8</v>
      </c>
      <c r="BJ296" t="s">
        <v>155</v>
      </c>
      <c r="BK296" t="s">
        <v>156</v>
      </c>
      <c r="BL296" t="s">
        <v>155</v>
      </c>
      <c r="BM296" t="s">
        <v>6060</v>
      </c>
      <c r="BN296" t="s">
        <v>74</v>
      </c>
      <c r="BO296" t="s">
        <v>74</v>
      </c>
      <c r="BP296" t="s">
        <v>74</v>
      </c>
      <c r="BQ296" t="s">
        <v>74</v>
      </c>
      <c r="BR296" t="s">
        <v>105</v>
      </c>
      <c r="BS296" t="s">
        <v>6061</v>
      </c>
      <c r="BT296" t="str">
        <f>HYPERLINK("https%3A%2F%2Fwww.webofscience.com%2Fwos%2Fwoscc%2Ffull-record%2FWOS:000386517600014","View Full Record in Web of Science")</f>
        <v>View Full Record in Web of Science</v>
      </c>
    </row>
    <row r="297" spans="1:72" x14ac:dyDescent="0.15">
      <c r="A297" t="s">
        <v>72</v>
      </c>
      <c r="B297" t="s">
        <v>6062</v>
      </c>
      <c r="C297" t="s">
        <v>74</v>
      </c>
      <c r="D297" t="s">
        <v>74</v>
      </c>
      <c r="E297" t="s">
        <v>74</v>
      </c>
      <c r="F297" t="s">
        <v>6063</v>
      </c>
      <c r="G297" t="s">
        <v>74</v>
      </c>
      <c r="H297" t="s">
        <v>74</v>
      </c>
      <c r="I297" t="s">
        <v>6064</v>
      </c>
      <c r="J297" t="s">
        <v>4215</v>
      </c>
      <c r="K297" t="s">
        <v>74</v>
      </c>
      <c r="L297" t="s">
        <v>74</v>
      </c>
      <c r="M297" t="s">
        <v>78</v>
      </c>
      <c r="N297" t="s">
        <v>79</v>
      </c>
      <c r="O297" t="s">
        <v>74</v>
      </c>
      <c r="P297" t="s">
        <v>74</v>
      </c>
      <c r="Q297" t="s">
        <v>74</v>
      </c>
      <c r="R297" t="s">
        <v>74</v>
      </c>
      <c r="S297" t="s">
        <v>74</v>
      </c>
      <c r="T297" t="s">
        <v>6065</v>
      </c>
      <c r="U297" t="s">
        <v>6066</v>
      </c>
      <c r="V297" t="s">
        <v>6067</v>
      </c>
      <c r="W297" t="s">
        <v>6068</v>
      </c>
      <c r="X297" t="s">
        <v>6069</v>
      </c>
      <c r="Y297" t="s">
        <v>6070</v>
      </c>
      <c r="Z297" t="s">
        <v>6071</v>
      </c>
      <c r="AA297" t="s">
        <v>6072</v>
      </c>
      <c r="AB297" t="s">
        <v>6073</v>
      </c>
      <c r="AC297" t="s">
        <v>6074</v>
      </c>
      <c r="AD297" t="s">
        <v>6075</v>
      </c>
      <c r="AE297" t="s">
        <v>6076</v>
      </c>
      <c r="AF297" t="s">
        <v>74</v>
      </c>
      <c r="AG297">
        <v>67</v>
      </c>
      <c r="AH297">
        <v>8</v>
      </c>
      <c r="AI297">
        <v>9</v>
      </c>
      <c r="AJ297">
        <v>0</v>
      </c>
      <c r="AK297">
        <v>13</v>
      </c>
      <c r="AL297" t="s">
        <v>149</v>
      </c>
      <c r="AM297" t="s">
        <v>123</v>
      </c>
      <c r="AN297" t="s">
        <v>150</v>
      </c>
      <c r="AO297" t="s">
        <v>4228</v>
      </c>
      <c r="AP297" t="s">
        <v>4229</v>
      </c>
      <c r="AQ297" t="s">
        <v>74</v>
      </c>
      <c r="AR297" t="s">
        <v>4215</v>
      </c>
      <c r="AS297" t="s">
        <v>4230</v>
      </c>
      <c r="AT297" t="s">
        <v>5678</v>
      </c>
      <c r="AU297">
        <v>2016</v>
      </c>
      <c r="AV297">
        <v>31</v>
      </c>
      <c r="AW297">
        <v>9</v>
      </c>
      <c r="AX297" t="s">
        <v>74</v>
      </c>
      <c r="AY297" t="s">
        <v>74</v>
      </c>
      <c r="AZ297" t="s">
        <v>74</v>
      </c>
      <c r="BA297" t="s">
        <v>74</v>
      </c>
      <c r="BB297">
        <v>1270</v>
      </c>
      <c r="BC297">
        <v>1282</v>
      </c>
      <c r="BD297" t="s">
        <v>74</v>
      </c>
      <c r="BE297" t="s">
        <v>6077</v>
      </c>
      <c r="BF297" t="str">
        <f>HYPERLINK("http://dx.doi.org/10.1002/2016PA002958","http://dx.doi.org/10.1002/2016PA002958")</f>
        <v>http://dx.doi.org/10.1002/2016PA002958</v>
      </c>
      <c r="BG297" t="s">
        <v>74</v>
      </c>
      <c r="BH297" t="s">
        <v>74</v>
      </c>
      <c r="BI297">
        <v>13</v>
      </c>
      <c r="BJ297" t="s">
        <v>4232</v>
      </c>
      <c r="BK297" t="s">
        <v>156</v>
      </c>
      <c r="BL297" t="s">
        <v>4233</v>
      </c>
      <c r="BM297" t="s">
        <v>6078</v>
      </c>
      <c r="BN297" t="s">
        <v>74</v>
      </c>
      <c r="BO297" t="s">
        <v>1142</v>
      </c>
      <c r="BP297" t="s">
        <v>74</v>
      </c>
      <c r="BQ297" t="s">
        <v>74</v>
      </c>
      <c r="BR297" t="s">
        <v>105</v>
      </c>
      <c r="BS297" t="s">
        <v>6079</v>
      </c>
      <c r="BT297" t="str">
        <f>HYPERLINK("https%3A%2F%2Fwww.webofscience.com%2Fwos%2Fwoscc%2Ffull-record%2FWOS:000385742500008","View Full Record in Web of Science")</f>
        <v>View Full Record in Web of Science</v>
      </c>
    </row>
    <row r="298" spans="1:72" x14ac:dyDescent="0.15">
      <c r="A298" t="s">
        <v>72</v>
      </c>
      <c r="B298" t="s">
        <v>6080</v>
      </c>
      <c r="C298" t="s">
        <v>74</v>
      </c>
      <c r="D298" t="s">
        <v>74</v>
      </c>
      <c r="E298" t="s">
        <v>74</v>
      </c>
      <c r="F298" t="s">
        <v>6081</v>
      </c>
      <c r="G298" t="s">
        <v>74</v>
      </c>
      <c r="H298" t="s">
        <v>74</v>
      </c>
      <c r="I298" t="s">
        <v>6082</v>
      </c>
      <c r="J298" t="s">
        <v>6083</v>
      </c>
      <c r="K298" t="s">
        <v>74</v>
      </c>
      <c r="L298" t="s">
        <v>74</v>
      </c>
      <c r="M298" t="s">
        <v>78</v>
      </c>
      <c r="N298" t="s">
        <v>79</v>
      </c>
      <c r="O298" t="s">
        <v>74</v>
      </c>
      <c r="P298" t="s">
        <v>74</v>
      </c>
      <c r="Q298" t="s">
        <v>74</v>
      </c>
      <c r="R298" t="s">
        <v>74</v>
      </c>
      <c r="S298" t="s">
        <v>74</v>
      </c>
      <c r="T298" t="s">
        <v>6084</v>
      </c>
      <c r="U298" t="s">
        <v>6085</v>
      </c>
      <c r="V298" t="s">
        <v>6086</v>
      </c>
      <c r="W298" t="s">
        <v>6087</v>
      </c>
      <c r="X298" t="s">
        <v>6088</v>
      </c>
      <c r="Y298" t="s">
        <v>6089</v>
      </c>
      <c r="Z298" t="s">
        <v>6090</v>
      </c>
      <c r="AA298" t="s">
        <v>74</v>
      </c>
      <c r="AB298" t="s">
        <v>74</v>
      </c>
      <c r="AC298" t="s">
        <v>6091</v>
      </c>
      <c r="AD298" t="s">
        <v>6092</v>
      </c>
      <c r="AE298" t="s">
        <v>6093</v>
      </c>
      <c r="AF298" t="s">
        <v>74</v>
      </c>
      <c r="AG298">
        <v>21</v>
      </c>
      <c r="AH298">
        <v>23</v>
      </c>
      <c r="AI298">
        <v>26</v>
      </c>
      <c r="AJ298">
        <v>0</v>
      </c>
      <c r="AK298">
        <v>15</v>
      </c>
      <c r="AL298" t="s">
        <v>4920</v>
      </c>
      <c r="AM298" t="s">
        <v>4921</v>
      </c>
      <c r="AN298" t="s">
        <v>4922</v>
      </c>
      <c r="AO298" t="s">
        <v>6094</v>
      </c>
      <c r="AP298" t="s">
        <v>6095</v>
      </c>
      <c r="AQ298" t="s">
        <v>74</v>
      </c>
      <c r="AR298" t="s">
        <v>6096</v>
      </c>
      <c r="AS298" t="s">
        <v>6097</v>
      </c>
      <c r="AT298" t="s">
        <v>5678</v>
      </c>
      <c r="AU298">
        <v>2016</v>
      </c>
      <c r="AV298">
        <v>266</v>
      </c>
      <c r="AW298" t="s">
        <v>74</v>
      </c>
      <c r="AX298" t="s">
        <v>74</v>
      </c>
      <c r="AY298" t="s">
        <v>74</v>
      </c>
      <c r="AZ298" t="s">
        <v>74</v>
      </c>
      <c r="BA298" t="s">
        <v>74</v>
      </c>
      <c r="BB298">
        <v>222</v>
      </c>
      <c r="BC298">
        <v>225</v>
      </c>
      <c r="BD298" t="s">
        <v>74</v>
      </c>
      <c r="BE298" t="s">
        <v>6098</v>
      </c>
      <c r="BF298" t="str">
        <f>HYPERLINK("http://dx.doi.org/10.1016/j.forsciint.2016.05.029","http://dx.doi.org/10.1016/j.forsciint.2016.05.029")</f>
        <v>http://dx.doi.org/10.1016/j.forsciint.2016.05.029</v>
      </c>
      <c r="BG298" t="s">
        <v>74</v>
      </c>
      <c r="BH298" t="s">
        <v>74</v>
      </c>
      <c r="BI298">
        <v>4</v>
      </c>
      <c r="BJ298" t="s">
        <v>6099</v>
      </c>
      <c r="BK298" t="s">
        <v>156</v>
      </c>
      <c r="BL298" t="s">
        <v>6100</v>
      </c>
      <c r="BM298" t="s">
        <v>6101</v>
      </c>
      <c r="BN298">
        <v>27344261</v>
      </c>
      <c r="BO298" t="s">
        <v>104</v>
      </c>
      <c r="BP298" t="s">
        <v>74</v>
      </c>
      <c r="BQ298" t="s">
        <v>74</v>
      </c>
      <c r="BR298" t="s">
        <v>105</v>
      </c>
      <c r="BS298" t="s">
        <v>6102</v>
      </c>
      <c r="BT298" t="str">
        <f>HYPERLINK("https%3A%2F%2Fwww.webofscience.com%2Fwos%2Fwoscc%2Ffull-record%2FWOS:000386334600052","View Full Record in Web of Science")</f>
        <v>View Full Record in Web of Science</v>
      </c>
    </row>
    <row r="299" spans="1:72" x14ac:dyDescent="0.15">
      <c r="A299" t="s">
        <v>72</v>
      </c>
      <c r="B299" t="s">
        <v>6103</v>
      </c>
      <c r="C299" t="s">
        <v>74</v>
      </c>
      <c r="D299" t="s">
        <v>74</v>
      </c>
      <c r="E299" t="s">
        <v>74</v>
      </c>
      <c r="F299" t="s">
        <v>6104</v>
      </c>
      <c r="G299" t="s">
        <v>74</v>
      </c>
      <c r="H299" t="s">
        <v>74</v>
      </c>
      <c r="I299" t="s">
        <v>6105</v>
      </c>
      <c r="J299" t="s">
        <v>385</v>
      </c>
      <c r="K299" t="s">
        <v>74</v>
      </c>
      <c r="L299" t="s">
        <v>74</v>
      </c>
      <c r="M299" t="s">
        <v>78</v>
      </c>
      <c r="N299" t="s">
        <v>79</v>
      </c>
      <c r="O299" t="s">
        <v>74</v>
      </c>
      <c r="P299" t="s">
        <v>74</v>
      </c>
      <c r="Q299" t="s">
        <v>74</v>
      </c>
      <c r="R299" t="s">
        <v>74</v>
      </c>
      <c r="S299" t="s">
        <v>74</v>
      </c>
      <c r="T299" t="s">
        <v>74</v>
      </c>
      <c r="U299" t="s">
        <v>6106</v>
      </c>
      <c r="V299" t="s">
        <v>6107</v>
      </c>
      <c r="W299" t="s">
        <v>6108</v>
      </c>
      <c r="X299" t="s">
        <v>6109</v>
      </c>
      <c r="Y299" t="s">
        <v>6110</v>
      </c>
      <c r="Z299" t="s">
        <v>6111</v>
      </c>
      <c r="AA299" t="s">
        <v>74</v>
      </c>
      <c r="AB299" t="s">
        <v>6112</v>
      </c>
      <c r="AC299" t="s">
        <v>6113</v>
      </c>
      <c r="AD299" t="s">
        <v>6114</v>
      </c>
      <c r="AE299" t="s">
        <v>6115</v>
      </c>
      <c r="AF299" t="s">
        <v>74</v>
      </c>
      <c r="AG299">
        <v>58</v>
      </c>
      <c r="AH299">
        <v>37</v>
      </c>
      <c r="AI299">
        <v>42</v>
      </c>
      <c r="AJ299">
        <v>1</v>
      </c>
      <c r="AK299">
        <v>8</v>
      </c>
      <c r="AL299" t="s">
        <v>397</v>
      </c>
      <c r="AM299" t="s">
        <v>398</v>
      </c>
      <c r="AN299" t="s">
        <v>399</v>
      </c>
      <c r="AO299" t="s">
        <v>400</v>
      </c>
      <c r="AP299" t="s">
        <v>401</v>
      </c>
      <c r="AQ299" t="s">
        <v>74</v>
      </c>
      <c r="AR299" t="s">
        <v>402</v>
      </c>
      <c r="AS299" t="s">
        <v>403</v>
      </c>
      <c r="AT299" t="s">
        <v>5678</v>
      </c>
      <c r="AU299">
        <v>2016</v>
      </c>
      <c r="AV299">
        <v>46</v>
      </c>
      <c r="AW299">
        <v>9</v>
      </c>
      <c r="AX299" t="s">
        <v>74</v>
      </c>
      <c r="AY299" t="s">
        <v>74</v>
      </c>
      <c r="AZ299" t="s">
        <v>74</v>
      </c>
      <c r="BA299" t="s">
        <v>74</v>
      </c>
      <c r="BB299">
        <v>2583</v>
      </c>
      <c r="BC299">
        <v>2604</v>
      </c>
      <c r="BD299" t="s">
        <v>74</v>
      </c>
      <c r="BE299" t="s">
        <v>6116</v>
      </c>
      <c r="BF299" t="str">
        <f>HYPERLINK("http://dx.doi.org/10.1175/JPO-D-15-0204.1","http://dx.doi.org/10.1175/JPO-D-15-0204.1")</f>
        <v>http://dx.doi.org/10.1175/JPO-D-15-0204.1</v>
      </c>
      <c r="BG299" t="s">
        <v>74</v>
      </c>
      <c r="BH299" t="s">
        <v>74</v>
      </c>
      <c r="BI299">
        <v>22</v>
      </c>
      <c r="BJ299" t="s">
        <v>405</v>
      </c>
      <c r="BK299" t="s">
        <v>156</v>
      </c>
      <c r="BL299" t="s">
        <v>405</v>
      </c>
      <c r="BM299" t="s">
        <v>6117</v>
      </c>
      <c r="BN299" t="s">
        <v>74</v>
      </c>
      <c r="BO299" t="s">
        <v>329</v>
      </c>
      <c r="BP299" t="s">
        <v>74</v>
      </c>
      <c r="BQ299" t="s">
        <v>74</v>
      </c>
      <c r="BR299" t="s">
        <v>105</v>
      </c>
      <c r="BS299" t="s">
        <v>6118</v>
      </c>
      <c r="BT299" t="str">
        <f>HYPERLINK("https%3A%2F%2Fwww.webofscience.com%2Fwos%2Fwoscc%2Ffull-record%2FWOS:000384024900002","View Full Record in Web of Science")</f>
        <v>View Full Record in Web of Science</v>
      </c>
    </row>
    <row r="300" spans="1:72" x14ac:dyDescent="0.15">
      <c r="A300" t="s">
        <v>72</v>
      </c>
      <c r="B300" t="s">
        <v>6119</v>
      </c>
      <c r="C300" t="s">
        <v>74</v>
      </c>
      <c r="D300" t="s">
        <v>74</v>
      </c>
      <c r="E300" t="s">
        <v>74</v>
      </c>
      <c r="F300" t="s">
        <v>6120</v>
      </c>
      <c r="G300" t="s">
        <v>74</v>
      </c>
      <c r="H300" t="s">
        <v>74</v>
      </c>
      <c r="I300" t="s">
        <v>6121</v>
      </c>
      <c r="J300" t="s">
        <v>385</v>
      </c>
      <c r="K300" t="s">
        <v>74</v>
      </c>
      <c r="L300" t="s">
        <v>74</v>
      </c>
      <c r="M300" t="s">
        <v>78</v>
      </c>
      <c r="N300" t="s">
        <v>79</v>
      </c>
      <c r="O300" t="s">
        <v>74</v>
      </c>
      <c r="P300" t="s">
        <v>74</v>
      </c>
      <c r="Q300" t="s">
        <v>74</v>
      </c>
      <c r="R300" t="s">
        <v>74</v>
      </c>
      <c r="S300" t="s">
        <v>74</v>
      </c>
      <c r="T300" t="s">
        <v>74</v>
      </c>
      <c r="U300" t="s">
        <v>6122</v>
      </c>
      <c r="V300" t="s">
        <v>6123</v>
      </c>
      <c r="W300" t="s">
        <v>6124</v>
      </c>
      <c r="X300" t="s">
        <v>6125</v>
      </c>
      <c r="Y300" t="s">
        <v>6126</v>
      </c>
      <c r="Z300" t="s">
        <v>6127</v>
      </c>
      <c r="AA300" t="s">
        <v>6128</v>
      </c>
      <c r="AB300" t="s">
        <v>6129</v>
      </c>
      <c r="AC300" t="s">
        <v>6130</v>
      </c>
      <c r="AD300" t="s">
        <v>6131</v>
      </c>
      <c r="AE300" t="s">
        <v>6132</v>
      </c>
      <c r="AF300" t="s">
        <v>74</v>
      </c>
      <c r="AG300">
        <v>73</v>
      </c>
      <c r="AH300">
        <v>20</v>
      </c>
      <c r="AI300">
        <v>23</v>
      </c>
      <c r="AJ300">
        <v>0</v>
      </c>
      <c r="AK300">
        <v>7</v>
      </c>
      <c r="AL300" t="s">
        <v>397</v>
      </c>
      <c r="AM300" t="s">
        <v>398</v>
      </c>
      <c r="AN300" t="s">
        <v>399</v>
      </c>
      <c r="AO300" t="s">
        <v>400</v>
      </c>
      <c r="AP300" t="s">
        <v>401</v>
      </c>
      <c r="AQ300" t="s">
        <v>74</v>
      </c>
      <c r="AR300" t="s">
        <v>402</v>
      </c>
      <c r="AS300" t="s">
        <v>403</v>
      </c>
      <c r="AT300" t="s">
        <v>5678</v>
      </c>
      <c r="AU300">
        <v>2016</v>
      </c>
      <c r="AV300">
        <v>46</v>
      </c>
      <c r="AW300">
        <v>9</v>
      </c>
      <c r="AX300" t="s">
        <v>74</v>
      </c>
      <c r="AY300" t="s">
        <v>74</v>
      </c>
      <c r="AZ300" t="s">
        <v>74</v>
      </c>
      <c r="BA300" t="s">
        <v>74</v>
      </c>
      <c r="BB300">
        <v>2785</v>
      </c>
      <c r="BC300">
        <v>2805</v>
      </c>
      <c r="BD300" t="s">
        <v>74</v>
      </c>
      <c r="BE300" t="s">
        <v>6133</v>
      </c>
      <c r="BF300" t="str">
        <f>HYPERLINK("http://dx.doi.org/10.1175/JPO-D-16-0041.1","http://dx.doi.org/10.1175/JPO-D-16-0041.1")</f>
        <v>http://dx.doi.org/10.1175/JPO-D-16-0041.1</v>
      </c>
      <c r="BG300" t="s">
        <v>74</v>
      </c>
      <c r="BH300" t="s">
        <v>74</v>
      </c>
      <c r="BI300">
        <v>21</v>
      </c>
      <c r="BJ300" t="s">
        <v>405</v>
      </c>
      <c r="BK300" t="s">
        <v>156</v>
      </c>
      <c r="BL300" t="s">
        <v>405</v>
      </c>
      <c r="BM300" t="s">
        <v>6117</v>
      </c>
      <c r="BN300" t="s">
        <v>74</v>
      </c>
      <c r="BO300" t="s">
        <v>104</v>
      </c>
      <c r="BP300" t="s">
        <v>74</v>
      </c>
      <c r="BQ300" t="s">
        <v>74</v>
      </c>
      <c r="BR300" t="s">
        <v>105</v>
      </c>
      <c r="BS300" t="s">
        <v>6134</v>
      </c>
      <c r="BT300" t="str">
        <f>HYPERLINK("https%3A%2F%2Fwww.webofscience.com%2Fwos%2Fwoscc%2Ffull-record%2FWOS:000384024900012","View Full Record in Web of Science")</f>
        <v>View Full Record in Web of Science</v>
      </c>
    </row>
    <row r="301" spans="1:72" x14ac:dyDescent="0.15">
      <c r="A301" t="s">
        <v>72</v>
      </c>
      <c r="B301" t="s">
        <v>6135</v>
      </c>
      <c r="C301" t="s">
        <v>74</v>
      </c>
      <c r="D301" t="s">
        <v>74</v>
      </c>
      <c r="E301" t="s">
        <v>74</v>
      </c>
      <c r="F301" t="s">
        <v>6136</v>
      </c>
      <c r="G301" t="s">
        <v>74</v>
      </c>
      <c r="H301" t="s">
        <v>74</v>
      </c>
      <c r="I301" t="s">
        <v>6137</v>
      </c>
      <c r="J301" t="s">
        <v>385</v>
      </c>
      <c r="K301" t="s">
        <v>74</v>
      </c>
      <c r="L301" t="s">
        <v>74</v>
      </c>
      <c r="M301" t="s">
        <v>78</v>
      </c>
      <c r="N301" t="s">
        <v>79</v>
      </c>
      <c r="O301" t="s">
        <v>74</v>
      </c>
      <c r="P301" t="s">
        <v>74</v>
      </c>
      <c r="Q301" t="s">
        <v>74</v>
      </c>
      <c r="R301" t="s">
        <v>74</v>
      </c>
      <c r="S301" t="s">
        <v>74</v>
      </c>
      <c r="T301" t="s">
        <v>74</v>
      </c>
      <c r="U301" t="s">
        <v>6138</v>
      </c>
      <c r="V301" t="s">
        <v>6139</v>
      </c>
      <c r="W301" t="s">
        <v>6140</v>
      </c>
      <c r="X301" t="s">
        <v>6141</v>
      </c>
      <c r="Y301" t="s">
        <v>6142</v>
      </c>
      <c r="Z301" t="s">
        <v>6143</v>
      </c>
      <c r="AA301" t="s">
        <v>6144</v>
      </c>
      <c r="AB301" t="s">
        <v>6145</v>
      </c>
      <c r="AC301" t="s">
        <v>6146</v>
      </c>
      <c r="AD301" t="s">
        <v>6147</v>
      </c>
      <c r="AE301" t="s">
        <v>6148</v>
      </c>
      <c r="AF301" t="s">
        <v>74</v>
      </c>
      <c r="AG301">
        <v>69</v>
      </c>
      <c r="AH301">
        <v>30</v>
      </c>
      <c r="AI301">
        <v>37</v>
      </c>
      <c r="AJ301">
        <v>5</v>
      </c>
      <c r="AK301">
        <v>25</v>
      </c>
      <c r="AL301" t="s">
        <v>397</v>
      </c>
      <c r="AM301" t="s">
        <v>398</v>
      </c>
      <c r="AN301" t="s">
        <v>399</v>
      </c>
      <c r="AO301" t="s">
        <v>400</v>
      </c>
      <c r="AP301" t="s">
        <v>401</v>
      </c>
      <c r="AQ301" t="s">
        <v>74</v>
      </c>
      <c r="AR301" t="s">
        <v>402</v>
      </c>
      <c r="AS301" t="s">
        <v>403</v>
      </c>
      <c r="AT301" t="s">
        <v>5678</v>
      </c>
      <c r="AU301">
        <v>2016</v>
      </c>
      <c r="AV301">
        <v>46</v>
      </c>
      <c r="AW301">
        <v>9</v>
      </c>
      <c r="AX301" t="s">
        <v>74</v>
      </c>
      <c r="AY301" t="s">
        <v>74</v>
      </c>
      <c r="AZ301" t="s">
        <v>74</v>
      </c>
      <c r="BA301" t="s">
        <v>74</v>
      </c>
      <c r="BB301">
        <v>2827</v>
      </c>
      <c r="BC301">
        <v>2850</v>
      </c>
      <c r="BD301" t="s">
        <v>74</v>
      </c>
      <c r="BE301" t="s">
        <v>6149</v>
      </c>
      <c r="BF301" t="str">
        <f>HYPERLINK("http://dx.doi.org/10.1175/JPO-D-16-0012.1","http://dx.doi.org/10.1175/JPO-D-16-0012.1")</f>
        <v>http://dx.doi.org/10.1175/JPO-D-16-0012.1</v>
      </c>
      <c r="BG301" t="s">
        <v>74</v>
      </c>
      <c r="BH301" t="s">
        <v>74</v>
      </c>
      <c r="BI301">
        <v>24</v>
      </c>
      <c r="BJ301" t="s">
        <v>405</v>
      </c>
      <c r="BK301" t="s">
        <v>156</v>
      </c>
      <c r="BL301" t="s">
        <v>405</v>
      </c>
      <c r="BM301" t="s">
        <v>6117</v>
      </c>
      <c r="BN301" t="s">
        <v>74</v>
      </c>
      <c r="BO301" t="s">
        <v>329</v>
      </c>
      <c r="BP301" t="s">
        <v>74</v>
      </c>
      <c r="BQ301" t="s">
        <v>74</v>
      </c>
      <c r="BR301" t="s">
        <v>105</v>
      </c>
      <c r="BS301" t="s">
        <v>6150</v>
      </c>
      <c r="BT301" t="str">
        <f>HYPERLINK("https%3A%2F%2Fwww.webofscience.com%2Fwos%2Fwoscc%2Ffull-record%2FWOS:000384024900014","View Full Record in Web of Science")</f>
        <v>View Full Record in Web of Science</v>
      </c>
    </row>
    <row r="302" spans="1:72" x14ac:dyDescent="0.15">
      <c r="A302" t="s">
        <v>72</v>
      </c>
      <c r="B302" t="s">
        <v>6151</v>
      </c>
      <c r="C302" t="s">
        <v>74</v>
      </c>
      <c r="D302" t="s">
        <v>74</v>
      </c>
      <c r="E302" t="s">
        <v>74</v>
      </c>
      <c r="F302" t="s">
        <v>6152</v>
      </c>
      <c r="G302" t="s">
        <v>74</v>
      </c>
      <c r="H302" t="s">
        <v>74</v>
      </c>
      <c r="I302" t="s">
        <v>6153</v>
      </c>
      <c r="J302" t="s">
        <v>1088</v>
      </c>
      <c r="K302" t="s">
        <v>74</v>
      </c>
      <c r="L302" t="s">
        <v>74</v>
      </c>
      <c r="M302" t="s">
        <v>78</v>
      </c>
      <c r="N302" t="s">
        <v>79</v>
      </c>
      <c r="O302" t="s">
        <v>74</v>
      </c>
      <c r="P302" t="s">
        <v>74</v>
      </c>
      <c r="Q302" t="s">
        <v>74</v>
      </c>
      <c r="R302" t="s">
        <v>74</v>
      </c>
      <c r="S302" t="s">
        <v>74</v>
      </c>
      <c r="T302" t="s">
        <v>6154</v>
      </c>
      <c r="U302" t="s">
        <v>6155</v>
      </c>
      <c r="V302" t="s">
        <v>6156</v>
      </c>
      <c r="W302" t="s">
        <v>6157</v>
      </c>
      <c r="X302" t="s">
        <v>6158</v>
      </c>
      <c r="Y302" t="s">
        <v>6159</v>
      </c>
      <c r="Z302" t="s">
        <v>6160</v>
      </c>
      <c r="AA302" t="s">
        <v>6161</v>
      </c>
      <c r="AB302" t="s">
        <v>6162</v>
      </c>
      <c r="AC302" t="s">
        <v>6163</v>
      </c>
      <c r="AD302" t="s">
        <v>6163</v>
      </c>
      <c r="AE302" t="s">
        <v>6164</v>
      </c>
      <c r="AF302" t="s">
        <v>74</v>
      </c>
      <c r="AG302">
        <v>32</v>
      </c>
      <c r="AH302">
        <v>2</v>
      </c>
      <c r="AI302">
        <v>2</v>
      </c>
      <c r="AJ302">
        <v>0</v>
      </c>
      <c r="AK302">
        <v>16</v>
      </c>
      <c r="AL302" t="s">
        <v>149</v>
      </c>
      <c r="AM302" t="s">
        <v>123</v>
      </c>
      <c r="AN302" t="s">
        <v>150</v>
      </c>
      <c r="AO302" t="s">
        <v>1100</v>
      </c>
      <c r="AP302" t="s">
        <v>1101</v>
      </c>
      <c r="AQ302" t="s">
        <v>74</v>
      </c>
      <c r="AR302" t="s">
        <v>1102</v>
      </c>
      <c r="AS302" t="s">
        <v>1103</v>
      </c>
      <c r="AT302" t="s">
        <v>5678</v>
      </c>
      <c r="AU302">
        <v>2016</v>
      </c>
      <c r="AV302">
        <v>43</v>
      </c>
      <c r="AW302">
        <v>17</v>
      </c>
      <c r="AX302" t="s">
        <v>74</v>
      </c>
      <c r="AY302" t="s">
        <v>74</v>
      </c>
      <c r="AZ302" t="s">
        <v>74</v>
      </c>
      <c r="BA302" t="s">
        <v>74</v>
      </c>
      <c r="BB302">
        <v>9289</v>
      </c>
      <c r="BC302">
        <v>9297</v>
      </c>
      <c r="BD302" t="s">
        <v>74</v>
      </c>
      <c r="BE302" t="s">
        <v>6165</v>
      </c>
      <c r="BF302" t="str">
        <f>HYPERLINK("http://dx.doi.org/10.1002/2016GL069700","http://dx.doi.org/10.1002/2016GL069700")</f>
        <v>http://dx.doi.org/10.1002/2016GL069700</v>
      </c>
      <c r="BG302" t="s">
        <v>74</v>
      </c>
      <c r="BH302" t="s">
        <v>74</v>
      </c>
      <c r="BI302">
        <v>9</v>
      </c>
      <c r="BJ302" t="s">
        <v>352</v>
      </c>
      <c r="BK302" t="s">
        <v>156</v>
      </c>
      <c r="BL302" t="s">
        <v>177</v>
      </c>
      <c r="BM302" t="s">
        <v>6166</v>
      </c>
      <c r="BN302" t="s">
        <v>74</v>
      </c>
      <c r="BO302" t="s">
        <v>1142</v>
      </c>
      <c r="BP302" t="s">
        <v>74</v>
      </c>
      <c r="BQ302" t="s">
        <v>74</v>
      </c>
      <c r="BR302" t="s">
        <v>105</v>
      </c>
      <c r="BS302" t="s">
        <v>6167</v>
      </c>
      <c r="BT302" t="str">
        <f>HYPERLINK("https%3A%2F%2Fwww.webofscience.com%2Fwos%2Fwoscc%2Ffull-record%2FWOS:000385357200056","View Full Record in Web of Science")</f>
        <v>View Full Record in Web of Science</v>
      </c>
    </row>
    <row r="303" spans="1:72" x14ac:dyDescent="0.15">
      <c r="A303" t="s">
        <v>72</v>
      </c>
      <c r="B303" t="s">
        <v>6168</v>
      </c>
      <c r="C303" t="s">
        <v>74</v>
      </c>
      <c r="D303" t="s">
        <v>74</v>
      </c>
      <c r="E303" t="s">
        <v>74</v>
      </c>
      <c r="F303" t="s">
        <v>6169</v>
      </c>
      <c r="G303" t="s">
        <v>74</v>
      </c>
      <c r="H303" t="s">
        <v>74</v>
      </c>
      <c r="I303" t="s">
        <v>6170</v>
      </c>
      <c r="J303" t="s">
        <v>489</v>
      </c>
      <c r="K303" t="s">
        <v>74</v>
      </c>
      <c r="L303" t="s">
        <v>74</v>
      </c>
      <c r="M303" t="s">
        <v>78</v>
      </c>
      <c r="N303" t="s">
        <v>79</v>
      </c>
      <c r="O303" t="s">
        <v>74</v>
      </c>
      <c r="P303" t="s">
        <v>74</v>
      </c>
      <c r="Q303" t="s">
        <v>74</v>
      </c>
      <c r="R303" t="s">
        <v>74</v>
      </c>
      <c r="S303" t="s">
        <v>74</v>
      </c>
      <c r="T303" t="s">
        <v>74</v>
      </c>
      <c r="U303" t="s">
        <v>6171</v>
      </c>
      <c r="V303" t="s">
        <v>6172</v>
      </c>
      <c r="W303" t="s">
        <v>6173</v>
      </c>
      <c r="X303" t="s">
        <v>6174</v>
      </c>
      <c r="Y303" t="s">
        <v>6175</v>
      </c>
      <c r="Z303" t="s">
        <v>6176</v>
      </c>
      <c r="AA303" t="s">
        <v>74</v>
      </c>
      <c r="AB303" t="s">
        <v>6177</v>
      </c>
      <c r="AC303" t="s">
        <v>6178</v>
      </c>
      <c r="AD303" t="s">
        <v>6179</v>
      </c>
      <c r="AE303" t="s">
        <v>6180</v>
      </c>
      <c r="AF303" t="s">
        <v>74</v>
      </c>
      <c r="AG303">
        <v>47</v>
      </c>
      <c r="AH303">
        <v>2</v>
      </c>
      <c r="AI303">
        <v>3</v>
      </c>
      <c r="AJ303">
        <v>0</v>
      </c>
      <c r="AK303">
        <v>5</v>
      </c>
      <c r="AL303" t="s">
        <v>501</v>
      </c>
      <c r="AM303" t="s">
        <v>502</v>
      </c>
      <c r="AN303" t="s">
        <v>503</v>
      </c>
      <c r="AO303" t="s">
        <v>504</v>
      </c>
      <c r="AP303" t="s">
        <v>505</v>
      </c>
      <c r="AQ303" t="s">
        <v>74</v>
      </c>
      <c r="AR303" t="s">
        <v>506</v>
      </c>
      <c r="AS303" t="s">
        <v>507</v>
      </c>
      <c r="AT303" t="s">
        <v>5678</v>
      </c>
      <c r="AU303">
        <v>2016</v>
      </c>
      <c r="AV303">
        <v>51</v>
      </c>
      <c r="AW303">
        <v>9</v>
      </c>
      <c r="AX303" t="s">
        <v>74</v>
      </c>
      <c r="AY303" t="s">
        <v>74</v>
      </c>
      <c r="AZ303" t="s">
        <v>74</v>
      </c>
      <c r="BA303" t="s">
        <v>74</v>
      </c>
      <c r="BB303">
        <v>1678</v>
      </c>
      <c r="BC303">
        <v>1684</v>
      </c>
      <c r="BD303" t="s">
        <v>74</v>
      </c>
      <c r="BE303" t="s">
        <v>6181</v>
      </c>
      <c r="BF303" t="str">
        <f>HYPERLINK("http://dx.doi.org/10.1111/maps.12692","http://dx.doi.org/10.1111/maps.12692")</f>
        <v>http://dx.doi.org/10.1111/maps.12692</v>
      </c>
      <c r="BG303" t="s">
        <v>74</v>
      </c>
      <c r="BH303" t="s">
        <v>74</v>
      </c>
      <c r="BI303">
        <v>7</v>
      </c>
      <c r="BJ303" t="s">
        <v>155</v>
      </c>
      <c r="BK303" t="s">
        <v>156</v>
      </c>
      <c r="BL303" t="s">
        <v>155</v>
      </c>
      <c r="BM303" t="s">
        <v>6182</v>
      </c>
      <c r="BN303" t="s">
        <v>74</v>
      </c>
      <c r="BO303" t="s">
        <v>258</v>
      </c>
      <c r="BP303" t="s">
        <v>74</v>
      </c>
      <c r="BQ303" t="s">
        <v>74</v>
      </c>
      <c r="BR303" t="s">
        <v>105</v>
      </c>
      <c r="BS303" t="s">
        <v>6183</v>
      </c>
      <c r="BT303" t="str">
        <f>HYPERLINK("https%3A%2F%2Fwww.webofscience.com%2Fwos%2Fwoscc%2Ffull-record%2FWOS:000383629200008","View Full Record in Web of Science")</f>
        <v>View Full Record in Web of Science</v>
      </c>
    </row>
    <row r="304" spans="1:72" x14ac:dyDescent="0.15">
      <c r="A304" t="s">
        <v>72</v>
      </c>
      <c r="B304" t="s">
        <v>6184</v>
      </c>
      <c r="C304" t="s">
        <v>74</v>
      </c>
      <c r="D304" t="s">
        <v>74</v>
      </c>
      <c r="E304" t="s">
        <v>74</v>
      </c>
      <c r="F304" t="s">
        <v>6185</v>
      </c>
      <c r="G304" t="s">
        <v>74</v>
      </c>
      <c r="H304" t="s">
        <v>74</v>
      </c>
      <c r="I304" t="s">
        <v>6186</v>
      </c>
      <c r="J304" t="s">
        <v>2126</v>
      </c>
      <c r="K304" t="s">
        <v>74</v>
      </c>
      <c r="L304" t="s">
        <v>74</v>
      </c>
      <c r="M304" t="s">
        <v>78</v>
      </c>
      <c r="N304" t="s">
        <v>79</v>
      </c>
      <c r="O304" t="s">
        <v>74</v>
      </c>
      <c r="P304" t="s">
        <v>74</v>
      </c>
      <c r="Q304" t="s">
        <v>74</v>
      </c>
      <c r="R304" t="s">
        <v>74</v>
      </c>
      <c r="S304" t="s">
        <v>74</v>
      </c>
      <c r="T304" t="s">
        <v>74</v>
      </c>
      <c r="U304" t="s">
        <v>6187</v>
      </c>
      <c r="V304" t="s">
        <v>6188</v>
      </c>
      <c r="W304" t="s">
        <v>6189</v>
      </c>
      <c r="X304" t="s">
        <v>6190</v>
      </c>
      <c r="Y304" t="s">
        <v>6191</v>
      </c>
      <c r="Z304" t="s">
        <v>6192</v>
      </c>
      <c r="AA304" t="s">
        <v>74</v>
      </c>
      <c r="AB304" t="s">
        <v>74</v>
      </c>
      <c r="AC304" t="s">
        <v>6193</v>
      </c>
      <c r="AD304" t="s">
        <v>6194</v>
      </c>
      <c r="AE304" t="s">
        <v>6195</v>
      </c>
      <c r="AF304" t="s">
        <v>74</v>
      </c>
      <c r="AG304">
        <v>59</v>
      </c>
      <c r="AH304">
        <v>29</v>
      </c>
      <c r="AI304">
        <v>35</v>
      </c>
      <c r="AJ304">
        <v>1</v>
      </c>
      <c r="AK304">
        <v>19</v>
      </c>
      <c r="AL304" t="s">
        <v>275</v>
      </c>
      <c r="AM304" t="s">
        <v>250</v>
      </c>
      <c r="AN304" t="s">
        <v>276</v>
      </c>
      <c r="AO304" t="s">
        <v>2138</v>
      </c>
      <c r="AP304" t="s">
        <v>74</v>
      </c>
      <c r="AQ304" t="s">
        <v>74</v>
      </c>
      <c r="AR304" t="s">
        <v>2139</v>
      </c>
      <c r="AS304" t="s">
        <v>2140</v>
      </c>
      <c r="AT304" t="s">
        <v>5678</v>
      </c>
      <c r="AU304">
        <v>2016</v>
      </c>
      <c r="AV304">
        <v>7</v>
      </c>
      <c r="AW304" t="s">
        <v>74</v>
      </c>
      <c r="AX304" t="s">
        <v>74</v>
      </c>
      <c r="AY304" t="s">
        <v>74</v>
      </c>
      <c r="AZ304" t="s">
        <v>74</v>
      </c>
      <c r="BA304" t="s">
        <v>74</v>
      </c>
      <c r="BB304" t="s">
        <v>74</v>
      </c>
      <c r="BC304" t="s">
        <v>74</v>
      </c>
      <c r="BD304">
        <v>12957</v>
      </c>
      <c r="BE304" t="s">
        <v>6196</v>
      </c>
      <c r="BF304" t="str">
        <f>HYPERLINK("http://dx.doi.org/10.1038/ncomms12957","http://dx.doi.org/10.1038/ncomms12957")</f>
        <v>http://dx.doi.org/10.1038/ncomms12957</v>
      </c>
      <c r="BG304" t="s">
        <v>74</v>
      </c>
      <c r="BH304" t="s">
        <v>74</v>
      </c>
      <c r="BI304">
        <v>9</v>
      </c>
      <c r="BJ304" t="s">
        <v>719</v>
      </c>
      <c r="BK304" t="s">
        <v>156</v>
      </c>
      <c r="BL304" t="s">
        <v>720</v>
      </c>
      <c r="BM304" t="s">
        <v>6197</v>
      </c>
      <c r="BN304">
        <v>27649516</v>
      </c>
      <c r="BO304" t="s">
        <v>1083</v>
      </c>
      <c r="BP304" t="s">
        <v>74</v>
      </c>
      <c r="BQ304" t="s">
        <v>74</v>
      </c>
      <c r="BR304" t="s">
        <v>105</v>
      </c>
      <c r="BS304" t="s">
        <v>6198</v>
      </c>
      <c r="BT304" t="str">
        <f>HYPERLINK("https%3A%2F%2Fwww.webofscience.com%2Fwos%2Fwoscc%2Ffull-record%2FWOS:000385445300003","View Full Record in Web of Science")</f>
        <v>View Full Record in Web of Science</v>
      </c>
    </row>
    <row r="305" spans="1:72" x14ac:dyDescent="0.15">
      <c r="A305" t="s">
        <v>72</v>
      </c>
      <c r="B305" t="s">
        <v>6199</v>
      </c>
      <c r="C305" t="s">
        <v>74</v>
      </c>
      <c r="D305" t="s">
        <v>74</v>
      </c>
      <c r="E305" t="s">
        <v>74</v>
      </c>
      <c r="F305" t="s">
        <v>6200</v>
      </c>
      <c r="G305" t="s">
        <v>74</v>
      </c>
      <c r="H305" t="s">
        <v>74</v>
      </c>
      <c r="I305" t="s">
        <v>6201</v>
      </c>
      <c r="J305" t="s">
        <v>6202</v>
      </c>
      <c r="K305" t="s">
        <v>74</v>
      </c>
      <c r="L305" t="s">
        <v>74</v>
      </c>
      <c r="M305" t="s">
        <v>78</v>
      </c>
      <c r="N305" t="s">
        <v>79</v>
      </c>
      <c r="O305" t="s">
        <v>74</v>
      </c>
      <c r="P305" t="s">
        <v>74</v>
      </c>
      <c r="Q305" t="s">
        <v>74</v>
      </c>
      <c r="R305" t="s">
        <v>74</v>
      </c>
      <c r="S305" t="s">
        <v>74</v>
      </c>
      <c r="T305" t="s">
        <v>6203</v>
      </c>
      <c r="U305" t="s">
        <v>6204</v>
      </c>
      <c r="V305" t="s">
        <v>6205</v>
      </c>
      <c r="W305" t="s">
        <v>6206</v>
      </c>
      <c r="X305" t="s">
        <v>6207</v>
      </c>
      <c r="Y305" t="s">
        <v>6208</v>
      </c>
      <c r="Z305" t="s">
        <v>6209</v>
      </c>
      <c r="AA305" t="s">
        <v>6210</v>
      </c>
      <c r="AB305" t="s">
        <v>6211</v>
      </c>
      <c r="AC305" t="s">
        <v>6212</v>
      </c>
      <c r="AD305" t="s">
        <v>6213</v>
      </c>
      <c r="AE305" t="s">
        <v>6214</v>
      </c>
      <c r="AF305" t="s">
        <v>74</v>
      </c>
      <c r="AG305">
        <v>48</v>
      </c>
      <c r="AH305">
        <v>8</v>
      </c>
      <c r="AI305">
        <v>9</v>
      </c>
      <c r="AJ305">
        <v>5</v>
      </c>
      <c r="AK305">
        <v>34</v>
      </c>
      <c r="AL305" t="s">
        <v>6215</v>
      </c>
      <c r="AM305" t="s">
        <v>6216</v>
      </c>
      <c r="AN305" t="s">
        <v>6217</v>
      </c>
      <c r="AO305" t="s">
        <v>6218</v>
      </c>
      <c r="AP305" t="s">
        <v>6219</v>
      </c>
      <c r="AQ305" t="s">
        <v>74</v>
      </c>
      <c r="AR305" t="s">
        <v>6220</v>
      </c>
      <c r="AS305" t="s">
        <v>6221</v>
      </c>
      <c r="AT305" t="s">
        <v>5678</v>
      </c>
      <c r="AU305">
        <v>2016</v>
      </c>
      <c r="AV305">
        <v>37</v>
      </c>
      <c r="AW305">
        <v>3</v>
      </c>
      <c r="AX305" t="s">
        <v>74</v>
      </c>
      <c r="AY305" t="s">
        <v>74</v>
      </c>
      <c r="AZ305" t="s">
        <v>74</v>
      </c>
      <c r="BA305" t="s">
        <v>74</v>
      </c>
      <c r="BB305">
        <v>403</v>
      </c>
      <c r="BC305">
        <v>419</v>
      </c>
      <c r="BD305" t="s">
        <v>74</v>
      </c>
      <c r="BE305" t="s">
        <v>6222</v>
      </c>
      <c r="BF305" t="str">
        <f>HYPERLINK("http://dx.doi.org/10.1515/popore-2016-0021","http://dx.doi.org/10.1515/popore-2016-0021")</f>
        <v>http://dx.doi.org/10.1515/popore-2016-0021</v>
      </c>
      <c r="BG305" t="s">
        <v>74</v>
      </c>
      <c r="BH305" t="s">
        <v>74</v>
      </c>
      <c r="BI305">
        <v>17</v>
      </c>
      <c r="BJ305" t="s">
        <v>6223</v>
      </c>
      <c r="BK305" t="s">
        <v>156</v>
      </c>
      <c r="BL305" t="s">
        <v>6224</v>
      </c>
      <c r="BM305" t="s">
        <v>6225</v>
      </c>
      <c r="BN305" t="s">
        <v>74</v>
      </c>
      <c r="BO305" t="s">
        <v>777</v>
      </c>
      <c r="BP305" t="s">
        <v>74</v>
      </c>
      <c r="BQ305" t="s">
        <v>74</v>
      </c>
      <c r="BR305" t="s">
        <v>105</v>
      </c>
      <c r="BS305" t="s">
        <v>6226</v>
      </c>
      <c r="BT305" t="str">
        <f>HYPERLINK("https%3A%2F%2Fwww.webofscience.com%2Fwos%2Fwoscc%2Ffull-record%2FWOS:000385378400004","View Full Record in Web of Science")</f>
        <v>View Full Record in Web of Science</v>
      </c>
    </row>
    <row r="306" spans="1:72" x14ac:dyDescent="0.15">
      <c r="A306" t="s">
        <v>72</v>
      </c>
      <c r="B306" t="s">
        <v>6227</v>
      </c>
      <c r="C306" t="s">
        <v>74</v>
      </c>
      <c r="D306" t="s">
        <v>74</v>
      </c>
      <c r="E306" t="s">
        <v>74</v>
      </c>
      <c r="F306" t="s">
        <v>6228</v>
      </c>
      <c r="G306" t="s">
        <v>74</v>
      </c>
      <c r="H306" t="s">
        <v>74</v>
      </c>
      <c r="I306" t="s">
        <v>6229</v>
      </c>
      <c r="J306" t="s">
        <v>6230</v>
      </c>
      <c r="K306" t="s">
        <v>74</v>
      </c>
      <c r="L306" t="s">
        <v>74</v>
      </c>
      <c r="M306" t="s">
        <v>78</v>
      </c>
      <c r="N306" t="s">
        <v>79</v>
      </c>
      <c r="O306" t="s">
        <v>74</v>
      </c>
      <c r="P306" t="s">
        <v>74</v>
      </c>
      <c r="Q306" t="s">
        <v>74</v>
      </c>
      <c r="R306" t="s">
        <v>74</v>
      </c>
      <c r="S306" t="s">
        <v>74</v>
      </c>
      <c r="T306" t="s">
        <v>6231</v>
      </c>
      <c r="U306" t="s">
        <v>6232</v>
      </c>
      <c r="V306" t="s">
        <v>6233</v>
      </c>
      <c r="W306" t="s">
        <v>6234</v>
      </c>
      <c r="X306" t="s">
        <v>6235</v>
      </c>
      <c r="Y306" t="s">
        <v>6236</v>
      </c>
      <c r="Z306" t="s">
        <v>6237</v>
      </c>
      <c r="AA306" t="s">
        <v>6238</v>
      </c>
      <c r="AB306" t="s">
        <v>6239</v>
      </c>
      <c r="AC306" t="s">
        <v>6240</v>
      </c>
      <c r="AD306" t="s">
        <v>2632</v>
      </c>
      <c r="AE306" t="s">
        <v>6241</v>
      </c>
      <c r="AF306" t="s">
        <v>74</v>
      </c>
      <c r="AG306">
        <v>63</v>
      </c>
      <c r="AH306">
        <v>18</v>
      </c>
      <c r="AI306">
        <v>20</v>
      </c>
      <c r="AJ306">
        <v>1</v>
      </c>
      <c r="AK306">
        <v>22</v>
      </c>
      <c r="AL306" t="s">
        <v>474</v>
      </c>
      <c r="AM306" t="s">
        <v>304</v>
      </c>
      <c r="AN306" t="s">
        <v>475</v>
      </c>
      <c r="AO306" t="s">
        <v>6242</v>
      </c>
      <c r="AP306" t="s">
        <v>6243</v>
      </c>
      <c r="AQ306" t="s">
        <v>74</v>
      </c>
      <c r="AR306" t="s">
        <v>6244</v>
      </c>
      <c r="AS306" t="s">
        <v>6245</v>
      </c>
      <c r="AT306" t="s">
        <v>5678</v>
      </c>
      <c r="AU306">
        <v>2016</v>
      </c>
      <c r="AV306">
        <v>36</v>
      </c>
      <c r="AW306" t="s">
        <v>74</v>
      </c>
      <c r="AX306" t="s">
        <v>74</v>
      </c>
      <c r="AY306" t="s">
        <v>74</v>
      </c>
      <c r="AZ306" t="s">
        <v>74</v>
      </c>
      <c r="BA306" t="s">
        <v>74</v>
      </c>
      <c r="BB306">
        <v>161</v>
      </c>
      <c r="BC306">
        <v>173</v>
      </c>
      <c r="BD306" t="s">
        <v>74</v>
      </c>
      <c r="BE306" t="s">
        <v>6246</v>
      </c>
      <c r="BF306" t="str">
        <f>HYPERLINK("http://dx.doi.org/10.1016/j.quageo.2016.09.002","http://dx.doi.org/10.1016/j.quageo.2016.09.002")</f>
        <v>http://dx.doi.org/10.1016/j.quageo.2016.09.002</v>
      </c>
      <c r="BG306" t="s">
        <v>74</v>
      </c>
      <c r="BH306" t="s">
        <v>74</v>
      </c>
      <c r="BI306">
        <v>13</v>
      </c>
      <c r="BJ306" t="s">
        <v>203</v>
      </c>
      <c r="BK306" t="s">
        <v>102</v>
      </c>
      <c r="BL306" t="s">
        <v>204</v>
      </c>
      <c r="BM306" t="s">
        <v>6247</v>
      </c>
      <c r="BN306" t="s">
        <v>74</v>
      </c>
      <c r="BO306" t="s">
        <v>104</v>
      </c>
      <c r="BP306" t="s">
        <v>74</v>
      </c>
      <c r="BQ306" t="s">
        <v>74</v>
      </c>
      <c r="BR306" t="s">
        <v>105</v>
      </c>
      <c r="BS306" t="s">
        <v>6248</v>
      </c>
      <c r="BT306" t="str">
        <f>HYPERLINK("https%3A%2F%2Fwww.webofscience.com%2Fwos%2Fwoscc%2Ffull-record%2FWOS:000385605000014","View Full Record in Web of Science")</f>
        <v>View Full Record in Web of Science</v>
      </c>
    </row>
    <row r="307" spans="1:72" x14ac:dyDescent="0.15">
      <c r="A307" t="s">
        <v>72</v>
      </c>
      <c r="B307" t="s">
        <v>6249</v>
      </c>
      <c r="C307" t="s">
        <v>74</v>
      </c>
      <c r="D307" t="s">
        <v>74</v>
      </c>
      <c r="E307" t="s">
        <v>74</v>
      </c>
      <c r="F307" t="s">
        <v>6250</v>
      </c>
      <c r="G307" t="s">
        <v>74</v>
      </c>
      <c r="H307" t="s">
        <v>74</v>
      </c>
      <c r="I307" t="s">
        <v>6251</v>
      </c>
      <c r="J307" t="s">
        <v>6252</v>
      </c>
      <c r="K307" t="s">
        <v>74</v>
      </c>
      <c r="L307" t="s">
        <v>74</v>
      </c>
      <c r="M307" t="s">
        <v>78</v>
      </c>
      <c r="N307" t="s">
        <v>2730</v>
      </c>
      <c r="O307" t="s">
        <v>6253</v>
      </c>
      <c r="P307" t="s">
        <v>6254</v>
      </c>
      <c r="Q307" t="s">
        <v>6255</v>
      </c>
      <c r="R307" t="s">
        <v>74</v>
      </c>
      <c r="S307" t="s">
        <v>74</v>
      </c>
      <c r="T307" t="s">
        <v>6256</v>
      </c>
      <c r="U307" t="s">
        <v>6257</v>
      </c>
      <c r="V307" t="s">
        <v>6258</v>
      </c>
      <c r="W307" t="s">
        <v>6259</v>
      </c>
      <c r="X307" t="s">
        <v>6260</v>
      </c>
      <c r="Y307" t="s">
        <v>6261</v>
      </c>
      <c r="Z307" t="s">
        <v>6262</v>
      </c>
      <c r="AA307" t="s">
        <v>6263</v>
      </c>
      <c r="AB307" t="s">
        <v>6264</v>
      </c>
      <c r="AC307" t="s">
        <v>74</v>
      </c>
      <c r="AD307" t="s">
        <v>74</v>
      </c>
      <c r="AE307" t="s">
        <v>74</v>
      </c>
      <c r="AF307" t="s">
        <v>74</v>
      </c>
      <c r="AG307">
        <v>24</v>
      </c>
      <c r="AH307">
        <v>7</v>
      </c>
      <c r="AI307">
        <v>7</v>
      </c>
      <c r="AJ307">
        <v>0</v>
      </c>
      <c r="AK307">
        <v>4</v>
      </c>
      <c r="AL307" t="s">
        <v>6265</v>
      </c>
      <c r="AM307" t="s">
        <v>6266</v>
      </c>
      <c r="AN307" t="s">
        <v>6267</v>
      </c>
      <c r="AO307" t="s">
        <v>6268</v>
      </c>
      <c r="AP307" t="s">
        <v>6269</v>
      </c>
      <c r="AQ307" t="s">
        <v>74</v>
      </c>
      <c r="AR307" t="s">
        <v>6270</v>
      </c>
      <c r="AS307" t="s">
        <v>6271</v>
      </c>
      <c r="AT307" t="s">
        <v>5678</v>
      </c>
      <c r="AU307">
        <v>2016</v>
      </c>
      <c r="AV307">
        <v>80</v>
      </c>
      <c r="AW307" t="s">
        <v>74</v>
      </c>
      <c r="AX307" t="s">
        <v>74</v>
      </c>
      <c r="AY307" t="s">
        <v>74</v>
      </c>
      <c r="AZ307" t="s">
        <v>650</v>
      </c>
      <c r="BA307" t="s">
        <v>74</v>
      </c>
      <c r="BB307">
        <v>205</v>
      </c>
      <c r="BC307">
        <v>214</v>
      </c>
      <c r="BD307" t="s">
        <v>74</v>
      </c>
      <c r="BE307" t="s">
        <v>6272</v>
      </c>
      <c r="BF307" t="str">
        <f>HYPERLINK("http://dx.doi.org/10.3989/scimar.04289.06A","http://dx.doi.org/10.3989/scimar.04289.06A")</f>
        <v>http://dx.doi.org/10.3989/scimar.04289.06A</v>
      </c>
      <c r="BG307" t="s">
        <v>74</v>
      </c>
      <c r="BH307" t="s">
        <v>74</v>
      </c>
      <c r="BI307">
        <v>10</v>
      </c>
      <c r="BJ307" t="s">
        <v>457</v>
      </c>
      <c r="BK307" t="s">
        <v>2548</v>
      </c>
      <c r="BL307" t="s">
        <v>457</v>
      </c>
      <c r="BM307" t="s">
        <v>6273</v>
      </c>
      <c r="BN307" t="s">
        <v>74</v>
      </c>
      <c r="BO307" t="s">
        <v>1083</v>
      </c>
      <c r="BP307" t="s">
        <v>74</v>
      </c>
      <c r="BQ307" t="s">
        <v>74</v>
      </c>
      <c r="BR307" t="s">
        <v>105</v>
      </c>
      <c r="BS307" t="s">
        <v>6274</v>
      </c>
      <c r="BT307" t="str">
        <f>HYPERLINK("https%3A%2F%2Fwww.webofscience.com%2Fwos%2Fwoscc%2Ffull-record%2FWOS:000385612500019","View Full Record in Web of Science")</f>
        <v>View Full Record in Web of Science</v>
      </c>
    </row>
    <row r="308" spans="1:72" x14ac:dyDescent="0.15">
      <c r="A308" t="s">
        <v>72</v>
      </c>
      <c r="B308" t="s">
        <v>6275</v>
      </c>
      <c r="C308" t="s">
        <v>74</v>
      </c>
      <c r="D308" t="s">
        <v>74</v>
      </c>
      <c r="E308" t="s">
        <v>74</v>
      </c>
      <c r="F308" t="s">
        <v>6276</v>
      </c>
      <c r="G308" t="s">
        <v>74</v>
      </c>
      <c r="H308" t="s">
        <v>74</v>
      </c>
      <c r="I308" t="s">
        <v>6277</v>
      </c>
      <c r="J308" t="s">
        <v>6278</v>
      </c>
      <c r="K308" t="s">
        <v>74</v>
      </c>
      <c r="L308" t="s">
        <v>74</v>
      </c>
      <c r="M308" t="s">
        <v>78</v>
      </c>
      <c r="N308" t="s">
        <v>79</v>
      </c>
      <c r="O308" t="s">
        <v>74</v>
      </c>
      <c r="P308" t="s">
        <v>74</v>
      </c>
      <c r="Q308" t="s">
        <v>74</v>
      </c>
      <c r="R308" t="s">
        <v>74</v>
      </c>
      <c r="S308" t="s">
        <v>74</v>
      </c>
      <c r="T308" t="s">
        <v>6279</v>
      </c>
      <c r="U308" t="s">
        <v>6280</v>
      </c>
      <c r="V308" t="s">
        <v>6281</v>
      </c>
      <c r="W308" t="s">
        <v>6282</v>
      </c>
      <c r="X308" t="s">
        <v>6283</v>
      </c>
      <c r="Y308" t="s">
        <v>6284</v>
      </c>
      <c r="Z308" t="s">
        <v>6285</v>
      </c>
      <c r="AA308" t="s">
        <v>6286</v>
      </c>
      <c r="AB308" t="s">
        <v>6287</v>
      </c>
      <c r="AC308" t="s">
        <v>6288</v>
      </c>
      <c r="AD308" t="s">
        <v>6289</v>
      </c>
      <c r="AE308" t="s">
        <v>6290</v>
      </c>
      <c r="AF308" t="s">
        <v>74</v>
      </c>
      <c r="AG308">
        <v>89</v>
      </c>
      <c r="AH308">
        <v>3</v>
      </c>
      <c r="AI308">
        <v>6</v>
      </c>
      <c r="AJ308">
        <v>0</v>
      </c>
      <c r="AK308">
        <v>25</v>
      </c>
      <c r="AL308" t="s">
        <v>2501</v>
      </c>
      <c r="AM308" t="s">
        <v>304</v>
      </c>
      <c r="AN308" t="s">
        <v>2502</v>
      </c>
      <c r="AO308" t="s">
        <v>6291</v>
      </c>
      <c r="AP308" t="s">
        <v>6292</v>
      </c>
      <c r="AQ308" t="s">
        <v>74</v>
      </c>
      <c r="AR308" t="s">
        <v>6293</v>
      </c>
      <c r="AS308" t="s">
        <v>6294</v>
      </c>
      <c r="AT308" t="s">
        <v>5678</v>
      </c>
      <c r="AU308">
        <v>2016</v>
      </c>
      <c r="AV308">
        <v>15</v>
      </c>
      <c r="AW308">
        <v>5</v>
      </c>
      <c r="AX308" t="s">
        <v>74</v>
      </c>
      <c r="AY308" t="s">
        <v>74</v>
      </c>
      <c r="AZ308" t="s">
        <v>650</v>
      </c>
      <c r="BA308" t="s">
        <v>74</v>
      </c>
      <c r="BB308">
        <v>365</v>
      </c>
      <c r="BC308">
        <v>372</v>
      </c>
      <c r="BD308" t="s">
        <v>74</v>
      </c>
      <c r="BE308" t="s">
        <v>6295</v>
      </c>
      <c r="BF308" t="str">
        <f>HYPERLINK("http://dx.doi.org/10.1093/bfgp/elw024","http://dx.doi.org/10.1093/bfgp/elw024")</f>
        <v>http://dx.doi.org/10.1093/bfgp/elw024</v>
      </c>
      <c r="BG308" t="s">
        <v>74</v>
      </c>
      <c r="BH308" t="s">
        <v>74</v>
      </c>
      <c r="BI308">
        <v>8</v>
      </c>
      <c r="BJ308" t="s">
        <v>6296</v>
      </c>
      <c r="BK308" t="s">
        <v>156</v>
      </c>
      <c r="BL308" t="s">
        <v>6296</v>
      </c>
      <c r="BM308" t="s">
        <v>6297</v>
      </c>
      <c r="BN308">
        <v>27345433</v>
      </c>
      <c r="BO308" t="s">
        <v>258</v>
      </c>
      <c r="BP308" t="s">
        <v>74</v>
      </c>
      <c r="BQ308" t="s">
        <v>74</v>
      </c>
      <c r="BR308" t="s">
        <v>105</v>
      </c>
      <c r="BS308" t="s">
        <v>6298</v>
      </c>
      <c r="BT308" t="str">
        <f>HYPERLINK("https%3A%2F%2Fwww.webofscience.com%2Fwos%2Fwoscc%2Ffull-record%2FWOS:000385127800006","View Full Record in Web of Science")</f>
        <v>View Full Record in Web of Science</v>
      </c>
    </row>
    <row r="309" spans="1:72" x14ac:dyDescent="0.15">
      <c r="A309" t="s">
        <v>72</v>
      </c>
      <c r="B309" t="s">
        <v>6299</v>
      </c>
      <c r="C309" t="s">
        <v>74</v>
      </c>
      <c r="D309" t="s">
        <v>74</v>
      </c>
      <c r="E309" t="s">
        <v>74</v>
      </c>
      <c r="F309" t="s">
        <v>6300</v>
      </c>
      <c r="G309" t="s">
        <v>74</v>
      </c>
      <c r="H309" t="s">
        <v>74</v>
      </c>
      <c r="I309" t="s">
        <v>6301</v>
      </c>
      <c r="J309" t="s">
        <v>4057</v>
      </c>
      <c r="K309" t="s">
        <v>74</v>
      </c>
      <c r="L309" t="s">
        <v>74</v>
      </c>
      <c r="M309" t="s">
        <v>78</v>
      </c>
      <c r="N309" t="s">
        <v>79</v>
      </c>
      <c r="O309" t="s">
        <v>74</v>
      </c>
      <c r="P309" t="s">
        <v>74</v>
      </c>
      <c r="Q309" t="s">
        <v>74</v>
      </c>
      <c r="R309" t="s">
        <v>74</v>
      </c>
      <c r="S309" t="s">
        <v>74</v>
      </c>
      <c r="T309" t="s">
        <v>6302</v>
      </c>
      <c r="U309" t="s">
        <v>6303</v>
      </c>
      <c r="V309" t="s">
        <v>6304</v>
      </c>
      <c r="W309" t="s">
        <v>6305</v>
      </c>
      <c r="X309" t="s">
        <v>6306</v>
      </c>
      <c r="Y309" t="s">
        <v>6307</v>
      </c>
      <c r="Z309" t="s">
        <v>6308</v>
      </c>
      <c r="AA309" t="s">
        <v>6309</v>
      </c>
      <c r="AB309" t="s">
        <v>6310</v>
      </c>
      <c r="AC309" t="s">
        <v>6311</v>
      </c>
      <c r="AD309" t="s">
        <v>6311</v>
      </c>
      <c r="AE309" t="s">
        <v>6312</v>
      </c>
      <c r="AF309" t="s">
        <v>74</v>
      </c>
      <c r="AG309">
        <v>70</v>
      </c>
      <c r="AH309">
        <v>22</v>
      </c>
      <c r="AI309">
        <v>25</v>
      </c>
      <c r="AJ309">
        <v>1</v>
      </c>
      <c r="AK309">
        <v>38</v>
      </c>
      <c r="AL309" t="s">
        <v>474</v>
      </c>
      <c r="AM309" t="s">
        <v>304</v>
      </c>
      <c r="AN309" t="s">
        <v>475</v>
      </c>
      <c r="AO309" t="s">
        <v>4070</v>
      </c>
      <c r="AP309" t="s">
        <v>4071</v>
      </c>
      <c r="AQ309" t="s">
        <v>74</v>
      </c>
      <c r="AR309" t="s">
        <v>4072</v>
      </c>
      <c r="AS309" t="s">
        <v>4073</v>
      </c>
      <c r="AT309" t="s">
        <v>5678</v>
      </c>
      <c r="AU309">
        <v>2016</v>
      </c>
      <c r="AV309">
        <v>120</v>
      </c>
      <c r="AW309" t="s">
        <v>74</v>
      </c>
      <c r="AX309" t="s">
        <v>74</v>
      </c>
      <c r="AY309" t="s">
        <v>74</v>
      </c>
      <c r="AZ309" t="s">
        <v>74</v>
      </c>
      <c r="BA309" t="s">
        <v>74</v>
      </c>
      <c r="BB309">
        <v>214</v>
      </c>
      <c r="BC309">
        <v>224</v>
      </c>
      <c r="BD309" t="s">
        <v>74</v>
      </c>
      <c r="BE309" t="s">
        <v>6313</v>
      </c>
      <c r="BF309" t="str">
        <f>HYPERLINK("http://dx.doi.org/10.1016/j.marenvres.2016.08.010","http://dx.doi.org/10.1016/j.marenvres.2016.08.010")</f>
        <v>http://dx.doi.org/10.1016/j.marenvres.2016.08.010</v>
      </c>
      <c r="BG309" t="s">
        <v>74</v>
      </c>
      <c r="BH309" t="s">
        <v>74</v>
      </c>
      <c r="BI309">
        <v>11</v>
      </c>
      <c r="BJ309" t="s">
        <v>4075</v>
      </c>
      <c r="BK309" t="s">
        <v>156</v>
      </c>
      <c r="BL309" t="s">
        <v>4076</v>
      </c>
      <c r="BM309" t="s">
        <v>6314</v>
      </c>
      <c r="BN309">
        <v>27592387</v>
      </c>
      <c r="BO309" t="s">
        <v>74</v>
      </c>
      <c r="BP309" t="s">
        <v>74</v>
      </c>
      <c r="BQ309" t="s">
        <v>74</v>
      </c>
      <c r="BR309" t="s">
        <v>105</v>
      </c>
      <c r="BS309" t="s">
        <v>6315</v>
      </c>
      <c r="BT309" t="str">
        <f>HYPERLINK("https%3A%2F%2Fwww.webofscience.com%2Fwos%2Fwoscc%2Ffull-record%2FWOS:000384852900022","View Full Record in Web of Science")</f>
        <v>View Full Record in Web of Science</v>
      </c>
    </row>
    <row r="310" spans="1:72" x14ac:dyDescent="0.15">
      <c r="A310" t="s">
        <v>72</v>
      </c>
      <c r="B310" t="s">
        <v>6316</v>
      </c>
      <c r="C310" t="s">
        <v>74</v>
      </c>
      <c r="D310" t="s">
        <v>74</v>
      </c>
      <c r="E310" t="s">
        <v>74</v>
      </c>
      <c r="F310" t="s">
        <v>6317</v>
      </c>
      <c r="G310" t="s">
        <v>74</v>
      </c>
      <c r="H310" t="s">
        <v>74</v>
      </c>
      <c r="I310" t="s">
        <v>6318</v>
      </c>
      <c r="J310" t="s">
        <v>2126</v>
      </c>
      <c r="K310" t="s">
        <v>74</v>
      </c>
      <c r="L310" t="s">
        <v>74</v>
      </c>
      <c r="M310" t="s">
        <v>78</v>
      </c>
      <c r="N310" t="s">
        <v>79</v>
      </c>
      <c r="O310" t="s">
        <v>74</v>
      </c>
      <c r="P310" t="s">
        <v>74</v>
      </c>
      <c r="Q310" t="s">
        <v>74</v>
      </c>
      <c r="R310" t="s">
        <v>74</v>
      </c>
      <c r="S310" t="s">
        <v>74</v>
      </c>
      <c r="T310" t="s">
        <v>74</v>
      </c>
      <c r="U310" t="s">
        <v>6319</v>
      </c>
      <c r="V310" t="s">
        <v>6320</v>
      </c>
      <c r="W310" t="s">
        <v>6321</v>
      </c>
      <c r="X310" t="s">
        <v>6322</v>
      </c>
      <c r="Y310" t="s">
        <v>6323</v>
      </c>
      <c r="Z310" t="s">
        <v>6324</v>
      </c>
      <c r="AA310" t="s">
        <v>6325</v>
      </c>
      <c r="AB310" t="s">
        <v>6326</v>
      </c>
      <c r="AC310" t="s">
        <v>6327</v>
      </c>
      <c r="AD310" t="s">
        <v>6328</v>
      </c>
      <c r="AE310" t="s">
        <v>6329</v>
      </c>
      <c r="AF310" t="s">
        <v>74</v>
      </c>
      <c r="AG310">
        <v>65</v>
      </c>
      <c r="AH310">
        <v>54</v>
      </c>
      <c r="AI310">
        <v>60</v>
      </c>
      <c r="AJ310">
        <v>5</v>
      </c>
      <c r="AK310">
        <v>36</v>
      </c>
      <c r="AL310" t="s">
        <v>275</v>
      </c>
      <c r="AM310" t="s">
        <v>250</v>
      </c>
      <c r="AN310" t="s">
        <v>276</v>
      </c>
      <c r="AO310" t="s">
        <v>2138</v>
      </c>
      <c r="AP310" t="s">
        <v>74</v>
      </c>
      <c r="AQ310" t="s">
        <v>74</v>
      </c>
      <c r="AR310" t="s">
        <v>2139</v>
      </c>
      <c r="AS310" t="s">
        <v>2140</v>
      </c>
      <c r="AT310" t="s">
        <v>5678</v>
      </c>
      <c r="AU310">
        <v>2016</v>
      </c>
      <c r="AV310">
        <v>7</v>
      </c>
      <c r="AW310" t="s">
        <v>74</v>
      </c>
      <c r="AX310" t="s">
        <v>74</v>
      </c>
      <c r="AY310" t="s">
        <v>74</v>
      </c>
      <c r="AZ310" t="s">
        <v>74</v>
      </c>
      <c r="BA310" t="s">
        <v>74</v>
      </c>
      <c r="BB310" t="s">
        <v>74</v>
      </c>
      <c r="BC310" t="s">
        <v>74</v>
      </c>
      <c r="BD310">
        <v>12771</v>
      </c>
      <c r="BE310" t="s">
        <v>6330</v>
      </c>
      <c r="BF310" t="str">
        <f>HYPERLINK("http://dx.doi.org/10.1038/ncomms12771","http://dx.doi.org/10.1038/ncomms12771")</f>
        <v>http://dx.doi.org/10.1038/ncomms12771</v>
      </c>
      <c r="BG310" t="s">
        <v>74</v>
      </c>
      <c r="BH310" t="s">
        <v>74</v>
      </c>
      <c r="BI310">
        <v>9</v>
      </c>
      <c r="BJ310" t="s">
        <v>719</v>
      </c>
      <c r="BK310" t="s">
        <v>156</v>
      </c>
      <c r="BL310" t="s">
        <v>720</v>
      </c>
      <c r="BM310" t="s">
        <v>6331</v>
      </c>
      <c r="BN310">
        <v>27650167</v>
      </c>
      <c r="BO310" t="s">
        <v>6332</v>
      </c>
      <c r="BP310" t="s">
        <v>74</v>
      </c>
      <c r="BQ310" t="s">
        <v>74</v>
      </c>
      <c r="BR310" t="s">
        <v>105</v>
      </c>
      <c r="BS310" t="s">
        <v>6333</v>
      </c>
      <c r="BT310" t="str">
        <f>HYPERLINK("https%3A%2F%2Fwww.webofscience.com%2Fwos%2Fwoscc%2Ffull-record%2FWOS:000385256500001","View Full Record in Web of Science")</f>
        <v>View Full Record in Web of Science</v>
      </c>
    </row>
    <row r="311" spans="1:72" x14ac:dyDescent="0.15">
      <c r="A311" t="s">
        <v>72</v>
      </c>
      <c r="B311" t="s">
        <v>6334</v>
      </c>
      <c r="C311" t="s">
        <v>74</v>
      </c>
      <c r="D311" t="s">
        <v>74</v>
      </c>
      <c r="E311" t="s">
        <v>74</v>
      </c>
      <c r="F311" t="s">
        <v>6335</v>
      </c>
      <c r="G311" t="s">
        <v>74</v>
      </c>
      <c r="H311" t="s">
        <v>74</v>
      </c>
      <c r="I311" t="s">
        <v>6336</v>
      </c>
      <c r="J311" t="s">
        <v>6337</v>
      </c>
      <c r="K311" t="s">
        <v>74</v>
      </c>
      <c r="L311" t="s">
        <v>74</v>
      </c>
      <c r="M311" t="s">
        <v>78</v>
      </c>
      <c r="N311" t="s">
        <v>79</v>
      </c>
      <c r="O311" t="s">
        <v>74</v>
      </c>
      <c r="P311" t="s">
        <v>74</v>
      </c>
      <c r="Q311" t="s">
        <v>74</v>
      </c>
      <c r="R311" t="s">
        <v>74</v>
      </c>
      <c r="S311" t="s">
        <v>74</v>
      </c>
      <c r="T311" t="s">
        <v>74</v>
      </c>
      <c r="U311" t="s">
        <v>6338</v>
      </c>
      <c r="V311" t="s">
        <v>6339</v>
      </c>
      <c r="W311" t="s">
        <v>6340</v>
      </c>
      <c r="X311" t="s">
        <v>6341</v>
      </c>
      <c r="Y311" t="s">
        <v>6342</v>
      </c>
      <c r="Z311" t="s">
        <v>6343</v>
      </c>
      <c r="AA311" t="s">
        <v>6344</v>
      </c>
      <c r="AB311" t="s">
        <v>6345</v>
      </c>
      <c r="AC311" t="s">
        <v>74</v>
      </c>
      <c r="AD311" t="s">
        <v>74</v>
      </c>
      <c r="AE311" t="s">
        <v>74</v>
      </c>
      <c r="AF311" t="s">
        <v>74</v>
      </c>
      <c r="AG311">
        <v>70</v>
      </c>
      <c r="AH311">
        <v>5</v>
      </c>
      <c r="AI311">
        <v>6</v>
      </c>
      <c r="AJ311">
        <v>0</v>
      </c>
      <c r="AK311">
        <v>15</v>
      </c>
      <c r="AL311" t="s">
        <v>2670</v>
      </c>
      <c r="AM311" t="s">
        <v>594</v>
      </c>
      <c r="AN311" t="s">
        <v>3187</v>
      </c>
      <c r="AO311" t="s">
        <v>6346</v>
      </c>
      <c r="AP311" t="s">
        <v>6347</v>
      </c>
      <c r="AQ311" t="s">
        <v>74</v>
      </c>
      <c r="AR311" t="s">
        <v>6348</v>
      </c>
      <c r="AS311" t="s">
        <v>6349</v>
      </c>
      <c r="AT311" t="s">
        <v>5678</v>
      </c>
      <c r="AU311">
        <v>2016</v>
      </c>
      <c r="AV311">
        <v>52</v>
      </c>
      <c r="AW311">
        <v>5</v>
      </c>
      <c r="AX311" t="s">
        <v>74</v>
      </c>
      <c r="AY311" t="s">
        <v>74</v>
      </c>
      <c r="AZ311" t="s">
        <v>74</v>
      </c>
      <c r="BA311" t="s">
        <v>74</v>
      </c>
      <c r="BB311">
        <v>541</v>
      </c>
      <c r="BC311">
        <v>552</v>
      </c>
      <c r="BD311" t="s">
        <v>74</v>
      </c>
      <c r="BE311" t="s">
        <v>6350</v>
      </c>
      <c r="BF311" t="str">
        <f>HYPERLINK("http://dx.doi.org/10.1017/S0032247416000425","http://dx.doi.org/10.1017/S0032247416000425")</f>
        <v>http://dx.doi.org/10.1017/S0032247416000425</v>
      </c>
      <c r="BG311" t="s">
        <v>74</v>
      </c>
      <c r="BH311" t="s">
        <v>74</v>
      </c>
      <c r="BI311">
        <v>12</v>
      </c>
      <c r="BJ311" t="s">
        <v>6351</v>
      </c>
      <c r="BK311" t="s">
        <v>156</v>
      </c>
      <c r="BL311" t="s">
        <v>532</v>
      </c>
      <c r="BM311" t="s">
        <v>6352</v>
      </c>
      <c r="BN311" t="s">
        <v>74</v>
      </c>
      <c r="BO311" t="s">
        <v>74</v>
      </c>
      <c r="BP311" t="s">
        <v>74</v>
      </c>
      <c r="BQ311" t="s">
        <v>74</v>
      </c>
      <c r="BR311" t="s">
        <v>105</v>
      </c>
      <c r="BS311" t="s">
        <v>6353</v>
      </c>
      <c r="BT311" t="str">
        <f>HYPERLINK("https%3A%2F%2Fwww.webofscience.com%2Fwos%2Fwoscc%2Ffull-record%2FWOS:000384237900004","View Full Record in Web of Science")</f>
        <v>View Full Record in Web of Science</v>
      </c>
    </row>
    <row r="312" spans="1:72" x14ac:dyDescent="0.15">
      <c r="A312" t="s">
        <v>72</v>
      </c>
      <c r="B312" t="s">
        <v>6354</v>
      </c>
      <c r="C312" t="s">
        <v>74</v>
      </c>
      <c r="D312" t="s">
        <v>74</v>
      </c>
      <c r="E312" t="s">
        <v>74</v>
      </c>
      <c r="F312" t="s">
        <v>6355</v>
      </c>
      <c r="G312" t="s">
        <v>74</v>
      </c>
      <c r="H312" t="s">
        <v>74</v>
      </c>
      <c r="I312" t="s">
        <v>6356</v>
      </c>
      <c r="J312" t="s">
        <v>6337</v>
      </c>
      <c r="K312" t="s">
        <v>74</v>
      </c>
      <c r="L312" t="s">
        <v>74</v>
      </c>
      <c r="M312" t="s">
        <v>78</v>
      </c>
      <c r="N312" t="s">
        <v>79</v>
      </c>
      <c r="O312" t="s">
        <v>74</v>
      </c>
      <c r="P312" t="s">
        <v>74</v>
      </c>
      <c r="Q312" t="s">
        <v>74</v>
      </c>
      <c r="R312" t="s">
        <v>74</v>
      </c>
      <c r="S312" t="s">
        <v>74</v>
      </c>
      <c r="T312" t="s">
        <v>74</v>
      </c>
      <c r="U312" t="s">
        <v>74</v>
      </c>
      <c r="V312" t="s">
        <v>6357</v>
      </c>
      <c r="W312" t="s">
        <v>6358</v>
      </c>
      <c r="X312" t="s">
        <v>74</v>
      </c>
      <c r="Y312" t="s">
        <v>6359</v>
      </c>
      <c r="Z312" t="s">
        <v>6360</v>
      </c>
      <c r="AA312" t="s">
        <v>74</v>
      </c>
      <c r="AB312" t="s">
        <v>74</v>
      </c>
      <c r="AC312" t="s">
        <v>74</v>
      </c>
      <c r="AD312" t="s">
        <v>74</v>
      </c>
      <c r="AE312" t="s">
        <v>74</v>
      </c>
      <c r="AF312" t="s">
        <v>74</v>
      </c>
      <c r="AG312">
        <v>19</v>
      </c>
      <c r="AH312">
        <v>0</v>
      </c>
      <c r="AI312">
        <v>0</v>
      </c>
      <c r="AJ312">
        <v>0</v>
      </c>
      <c r="AK312">
        <v>1</v>
      </c>
      <c r="AL312" t="s">
        <v>2670</v>
      </c>
      <c r="AM312" t="s">
        <v>594</v>
      </c>
      <c r="AN312" t="s">
        <v>3187</v>
      </c>
      <c r="AO312" t="s">
        <v>6346</v>
      </c>
      <c r="AP312" t="s">
        <v>6347</v>
      </c>
      <c r="AQ312" t="s">
        <v>74</v>
      </c>
      <c r="AR312" t="s">
        <v>6348</v>
      </c>
      <c r="AS312" t="s">
        <v>6349</v>
      </c>
      <c r="AT312" t="s">
        <v>5678</v>
      </c>
      <c r="AU312">
        <v>2016</v>
      </c>
      <c r="AV312">
        <v>52</v>
      </c>
      <c r="AW312">
        <v>5</v>
      </c>
      <c r="AX312" t="s">
        <v>74</v>
      </c>
      <c r="AY312" t="s">
        <v>74</v>
      </c>
      <c r="AZ312" t="s">
        <v>74</v>
      </c>
      <c r="BA312" t="s">
        <v>74</v>
      </c>
      <c r="BB312">
        <v>553</v>
      </c>
      <c r="BC312">
        <v>561</v>
      </c>
      <c r="BD312" t="s">
        <v>74</v>
      </c>
      <c r="BE312" t="s">
        <v>6361</v>
      </c>
      <c r="BF312" t="str">
        <f>HYPERLINK("http://dx.doi.org/10.1017/S0032247416000279","http://dx.doi.org/10.1017/S0032247416000279")</f>
        <v>http://dx.doi.org/10.1017/S0032247416000279</v>
      </c>
      <c r="BG312" t="s">
        <v>74</v>
      </c>
      <c r="BH312" t="s">
        <v>74</v>
      </c>
      <c r="BI312">
        <v>9</v>
      </c>
      <c r="BJ312" t="s">
        <v>6351</v>
      </c>
      <c r="BK312" t="s">
        <v>156</v>
      </c>
      <c r="BL312" t="s">
        <v>532</v>
      </c>
      <c r="BM312" t="s">
        <v>6352</v>
      </c>
      <c r="BN312" t="s">
        <v>74</v>
      </c>
      <c r="BO312" t="s">
        <v>74</v>
      </c>
      <c r="BP312" t="s">
        <v>74</v>
      </c>
      <c r="BQ312" t="s">
        <v>74</v>
      </c>
      <c r="BR312" t="s">
        <v>105</v>
      </c>
      <c r="BS312" t="s">
        <v>6362</v>
      </c>
      <c r="BT312" t="str">
        <f>HYPERLINK("https%3A%2F%2Fwww.webofscience.com%2Fwos%2Fwoscc%2Ffull-record%2FWOS:000384237900005","View Full Record in Web of Science")</f>
        <v>View Full Record in Web of Science</v>
      </c>
    </row>
    <row r="313" spans="1:72" x14ac:dyDescent="0.15">
      <c r="A313" t="s">
        <v>72</v>
      </c>
      <c r="B313" t="s">
        <v>6363</v>
      </c>
      <c r="C313" t="s">
        <v>74</v>
      </c>
      <c r="D313" t="s">
        <v>74</v>
      </c>
      <c r="E313" t="s">
        <v>74</v>
      </c>
      <c r="F313" t="s">
        <v>6364</v>
      </c>
      <c r="G313" t="s">
        <v>74</v>
      </c>
      <c r="H313" t="s">
        <v>74</v>
      </c>
      <c r="I313" t="s">
        <v>6365</v>
      </c>
      <c r="J313" t="s">
        <v>6337</v>
      </c>
      <c r="K313" t="s">
        <v>74</v>
      </c>
      <c r="L313" t="s">
        <v>74</v>
      </c>
      <c r="M313" t="s">
        <v>78</v>
      </c>
      <c r="N313" t="s">
        <v>79</v>
      </c>
      <c r="O313" t="s">
        <v>74</v>
      </c>
      <c r="P313" t="s">
        <v>74</v>
      </c>
      <c r="Q313" t="s">
        <v>74</v>
      </c>
      <c r="R313" t="s">
        <v>74</v>
      </c>
      <c r="S313" t="s">
        <v>74</v>
      </c>
      <c r="T313" t="s">
        <v>74</v>
      </c>
      <c r="U313" t="s">
        <v>6366</v>
      </c>
      <c r="V313" t="s">
        <v>6367</v>
      </c>
      <c r="W313" t="s">
        <v>6368</v>
      </c>
      <c r="X313" t="s">
        <v>6369</v>
      </c>
      <c r="Y313" t="s">
        <v>6370</v>
      </c>
      <c r="Z313" t="s">
        <v>6371</v>
      </c>
      <c r="AA313" t="s">
        <v>6372</v>
      </c>
      <c r="AB313" t="s">
        <v>74</v>
      </c>
      <c r="AC313" t="s">
        <v>6373</v>
      </c>
      <c r="AD313" t="s">
        <v>6374</v>
      </c>
      <c r="AE313" t="s">
        <v>6375</v>
      </c>
      <c r="AF313" t="s">
        <v>74</v>
      </c>
      <c r="AG313">
        <v>192</v>
      </c>
      <c r="AH313">
        <v>3</v>
      </c>
      <c r="AI313">
        <v>3</v>
      </c>
      <c r="AJ313">
        <v>0</v>
      </c>
      <c r="AK313">
        <v>4</v>
      </c>
      <c r="AL313" t="s">
        <v>2670</v>
      </c>
      <c r="AM313" t="s">
        <v>594</v>
      </c>
      <c r="AN313" t="s">
        <v>3187</v>
      </c>
      <c r="AO313" t="s">
        <v>6346</v>
      </c>
      <c r="AP313" t="s">
        <v>6347</v>
      </c>
      <c r="AQ313" t="s">
        <v>74</v>
      </c>
      <c r="AR313" t="s">
        <v>6348</v>
      </c>
      <c r="AS313" t="s">
        <v>6349</v>
      </c>
      <c r="AT313" t="s">
        <v>5678</v>
      </c>
      <c r="AU313">
        <v>2016</v>
      </c>
      <c r="AV313">
        <v>52</v>
      </c>
      <c r="AW313">
        <v>5</v>
      </c>
      <c r="AX313" t="s">
        <v>74</v>
      </c>
      <c r="AY313" t="s">
        <v>74</v>
      </c>
      <c r="AZ313" t="s">
        <v>74</v>
      </c>
      <c r="BA313" t="s">
        <v>74</v>
      </c>
      <c r="BB313">
        <v>578</v>
      </c>
      <c r="BC313">
        <v>600</v>
      </c>
      <c r="BD313" t="s">
        <v>74</v>
      </c>
      <c r="BE313" t="s">
        <v>6376</v>
      </c>
      <c r="BF313" t="str">
        <f>HYPERLINK("http://dx.doi.org/10.1017/S0032247416000449","http://dx.doi.org/10.1017/S0032247416000449")</f>
        <v>http://dx.doi.org/10.1017/S0032247416000449</v>
      </c>
      <c r="BG313" t="s">
        <v>74</v>
      </c>
      <c r="BH313" t="s">
        <v>74</v>
      </c>
      <c r="BI313">
        <v>23</v>
      </c>
      <c r="BJ313" t="s">
        <v>6351</v>
      </c>
      <c r="BK313" t="s">
        <v>6377</v>
      </c>
      <c r="BL313" t="s">
        <v>532</v>
      </c>
      <c r="BM313" t="s">
        <v>6352</v>
      </c>
      <c r="BN313" t="s">
        <v>74</v>
      </c>
      <c r="BO313" t="s">
        <v>74</v>
      </c>
      <c r="BP313" t="s">
        <v>74</v>
      </c>
      <c r="BQ313" t="s">
        <v>74</v>
      </c>
      <c r="BR313" t="s">
        <v>105</v>
      </c>
      <c r="BS313" t="s">
        <v>6378</v>
      </c>
      <c r="BT313" t="str">
        <f>HYPERLINK("https%3A%2F%2Fwww.webofscience.com%2Fwos%2Fwoscc%2Ffull-record%2FWOS:000384237900007","View Full Record in Web of Science")</f>
        <v>View Full Record in Web of Science</v>
      </c>
    </row>
    <row r="314" spans="1:72" x14ac:dyDescent="0.15">
      <c r="A314" t="s">
        <v>72</v>
      </c>
      <c r="B314" t="s">
        <v>6379</v>
      </c>
      <c r="C314" t="s">
        <v>74</v>
      </c>
      <c r="D314" t="s">
        <v>74</v>
      </c>
      <c r="E314" t="s">
        <v>74</v>
      </c>
      <c r="F314" t="s">
        <v>6380</v>
      </c>
      <c r="G314" t="s">
        <v>74</v>
      </c>
      <c r="H314" t="s">
        <v>74</v>
      </c>
      <c r="I314" t="s">
        <v>6381</v>
      </c>
      <c r="J314" t="s">
        <v>6382</v>
      </c>
      <c r="K314" t="s">
        <v>74</v>
      </c>
      <c r="L314" t="s">
        <v>74</v>
      </c>
      <c r="M314" t="s">
        <v>78</v>
      </c>
      <c r="N314" t="s">
        <v>2730</v>
      </c>
      <c r="O314" t="s">
        <v>6383</v>
      </c>
      <c r="P314" t="s">
        <v>6384</v>
      </c>
      <c r="Q314" t="s">
        <v>6385</v>
      </c>
      <c r="R314" t="s">
        <v>74</v>
      </c>
      <c r="S314" t="s">
        <v>74</v>
      </c>
      <c r="T314" t="s">
        <v>6386</v>
      </c>
      <c r="U314" t="s">
        <v>6387</v>
      </c>
      <c r="V314" t="s">
        <v>6388</v>
      </c>
      <c r="W314" t="s">
        <v>6389</v>
      </c>
      <c r="X314" t="s">
        <v>6390</v>
      </c>
      <c r="Y314" t="s">
        <v>6391</v>
      </c>
      <c r="Z314" t="s">
        <v>6392</v>
      </c>
      <c r="AA314" t="s">
        <v>6393</v>
      </c>
      <c r="AB314" t="s">
        <v>6394</v>
      </c>
      <c r="AC314" t="s">
        <v>74</v>
      </c>
      <c r="AD314" t="s">
        <v>74</v>
      </c>
      <c r="AE314" t="s">
        <v>74</v>
      </c>
      <c r="AF314" t="s">
        <v>74</v>
      </c>
      <c r="AG314">
        <v>16</v>
      </c>
      <c r="AH314">
        <v>3</v>
      </c>
      <c r="AI314">
        <v>3</v>
      </c>
      <c r="AJ314">
        <v>0</v>
      </c>
      <c r="AK314">
        <v>5</v>
      </c>
      <c r="AL314" t="s">
        <v>92</v>
      </c>
      <c r="AM314" t="s">
        <v>93</v>
      </c>
      <c r="AN314" t="s">
        <v>94</v>
      </c>
      <c r="AO314" t="s">
        <v>6395</v>
      </c>
      <c r="AP314" t="s">
        <v>6396</v>
      </c>
      <c r="AQ314" t="s">
        <v>74</v>
      </c>
      <c r="AR314" t="s">
        <v>6397</v>
      </c>
      <c r="AS314" t="s">
        <v>6398</v>
      </c>
      <c r="AT314" t="s">
        <v>5678</v>
      </c>
      <c r="AU314">
        <v>2016</v>
      </c>
      <c r="AV314">
        <v>10</v>
      </c>
      <c r="AW314">
        <v>3</v>
      </c>
      <c r="AX314" t="s">
        <v>74</v>
      </c>
      <c r="AY314" t="s">
        <v>74</v>
      </c>
      <c r="AZ314" t="s">
        <v>74</v>
      </c>
      <c r="BA314" t="s">
        <v>74</v>
      </c>
      <c r="BB314">
        <v>382</v>
      </c>
      <c r="BC314">
        <v>394</v>
      </c>
      <c r="BD314" t="s">
        <v>74</v>
      </c>
      <c r="BE314" t="s">
        <v>6399</v>
      </c>
      <c r="BF314" t="str">
        <f>HYPERLINK("http://dx.doi.org/10.1016/j.polar.2016.06.001","http://dx.doi.org/10.1016/j.polar.2016.06.001")</f>
        <v>http://dx.doi.org/10.1016/j.polar.2016.06.001</v>
      </c>
      <c r="BG314" t="s">
        <v>74</v>
      </c>
      <c r="BH314" t="s">
        <v>74</v>
      </c>
      <c r="BI314">
        <v>13</v>
      </c>
      <c r="BJ314" t="s">
        <v>6223</v>
      </c>
      <c r="BK314" t="s">
        <v>2548</v>
      </c>
      <c r="BL314" t="s">
        <v>6224</v>
      </c>
      <c r="BM314" t="s">
        <v>6400</v>
      </c>
      <c r="BN314" t="s">
        <v>74</v>
      </c>
      <c r="BO314" t="s">
        <v>285</v>
      </c>
      <c r="BP314" t="s">
        <v>74</v>
      </c>
      <c r="BQ314" t="s">
        <v>74</v>
      </c>
      <c r="BR314" t="s">
        <v>105</v>
      </c>
      <c r="BS314" t="s">
        <v>6401</v>
      </c>
      <c r="BT314" t="str">
        <f>HYPERLINK("https%3A%2F%2Fwww.webofscience.com%2Fwos%2Fwoscc%2Ffull-record%2FWOS:000384861800023","View Full Record in Web of Science")</f>
        <v>View Full Record in Web of Science</v>
      </c>
    </row>
    <row r="315" spans="1:72" x14ac:dyDescent="0.15">
      <c r="A315" t="s">
        <v>72</v>
      </c>
      <c r="B315" t="s">
        <v>6402</v>
      </c>
      <c r="C315" t="s">
        <v>74</v>
      </c>
      <c r="D315" t="s">
        <v>74</v>
      </c>
      <c r="E315" t="s">
        <v>74</v>
      </c>
      <c r="F315" t="s">
        <v>6403</v>
      </c>
      <c r="G315" t="s">
        <v>74</v>
      </c>
      <c r="H315" t="s">
        <v>74</v>
      </c>
      <c r="I315" t="s">
        <v>6404</v>
      </c>
      <c r="J315" t="s">
        <v>6382</v>
      </c>
      <c r="K315" t="s">
        <v>74</v>
      </c>
      <c r="L315" t="s">
        <v>74</v>
      </c>
      <c r="M315" t="s">
        <v>78</v>
      </c>
      <c r="N315" t="s">
        <v>2730</v>
      </c>
      <c r="O315" t="s">
        <v>6383</v>
      </c>
      <c r="P315" t="s">
        <v>6384</v>
      </c>
      <c r="Q315" t="s">
        <v>6385</v>
      </c>
      <c r="R315" t="s">
        <v>74</v>
      </c>
      <c r="S315" t="s">
        <v>74</v>
      </c>
      <c r="T315" t="s">
        <v>6405</v>
      </c>
      <c r="U315" t="s">
        <v>6406</v>
      </c>
      <c r="V315" t="s">
        <v>6407</v>
      </c>
      <c r="W315" t="s">
        <v>6408</v>
      </c>
      <c r="X315" t="s">
        <v>6409</v>
      </c>
      <c r="Y315" t="s">
        <v>6410</v>
      </c>
      <c r="Z315" t="s">
        <v>6411</v>
      </c>
      <c r="AA315" t="s">
        <v>6412</v>
      </c>
      <c r="AB315" t="s">
        <v>74</v>
      </c>
      <c r="AC315" t="s">
        <v>74</v>
      </c>
      <c r="AD315" t="s">
        <v>74</v>
      </c>
      <c r="AE315" t="s">
        <v>74</v>
      </c>
      <c r="AF315" t="s">
        <v>74</v>
      </c>
      <c r="AG315">
        <v>32</v>
      </c>
      <c r="AH315">
        <v>9</v>
      </c>
      <c r="AI315">
        <v>9</v>
      </c>
      <c r="AJ315">
        <v>0</v>
      </c>
      <c r="AK315">
        <v>12</v>
      </c>
      <c r="AL315" t="s">
        <v>92</v>
      </c>
      <c r="AM315" t="s">
        <v>93</v>
      </c>
      <c r="AN315" t="s">
        <v>94</v>
      </c>
      <c r="AO315" t="s">
        <v>6395</v>
      </c>
      <c r="AP315" t="s">
        <v>6396</v>
      </c>
      <c r="AQ315" t="s">
        <v>74</v>
      </c>
      <c r="AR315" t="s">
        <v>6397</v>
      </c>
      <c r="AS315" t="s">
        <v>6398</v>
      </c>
      <c r="AT315" t="s">
        <v>5678</v>
      </c>
      <c r="AU315">
        <v>2016</v>
      </c>
      <c r="AV315">
        <v>10</v>
      </c>
      <c r="AW315">
        <v>3</v>
      </c>
      <c r="AX315" t="s">
        <v>74</v>
      </c>
      <c r="AY315" t="s">
        <v>74</v>
      </c>
      <c r="AZ315" t="s">
        <v>74</v>
      </c>
      <c r="BA315" t="s">
        <v>74</v>
      </c>
      <c r="BB315">
        <v>433</v>
      </c>
      <c r="BC315">
        <v>440</v>
      </c>
      <c r="BD315" t="s">
        <v>74</v>
      </c>
      <c r="BE315" t="s">
        <v>6413</v>
      </c>
      <c r="BF315" t="str">
        <f>HYPERLINK("http://dx.doi.org/10.1016/j.polar.2016.06.005","http://dx.doi.org/10.1016/j.polar.2016.06.005")</f>
        <v>http://dx.doi.org/10.1016/j.polar.2016.06.005</v>
      </c>
      <c r="BG315" t="s">
        <v>74</v>
      </c>
      <c r="BH315" t="s">
        <v>74</v>
      </c>
      <c r="BI315">
        <v>8</v>
      </c>
      <c r="BJ315" t="s">
        <v>6223</v>
      </c>
      <c r="BK315" t="s">
        <v>2548</v>
      </c>
      <c r="BL315" t="s">
        <v>6224</v>
      </c>
      <c r="BM315" t="s">
        <v>6400</v>
      </c>
      <c r="BN315" t="s">
        <v>74</v>
      </c>
      <c r="BO315" t="s">
        <v>104</v>
      </c>
      <c r="BP315" t="s">
        <v>74</v>
      </c>
      <c r="BQ315" t="s">
        <v>74</v>
      </c>
      <c r="BR315" t="s">
        <v>105</v>
      </c>
      <c r="BS315" t="s">
        <v>6414</v>
      </c>
      <c r="BT315" t="str">
        <f>HYPERLINK("https%3A%2F%2Fwww.webofscience.com%2Fwos%2Fwoscc%2Ffull-record%2FWOS:000384861800028","View Full Record in Web of Science")</f>
        <v>View Full Record in Web of Science</v>
      </c>
    </row>
    <row r="316" spans="1:72" x14ac:dyDescent="0.15">
      <c r="A316" t="s">
        <v>72</v>
      </c>
      <c r="B316" t="s">
        <v>6415</v>
      </c>
      <c r="C316" t="s">
        <v>74</v>
      </c>
      <c r="D316" t="s">
        <v>74</v>
      </c>
      <c r="E316" t="s">
        <v>74</v>
      </c>
      <c r="F316" t="s">
        <v>6416</v>
      </c>
      <c r="G316" t="s">
        <v>74</v>
      </c>
      <c r="H316" t="s">
        <v>74</v>
      </c>
      <c r="I316" t="s">
        <v>6417</v>
      </c>
      <c r="J316" t="s">
        <v>3700</v>
      </c>
      <c r="K316" t="s">
        <v>74</v>
      </c>
      <c r="L316" t="s">
        <v>74</v>
      </c>
      <c r="M316" t="s">
        <v>78</v>
      </c>
      <c r="N316" t="s">
        <v>79</v>
      </c>
      <c r="O316" t="s">
        <v>74</v>
      </c>
      <c r="P316" t="s">
        <v>74</v>
      </c>
      <c r="Q316" t="s">
        <v>74</v>
      </c>
      <c r="R316" t="s">
        <v>74</v>
      </c>
      <c r="S316" t="s">
        <v>74</v>
      </c>
      <c r="T316" t="s">
        <v>6418</v>
      </c>
      <c r="U316" t="s">
        <v>6419</v>
      </c>
      <c r="V316" t="s">
        <v>6420</v>
      </c>
      <c r="W316" t="s">
        <v>6421</v>
      </c>
      <c r="X316" t="s">
        <v>74</v>
      </c>
      <c r="Y316" t="s">
        <v>6422</v>
      </c>
      <c r="Z316" t="s">
        <v>6423</v>
      </c>
      <c r="AA316" t="s">
        <v>6424</v>
      </c>
      <c r="AB316" t="s">
        <v>6425</v>
      </c>
      <c r="AC316" t="s">
        <v>74</v>
      </c>
      <c r="AD316" t="s">
        <v>74</v>
      </c>
      <c r="AE316" t="s">
        <v>74</v>
      </c>
      <c r="AF316" t="s">
        <v>74</v>
      </c>
      <c r="AG316">
        <v>127</v>
      </c>
      <c r="AH316">
        <v>34</v>
      </c>
      <c r="AI316">
        <v>40</v>
      </c>
      <c r="AJ316">
        <v>0</v>
      </c>
      <c r="AK316">
        <v>18</v>
      </c>
      <c r="AL316" t="s">
        <v>92</v>
      </c>
      <c r="AM316" t="s">
        <v>93</v>
      </c>
      <c r="AN316" t="s">
        <v>94</v>
      </c>
      <c r="AO316" t="s">
        <v>3713</v>
      </c>
      <c r="AP316" t="s">
        <v>3714</v>
      </c>
      <c r="AQ316" t="s">
        <v>74</v>
      </c>
      <c r="AR316" t="s">
        <v>3715</v>
      </c>
      <c r="AS316" t="s">
        <v>3716</v>
      </c>
      <c r="AT316" t="s">
        <v>5678</v>
      </c>
      <c r="AU316">
        <v>2016</v>
      </c>
      <c r="AV316">
        <v>37</v>
      </c>
      <c r="AW316" t="s">
        <v>74</v>
      </c>
      <c r="AX316" t="s">
        <v>74</v>
      </c>
      <c r="AY316" t="s">
        <v>74</v>
      </c>
      <c r="AZ316" t="s">
        <v>74</v>
      </c>
      <c r="BA316" t="s">
        <v>74</v>
      </c>
      <c r="BB316">
        <v>426</v>
      </c>
      <c r="BC316">
        <v>448</v>
      </c>
      <c r="BD316" t="s">
        <v>74</v>
      </c>
      <c r="BE316" t="s">
        <v>6426</v>
      </c>
      <c r="BF316" t="str">
        <f>HYPERLINK("http://dx.doi.org/10.1016/j.gr.2015.10.006","http://dx.doi.org/10.1016/j.gr.2015.10.006")</f>
        <v>http://dx.doi.org/10.1016/j.gr.2015.10.006</v>
      </c>
      <c r="BG316" t="s">
        <v>74</v>
      </c>
      <c r="BH316" t="s">
        <v>74</v>
      </c>
      <c r="BI316">
        <v>23</v>
      </c>
      <c r="BJ316" t="s">
        <v>352</v>
      </c>
      <c r="BK316" t="s">
        <v>156</v>
      </c>
      <c r="BL316" t="s">
        <v>177</v>
      </c>
      <c r="BM316" t="s">
        <v>6427</v>
      </c>
      <c r="BN316" t="s">
        <v>74</v>
      </c>
      <c r="BO316" t="s">
        <v>74</v>
      </c>
      <c r="BP316" t="s">
        <v>74</v>
      </c>
      <c r="BQ316" t="s">
        <v>74</v>
      </c>
      <c r="BR316" t="s">
        <v>105</v>
      </c>
      <c r="BS316" t="s">
        <v>6428</v>
      </c>
      <c r="BT316" t="str">
        <f>HYPERLINK("https%3A%2F%2Fwww.webofscience.com%2Fwos%2Fwoscc%2Ffull-record%2FWOS:000384703200027","View Full Record in Web of Science")</f>
        <v>View Full Record in Web of Science</v>
      </c>
    </row>
    <row r="317" spans="1:72" x14ac:dyDescent="0.15">
      <c r="A317" t="s">
        <v>72</v>
      </c>
      <c r="B317" t="s">
        <v>6429</v>
      </c>
      <c r="C317" t="s">
        <v>74</v>
      </c>
      <c r="D317" t="s">
        <v>74</v>
      </c>
      <c r="E317" t="s">
        <v>74</v>
      </c>
      <c r="F317" t="s">
        <v>6430</v>
      </c>
      <c r="G317" t="s">
        <v>74</v>
      </c>
      <c r="H317" t="s">
        <v>74</v>
      </c>
      <c r="I317" t="s">
        <v>6431</v>
      </c>
      <c r="J317" t="s">
        <v>2512</v>
      </c>
      <c r="K317" t="s">
        <v>74</v>
      </c>
      <c r="L317" t="s">
        <v>74</v>
      </c>
      <c r="M317" t="s">
        <v>78</v>
      </c>
      <c r="N317" t="s">
        <v>79</v>
      </c>
      <c r="O317" t="s">
        <v>74</v>
      </c>
      <c r="P317" t="s">
        <v>74</v>
      </c>
      <c r="Q317" t="s">
        <v>74</v>
      </c>
      <c r="R317" t="s">
        <v>74</v>
      </c>
      <c r="S317" t="s">
        <v>74</v>
      </c>
      <c r="T317" t="s">
        <v>6432</v>
      </c>
      <c r="U317" t="s">
        <v>6433</v>
      </c>
      <c r="V317" t="s">
        <v>6434</v>
      </c>
      <c r="W317" t="s">
        <v>6435</v>
      </c>
      <c r="X317" t="s">
        <v>6436</v>
      </c>
      <c r="Y317" t="s">
        <v>6437</v>
      </c>
      <c r="Z317" t="s">
        <v>6438</v>
      </c>
      <c r="AA317" t="s">
        <v>6439</v>
      </c>
      <c r="AB317" t="s">
        <v>6440</v>
      </c>
      <c r="AC317" t="s">
        <v>6441</v>
      </c>
      <c r="AD317" t="s">
        <v>6442</v>
      </c>
      <c r="AE317" t="s">
        <v>6443</v>
      </c>
      <c r="AF317" t="s">
        <v>74</v>
      </c>
      <c r="AG317">
        <v>52</v>
      </c>
      <c r="AH317">
        <v>1</v>
      </c>
      <c r="AI317">
        <v>1</v>
      </c>
      <c r="AJ317">
        <v>0</v>
      </c>
      <c r="AK317">
        <v>13</v>
      </c>
      <c r="AL317" t="s">
        <v>149</v>
      </c>
      <c r="AM317" t="s">
        <v>123</v>
      </c>
      <c r="AN317" t="s">
        <v>150</v>
      </c>
      <c r="AO317" t="s">
        <v>2525</v>
      </c>
      <c r="AP317" t="s">
        <v>2526</v>
      </c>
      <c r="AQ317" t="s">
        <v>74</v>
      </c>
      <c r="AR317" t="s">
        <v>2527</v>
      </c>
      <c r="AS317" t="s">
        <v>2528</v>
      </c>
      <c r="AT317" t="s">
        <v>5678</v>
      </c>
      <c r="AU317">
        <v>2016</v>
      </c>
      <c r="AV317">
        <v>121</v>
      </c>
      <c r="AW317">
        <v>17</v>
      </c>
      <c r="AX317" t="s">
        <v>74</v>
      </c>
      <c r="AY317" t="s">
        <v>74</v>
      </c>
      <c r="AZ317" t="s">
        <v>74</v>
      </c>
      <c r="BA317" t="s">
        <v>74</v>
      </c>
      <c r="BB317">
        <v>9977</v>
      </c>
      <c r="BC317">
        <v>9997</v>
      </c>
      <c r="BD317" t="s">
        <v>74</v>
      </c>
      <c r="BE317" t="s">
        <v>6444</v>
      </c>
      <c r="BF317" t="str">
        <f>HYPERLINK("http://dx.doi.org/10.1002/2015JD024596","http://dx.doi.org/10.1002/2015JD024596")</f>
        <v>http://dx.doi.org/10.1002/2015JD024596</v>
      </c>
      <c r="BG317" t="s">
        <v>74</v>
      </c>
      <c r="BH317" t="s">
        <v>74</v>
      </c>
      <c r="BI317">
        <v>21</v>
      </c>
      <c r="BJ317" t="s">
        <v>2482</v>
      </c>
      <c r="BK317" t="s">
        <v>156</v>
      </c>
      <c r="BL317" t="s">
        <v>2482</v>
      </c>
      <c r="BM317" t="s">
        <v>6445</v>
      </c>
      <c r="BN317" t="s">
        <v>74</v>
      </c>
      <c r="BO317" t="s">
        <v>1142</v>
      </c>
      <c r="BP317" t="s">
        <v>74</v>
      </c>
      <c r="BQ317" t="s">
        <v>74</v>
      </c>
      <c r="BR317" t="s">
        <v>105</v>
      </c>
      <c r="BS317" t="s">
        <v>6446</v>
      </c>
      <c r="BT317" t="str">
        <f>HYPERLINK("https%3A%2F%2Fwww.webofscience.com%2Fwos%2Fwoscc%2Ffull-record%2FWOS:000384823000028","View Full Record in Web of Science")</f>
        <v>View Full Record in Web of Science</v>
      </c>
    </row>
    <row r="318" spans="1:72" x14ac:dyDescent="0.15">
      <c r="A318" t="s">
        <v>72</v>
      </c>
      <c r="B318" t="s">
        <v>6447</v>
      </c>
      <c r="C318" t="s">
        <v>74</v>
      </c>
      <c r="D318" t="s">
        <v>74</v>
      </c>
      <c r="E318" t="s">
        <v>74</v>
      </c>
      <c r="F318" t="s">
        <v>6448</v>
      </c>
      <c r="G318" t="s">
        <v>74</v>
      </c>
      <c r="H318" t="s">
        <v>74</v>
      </c>
      <c r="I318" t="s">
        <v>6449</v>
      </c>
      <c r="J318" t="s">
        <v>6450</v>
      </c>
      <c r="K318" t="s">
        <v>74</v>
      </c>
      <c r="L318" t="s">
        <v>74</v>
      </c>
      <c r="M318" t="s">
        <v>78</v>
      </c>
      <c r="N318" t="s">
        <v>79</v>
      </c>
      <c r="O318" t="s">
        <v>74</v>
      </c>
      <c r="P318" t="s">
        <v>74</v>
      </c>
      <c r="Q318" t="s">
        <v>74</v>
      </c>
      <c r="R318" t="s">
        <v>74</v>
      </c>
      <c r="S318" t="s">
        <v>74</v>
      </c>
      <c r="T318" t="s">
        <v>6451</v>
      </c>
      <c r="U318" t="s">
        <v>6452</v>
      </c>
      <c r="V318" t="s">
        <v>6453</v>
      </c>
      <c r="W318" t="s">
        <v>6454</v>
      </c>
      <c r="X318" t="s">
        <v>6455</v>
      </c>
      <c r="Y318" t="s">
        <v>6456</v>
      </c>
      <c r="Z318" t="s">
        <v>6457</v>
      </c>
      <c r="AA318" t="s">
        <v>74</v>
      </c>
      <c r="AB318" t="s">
        <v>74</v>
      </c>
      <c r="AC318" t="s">
        <v>74</v>
      </c>
      <c r="AD318" t="s">
        <v>74</v>
      </c>
      <c r="AE318" t="s">
        <v>74</v>
      </c>
      <c r="AF318" t="s">
        <v>74</v>
      </c>
      <c r="AG318">
        <v>38</v>
      </c>
      <c r="AH318">
        <v>7</v>
      </c>
      <c r="AI318">
        <v>7</v>
      </c>
      <c r="AJ318">
        <v>0</v>
      </c>
      <c r="AK318">
        <v>13</v>
      </c>
      <c r="AL318" t="s">
        <v>6458</v>
      </c>
      <c r="AM318" t="s">
        <v>6459</v>
      </c>
      <c r="AN318" t="s">
        <v>6460</v>
      </c>
      <c r="AO318" t="s">
        <v>6461</v>
      </c>
      <c r="AP318" t="s">
        <v>6462</v>
      </c>
      <c r="AQ318" t="s">
        <v>74</v>
      </c>
      <c r="AR318" t="s">
        <v>6463</v>
      </c>
      <c r="AS318" t="s">
        <v>6464</v>
      </c>
      <c r="AT318" t="s">
        <v>5678</v>
      </c>
      <c r="AU318">
        <v>2016</v>
      </c>
      <c r="AV318">
        <v>78</v>
      </c>
      <c r="AW318">
        <v>9</v>
      </c>
      <c r="AX318" t="s">
        <v>74</v>
      </c>
      <c r="AY318" t="s">
        <v>74</v>
      </c>
      <c r="AZ318" t="s">
        <v>74</v>
      </c>
      <c r="BA318" t="s">
        <v>74</v>
      </c>
      <c r="BB318">
        <v>1457</v>
      </c>
      <c r="BC318">
        <v>1464</v>
      </c>
      <c r="BD318" t="s">
        <v>74</v>
      </c>
      <c r="BE318" t="s">
        <v>6465</v>
      </c>
      <c r="BF318" t="str">
        <f>HYPERLINK("http://dx.doi.org/10.1292/jvms.16-0076","http://dx.doi.org/10.1292/jvms.16-0076")</f>
        <v>http://dx.doi.org/10.1292/jvms.16-0076</v>
      </c>
      <c r="BG318" t="s">
        <v>74</v>
      </c>
      <c r="BH318" t="s">
        <v>74</v>
      </c>
      <c r="BI318">
        <v>8</v>
      </c>
      <c r="BJ318" t="s">
        <v>3008</v>
      </c>
      <c r="BK318" t="s">
        <v>156</v>
      </c>
      <c r="BL318" t="s">
        <v>3008</v>
      </c>
      <c r="BM318" t="s">
        <v>6466</v>
      </c>
      <c r="BN318">
        <v>27320816</v>
      </c>
      <c r="BO318" t="s">
        <v>1083</v>
      </c>
      <c r="BP318" t="s">
        <v>74</v>
      </c>
      <c r="BQ318" t="s">
        <v>74</v>
      </c>
      <c r="BR318" t="s">
        <v>105</v>
      </c>
      <c r="BS318" t="s">
        <v>6467</v>
      </c>
      <c r="BT318" t="str">
        <f>HYPERLINK("https%3A%2F%2Fwww.webofscience.com%2Fwos%2Fwoscc%2Ffull-record%2FWOS:000384784600010","View Full Record in Web of Science")</f>
        <v>View Full Record in Web of Science</v>
      </c>
    </row>
    <row r="319" spans="1:72" x14ac:dyDescent="0.15">
      <c r="A319" t="s">
        <v>72</v>
      </c>
      <c r="B319" t="s">
        <v>6468</v>
      </c>
      <c r="C319" t="s">
        <v>74</v>
      </c>
      <c r="D319" t="s">
        <v>74</v>
      </c>
      <c r="E319" t="s">
        <v>74</v>
      </c>
      <c r="F319" t="s">
        <v>6469</v>
      </c>
      <c r="G319" t="s">
        <v>74</v>
      </c>
      <c r="H319" t="s">
        <v>74</v>
      </c>
      <c r="I319" t="s">
        <v>6470</v>
      </c>
      <c r="J319" t="s">
        <v>631</v>
      </c>
      <c r="K319" t="s">
        <v>74</v>
      </c>
      <c r="L319" t="s">
        <v>74</v>
      </c>
      <c r="M319" t="s">
        <v>78</v>
      </c>
      <c r="N319" t="s">
        <v>79</v>
      </c>
      <c r="O319" t="s">
        <v>74</v>
      </c>
      <c r="P319" t="s">
        <v>74</v>
      </c>
      <c r="Q319" t="s">
        <v>74</v>
      </c>
      <c r="R319" t="s">
        <v>74</v>
      </c>
      <c r="S319" t="s">
        <v>74</v>
      </c>
      <c r="T319" t="s">
        <v>6471</v>
      </c>
      <c r="U319" t="s">
        <v>6472</v>
      </c>
      <c r="V319" t="s">
        <v>6473</v>
      </c>
      <c r="W319" t="s">
        <v>6474</v>
      </c>
      <c r="X319" t="s">
        <v>6475</v>
      </c>
      <c r="Y319" t="s">
        <v>6476</v>
      </c>
      <c r="Z319" t="s">
        <v>6477</v>
      </c>
      <c r="AA319" t="s">
        <v>6478</v>
      </c>
      <c r="AB319" t="s">
        <v>6479</v>
      </c>
      <c r="AC319" t="s">
        <v>6480</v>
      </c>
      <c r="AD319" t="s">
        <v>6481</v>
      </c>
      <c r="AE319" t="s">
        <v>6482</v>
      </c>
      <c r="AF319" t="s">
        <v>74</v>
      </c>
      <c r="AG319">
        <v>69</v>
      </c>
      <c r="AH319">
        <v>16</v>
      </c>
      <c r="AI319">
        <v>17</v>
      </c>
      <c r="AJ319">
        <v>0</v>
      </c>
      <c r="AK319">
        <v>34</v>
      </c>
      <c r="AL319" t="s">
        <v>644</v>
      </c>
      <c r="AM319" t="s">
        <v>594</v>
      </c>
      <c r="AN319" t="s">
        <v>645</v>
      </c>
      <c r="AO319" t="s">
        <v>646</v>
      </c>
      <c r="AP319" t="s">
        <v>647</v>
      </c>
      <c r="AQ319" t="s">
        <v>74</v>
      </c>
      <c r="AR319" t="s">
        <v>648</v>
      </c>
      <c r="AS319" t="s">
        <v>649</v>
      </c>
      <c r="AT319" t="s">
        <v>5678</v>
      </c>
      <c r="AU319">
        <v>2016</v>
      </c>
      <c r="AV319">
        <v>39</v>
      </c>
      <c r="AW319">
        <v>9</v>
      </c>
      <c r="AX319" t="s">
        <v>74</v>
      </c>
      <c r="AY319" t="s">
        <v>74</v>
      </c>
      <c r="AZ319" t="s">
        <v>74</v>
      </c>
      <c r="BA319" t="s">
        <v>74</v>
      </c>
      <c r="BB319">
        <v>1515</v>
      </c>
      <c r="BC319">
        <v>1526</v>
      </c>
      <c r="BD319" t="s">
        <v>74</v>
      </c>
      <c r="BE319" t="s">
        <v>6483</v>
      </c>
      <c r="BF319" t="str">
        <f>HYPERLINK("http://dx.doi.org/10.1007/s00300-015-1877-7","http://dx.doi.org/10.1007/s00300-015-1877-7")</f>
        <v>http://dx.doi.org/10.1007/s00300-015-1877-7</v>
      </c>
      <c r="BG319" t="s">
        <v>74</v>
      </c>
      <c r="BH319" t="s">
        <v>74</v>
      </c>
      <c r="BI319">
        <v>12</v>
      </c>
      <c r="BJ319" t="s">
        <v>652</v>
      </c>
      <c r="BK319" t="s">
        <v>156</v>
      </c>
      <c r="BL319" t="s">
        <v>653</v>
      </c>
      <c r="BM319" t="s">
        <v>6484</v>
      </c>
      <c r="BN319" t="s">
        <v>74</v>
      </c>
      <c r="BO319" t="s">
        <v>104</v>
      </c>
      <c r="BP319" t="s">
        <v>74</v>
      </c>
      <c r="BQ319" t="s">
        <v>74</v>
      </c>
      <c r="BR319" t="s">
        <v>105</v>
      </c>
      <c r="BS319" t="s">
        <v>6485</v>
      </c>
      <c r="BT319" t="str">
        <f>HYPERLINK("https%3A%2F%2Fwww.webofscience.com%2Fwos%2Fwoscc%2Ffull-record%2FWOS:000384551500001","View Full Record in Web of Science")</f>
        <v>View Full Record in Web of Science</v>
      </c>
    </row>
    <row r="320" spans="1:72" x14ac:dyDescent="0.15">
      <c r="A320" t="s">
        <v>72</v>
      </c>
      <c r="B320" t="s">
        <v>6486</v>
      </c>
      <c r="C320" t="s">
        <v>74</v>
      </c>
      <c r="D320" t="s">
        <v>74</v>
      </c>
      <c r="E320" t="s">
        <v>74</v>
      </c>
      <c r="F320" t="s">
        <v>6487</v>
      </c>
      <c r="G320" t="s">
        <v>74</v>
      </c>
      <c r="H320" t="s">
        <v>74</v>
      </c>
      <c r="I320" t="s">
        <v>6488</v>
      </c>
      <c r="J320" t="s">
        <v>631</v>
      </c>
      <c r="K320" t="s">
        <v>74</v>
      </c>
      <c r="L320" t="s">
        <v>74</v>
      </c>
      <c r="M320" t="s">
        <v>78</v>
      </c>
      <c r="N320" t="s">
        <v>79</v>
      </c>
      <c r="O320" t="s">
        <v>74</v>
      </c>
      <c r="P320" t="s">
        <v>74</v>
      </c>
      <c r="Q320" t="s">
        <v>74</v>
      </c>
      <c r="R320" t="s">
        <v>74</v>
      </c>
      <c r="S320" t="s">
        <v>74</v>
      </c>
      <c r="T320" t="s">
        <v>6489</v>
      </c>
      <c r="U320" t="s">
        <v>6490</v>
      </c>
      <c r="V320" t="s">
        <v>6491</v>
      </c>
      <c r="W320" t="s">
        <v>6492</v>
      </c>
      <c r="X320" t="s">
        <v>6493</v>
      </c>
      <c r="Y320" t="s">
        <v>6494</v>
      </c>
      <c r="Z320" t="s">
        <v>6495</v>
      </c>
      <c r="AA320" t="s">
        <v>6496</v>
      </c>
      <c r="AB320" t="s">
        <v>6497</v>
      </c>
      <c r="AC320" t="s">
        <v>74</v>
      </c>
      <c r="AD320" t="s">
        <v>74</v>
      </c>
      <c r="AE320" t="s">
        <v>74</v>
      </c>
      <c r="AF320" t="s">
        <v>74</v>
      </c>
      <c r="AG320">
        <v>36</v>
      </c>
      <c r="AH320">
        <v>4</v>
      </c>
      <c r="AI320">
        <v>4</v>
      </c>
      <c r="AJ320">
        <v>0</v>
      </c>
      <c r="AK320">
        <v>14</v>
      </c>
      <c r="AL320" t="s">
        <v>644</v>
      </c>
      <c r="AM320" t="s">
        <v>594</v>
      </c>
      <c r="AN320" t="s">
        <v>645</v>
      </c>
      <c r="AO320" t="s">
        <v>646</v>
      </c>
      <c r="AP320" t="s">
        <v>647</v>
      </c>
      <c r="AQ320" t="s">
        <v>74</v>
      </c>
      <c r="AR320" t="s">
        <v>648</v>
      </c>
      <c r="AS320" t="s">
        <v>649</v>
      </c>
      <c r="AT320" t="s">
        <v>5678</v>
      </c>
      <c r="AU320">
        <v>2016</v>
      </c>
      <c r="AV320">
        <v>39</v>
      </c>
      <c r="AW320">
        <v>9</v>
      </c>
      <c r="AX320" t="s">
        <v>74</v>
      </c>
      <c r="AY320" t="s">
        <v>74</v>
      </c>
      <c r="AZ320" t="s">
        <v>74</v>
      </c>
      <c r="BA320" t="s">
        <v>74</v>
      </c>
      <c r="BB320">
        <v>1539</v>
      </c>
      <c r="BC320">
        <v>1546</v>
      </c>
      <c r="BD320" t="s">
        <v>74</v>
      </c>
      <c r="BE320" t="s">
        <v>6498</v>
      </c>
      <c r="BF320" t="str">
        <f>HYPERLINK("http://dx.doi.org/10.1007/s00300-015-1879-5","http://dx.doi.org/10.1007/s00300-015-1879-5")</f>
        <v>http://dx.doi.org/10.1007/s00300-015-1879-5</v>
      </c>
      <c r="BG320" t="s">
        <v>74</v>
      </c>
      <c r="BH320" t="s">
        <v>74</v>
      </c>
      <c r="BI320">
        <v>8</v>
      </c>
      <c r="BJ320" t="s">
        <v>652</v>
      </c>
      <c r="BK320" t="s">
        <v>156</v>
      </c>
      <c r="BL320" t="s">
        <v>653</v>
      </c>
      <c r="BM320" t="s">
        <v>6484</v>
      </c>
      <c r="BN320" t="s">
        <v>74</v>
      </c>
      <c r="BO320" t="s">
        <v>74</v>
      </c>
      <c r="BP320" t="s">
        <v>74</v>
      </c>
      <c r="BQ320" t="s">
        <v>74</v>
      </c>
      <c r="BR320" t="s">
        <v>105</v>
      </c>
      <c r="BS320" t="s">
        <v>6499</v>
      </c>
      <c r="BT320" t="str">
        <f>HYPERLINK("https%3A%2F%2Fwww.webofscience.com%2Fwos%2Fwoscc%2Ffull-record%2FWOS:000384551500003","View Full Record in Web of Science")</f>
        <v>View Full Record in Web of Science</v>
      </c>
    </row>
    <row r="321" spans="1:72" x14ac:dyDescent="0.15">
      <c r="A321" t="s">
        <v>72</v>
      </c>
      <c r="B321" t="s">
        <v>6500</v>
      </c>
      <c r="C321" t="s">
        <v>74</v>
      </c>
      <c r="D321" t="s">
        <v>74</v>
      </c>
      <c r="E321" t="s">
        <v>74</v>
      </c>
      <c r="F321" t="s">
        <v>6501</v>
      </c>
      <c r="G321" t="s">
        <v>74</v>
      </c>
      <c r="H321" t="s">
        <v>74</v>
      </c>
      <c r="I321" t="s">
        <v>6502</v>
      </c>
      <c r="J321" t="s">
        <v>631</v>
      </c>
      <c r="K321" t="s">
        <v>74</v>
      </c>
      <c r="L321" t="s">
        <v>74</v>
      </c>
      <c r="M321" t="s">
        <v>78</v>
      </c>
      <c r="N321" t="s">
        <v>79</v>
      </c>
      <c r="O321" t="s">
        <v>74</v>
      </c>
      <c r="P321" t="s">
        <v>74</v>
      </c>
      <c r="Q321" t="s">
        <v>74</v>
      </c>
      <c r="R321" t="s">
        <v>74</v>
      </c>
      <c r="S321" t="s">
        <v>74</v>
      </c>
      <c r="T321" t="s">
        <v>6503</v>
      </c>
      <c r="U321" t="s">
        <v>6504</v>
      </c>
      <c r="V321" t="s">
        <v>6505</v>
      </c>
      <c r="W321" t="s">
        <v>6506</v>
      </c>
      <c r="X321" t="s">
        <v>6507</v>
      </c>
      <c r="Y321" t="s">
        <v>6508</v>
      </c>
      <c r="Z321" t="s">
        <v>6509</v>
      </c>
      <c r="AA321" t="s">
        <v>74</v>
      </c>
      <c r="AB321" t="s">
        <v>74</v>
      </c>
      <c r="AC321" t="s">
        <v>6510</v>
      </c>
      <c r="AD321" t="s">
        <v>6511</v>
      </c>
      <c r="AE321" t="s">
        <v>6512</v>
      </c>
      <c r="AF321" t="s">
        <v>74</v>
      </c>
      <c r="AG321">
        <v>29</v>
      </c>
      <c r="AH321">
        <v>22</v>
      </c>
      <c r="AI321">
        <v>26</v>
      </c>
      <c r="AJ321">
        <v>2</v>
      </c>
      <c r="AK321">
        <v>18</v>
      </c>
      <c r="AL321" t="s">
        <v>644</v>
      </c>
      <c r="AM321" t="s">
        <v>594</v>
      </c>
      <c r="AN321" t="s">
        <v>645</v>
      </c>
      <c r="AO321" t="s">
        <v>646</v>
      </c>
      <c r="AP321" t="s">
        <v>647</v>
      </c>
      <c r="AQ321" t="s">
        <v>74</v>
      </c>
      <c r="AR321" t="s">
        <v>648</v>
      </c>
      <c r="AS321" t="s">
        <v>649</v>
      </c>
      <c r="AT321" t="s">
        <v>5678</v>
      </c>
      <c r="AU321">
        <v>2016</v>
      </c>
      <c r="AV321">
        <v>39</v>
      </c>
      <c r="AW321">
        <v>9</v>
      </c>
      <c r="AX321" t="s">
        <v>74</v>
      </c>
      <c r="AY321" t="s">
        <v>74</v>
      </c>
      <c r="AZ321" t="s">
        <v>74</v>
      </c>
      <c r="BA321" t="s">
        <v>74</v>
      </c>
      <c r="BB321">
        <v>1615</v>
      </c>
      <c r="BC321">
        <v>1625</v>
      </c>
      <c r="BD321" t="s">
        <v>74</v>
      </c>
      <c r="BE321" t="s">
        <v>6513</v>
      </c>
      <c r="BF321" t="str">
        <f>HYPERLINK("http://dx.doi.org/10.1007/s00300-015-1886-6","http://dx.doi.org/10.1007/s00300-015-1886-6")</f>
        <v>http://dx.doi.org/10.1007/s00300-015-1886-6</v>
      </c>
      <c r="BG321" t="s">
        <v>74</v>
      </c>
      <c r="BH321" t="s">
        <v>74</v>
      </c>
      <c r="BI321">
        <v>11</v>
      </c>
      <c r="BJ321" t="s">
        <v>652</v>
      </c>
      <c r="BK321" t="s">
        <v>156</v>
      </c>
      <c r="BL321" t="s">
        <v>653</v>
      </c>
      <c r="BM321" t="s">
        <v>6484</v>
      </c>
      <c r="BN321" t="s">
        <v>74</v>
      </c>
      <c r="BO321" t="s">
        <v>74</v>
      </c>
      <c r="BP321" t="s">
        <v>74</v>
      </c>
      <c r="BQ321" t="s">
        <v>74</v>
      </c>
      <c r="BR321" t="s">
        <v>105</v>
      </c>
      <c r="BS321" t="s">
        <v>6514</v>
      </c>
      <c r="BT321" t="str">
        <f>HYPERLINK("https%3A%2F%2Fwww.webofscience.com%2Fwos%2Fwoscc%2Ffull-record%2FWOS:000384551500010","View Full Record in Web of Science")</f>
        <v>View Full Record in Web of Science</v>
      </c>
    </row>
    <row r="322" spans="1:72" x14ac:dyDescent="0.15">
      <c r="A322" t="s">
        <v>72</v>
      </c>
      <c r="B322" t="s">
        <v>6515</v>
      </c>
      <c r="C322" t="s">
        <v>74</v>
      </c>
      <c r="D322" t="s">
        <v>74</v>
      </c>
      <c r="E322" t="s">
        <v>74</v>
      </c>
      <c r="F322" t="s">
        <v>6516</v>
      </c>
      <c r="G322" t="s">
        <v>74</v>
      </c>
      <c r="H322" t="s">
        <v>74</v>
      </c>
      <c r="I322" t="s">
        <v>6517</v>
      </c>
      <c r="J322" t="s">
        <v>3536</v>
      </c>
      <c r="K322" t="s">
        <v>74</v>
      </c>
      <c r="L322" t="s">
        <v>74</v>
      </c>
      <c r="M322" t="s">
        <v>78</v>
      </c>
      <c r="N322" t="s">
        <v>79</v>
      </c>
      <c r="O322" t="s">
        <v>74</v>
      </c>
      <c r="P322" t="s">
        <v>74</v>
      </c>
      <c r="Q322" t="s">
        <v>74</v>
      </c>
      <c r="R322" t="s">
        <v>74</v>
      </c>
      <c r="S322" t="s">
        <v>74</v>
      </c>
      <c r="T322" t="s">
        <v>6518</v>
      </c>
      <c r="U322" t="s">
        <v>6519</v>
      </c>
      <c r="V322" t="s">
        <v>6520</v>
      </c>
      <c r="W322" t="s">
        <v>6521</v>
      </c>
      <c r="X322" t="s">
        <v>6522</v>
      </c>
      <c r="Y322" t="s">
        <v>6523</v>
      </c>
      <c r="Z322" t="s">
        <v>6524</v>
      </c>
      <c r="AA322" t="s">
        <v>6525</v>
      </c>
      <c r="AB322" t="s">
        <v>6526</v>
      </c>
      <c r="AC322" t="s">
        <v>6527</v>
      </c>
      <c r="AD322" t="s">
        <v>6528</v>
      </c>
      <c r="AE322" t="s">
        <v>6529</v>
      </c>
      <c r="AF322" t="s">
        <v>74</v>
      </c>
      <c r="AG322">
        <v>70</v>
      </c>
      <c r="AH322">
        <v>15</v>
      </c>
      <c r="AI322">
        <v>16</v>
      </c>
      <c r="AJ322">
        <v>3</v>
      </c>
      <c r="AK322">
        <v>48</v>
      </c>
      <c r="AL322" t="s">
        <v>474</v>
      </c>
      <c r="AM322" t="s">
        <v>304</v>
      </c>
      <c r="AN322" t="s">
        <v>475</v>
      </c>
      <c r="AO322" t="s">
        <v>3549</v>
      </c>
      <c r="AP322" t="s">
        <v>3550</v>
      </c>
      <c r="AQ322" t="s">
        <v>74</v>
      </c>
      <c r="AR322" t="s">
        <v>3551</v>
      </c>
      <c r="AS322" t="s">
        <v>3552</v>
      </c>
      <c r="AT322" t="s">
        <v>5678</v>
      </c>
      <c r="AU322">
        <v>2016</v>
      </c>
      <c r="AV322">
        <v>216</v>
      </c>
      <c r="AW322" t="s">
        <v>74</v>
      </c>
      <c r="AX322" t="s">
        <v>74</v>
      </c>
      <c r="AY322" t="s">
        <v>74</v>
      </c>
      <c r="AZ322" t="s">
        <v>74</v>
      </c>
      <c r="BA322" t="s">
        <v>74</v>
      </c>
      <c r="BB322">
        <v>38</v>
      </c>
      <c r="BC322">
        <v>45</v>
      </c>
      <c r="BD322" t="s">
        <v>74</v>
      </c>
      <c r="BE322" t="s">
        <v>6530</v>
      </c>
      <c r="BF322" t="str">
        <f>HYPERLINK("http://dx.doi.org/10.1016/j.envpol.2016.05.041","http://dx.doi.org/10.1016/j.envpol.2016.05.041")</f>
        <v>http://dx.doi.org/10.1016/j.envpol.2016.05.041</v>
      </c>
      <c r="BG322" t="s">
        <v>74</v>
      </c>
      <c r="BH322" t="s">
        <v>74</v>
      </c>
      <c r="BI322">
        <v>8</v>
      </c>
      <c r="BJ322" t="s">
        <v>846</v>
      </c>
      <c r="BK322" t="s">
        <v>156</v>
      </c>
      <c r="BL322" t="s">
        <v>532</v>
      </c>
      <c r="BM322" t="s">
        <v>6531</v>
      </c>
      <c r="BN322">
        <v>27235927</v>
      </c>
      <c r="BO322" t="s">
        <v>329</v>
      </c>
      <c r="BP322" t="s">
        <v>74</v>
      </c>
      <c r="BQ322" t="s">
        <v>74</v>
      </c>
      <c r="BR322" t="s">
        <v>105</v>
      </c>
      <c r="BS322" t="s">
        <v>6532</v>
      </c>
      <c r="BT322" t="str">
        <f>HYPERLINK("https%3A%2F%2Fwww.webofscience.com%2Fwos%2Fwoscc%2Ffull-record%2FWOS:000383930500005","View Full Record in Web of Science")</f>
        <v>View Full Record in Web of Science</v>
      </c>
    </row>
    <row r="323" spans="1:72" x14ac:dyDescent="0.15">
      <c r="A323" t="s">
        <v>72</v>
      </c>
      <c r="B323" t="s">
        <v>6533</v>
      </c>
      <c r="C323" t="s">
        <v>74</v>
      </c>
      <c r="D323" t="s">
        <v>74</v>
      </c>
      <c r="E323" t="s">
        <v>74</v>
      </c>
      <c r="F323" t="s">
        <v>6534</v>
      </c>
      <c r="G323" t="s">
        <v>74</v>
      </c>
      <c r="H323" t="s">
        <v>74</v>
      </c>
      <c r="I323" t="s">
        <v>6535</v>
      </c>
      <c r="J323" t="s">
        <v>3536</v>
      </c>
      <c r="K323" t="s">
        <v>74</v>
      </c>
      <c r="L323" t="s">
        <v>74</v>
      </c>
      <c r="M323" t="s">
        <v>78</v>
      </c>
      <c r="N323" t="s">
        <v>79</v>
      </c>
      <c r="O323" t="s">
        <v>74</v>
      </c>
      <c r="P323" t="s">
        <v>74</v>
      </c>
      <c r="Q323" t="s">
        <v>74</v>
      </c>
      <c r="R323" t="s">
        <v>74</v>
      </c>
      <c r="S323" t="s">
        <v>74</v>
      </c>
      <c r="T323" t="s">
        <v>6536</v>
      </c>
      <c r="U323" t="s">
        <v>6537</v>
      </c>
      <c r="V323" t="s">
        <v>6538</v>
      </c>
      <c r="W323" t="s">
        <v>6539</v>
      </c>
      <c r="X323" t="s">
        <v>6540</v>
      </c>
      <c r="Y323" t="s">
        <v>6541</v>
      </c>
      <c r="Z323" t="s">
        <v>6542</v>
      </c>
      <c r="AA323" t="s">
        <v>6543</v>
      </c>
      <c r="AB323" t="s">
        <v>6544</v>
      </c>
      <c r="AC323" t="s">
        <v>6545</v>
      </c>
      <c r="AD323" t="s">
        <v>6546</v>
      </c>
      <c r="AE323" t="s">
        <v>6547</v>
      </c>
      <c r="AF323" t="s">
        <v>74</v>
      </c>
      <c r="AG323">
        <v>57</v>
      </c>
      <c r="AH323">
        <v>72</v>
      </c>
      <c r="AI323">
        <v>76</v>
      </c>
      <c r="AJ323">
        <v>7</v>
      </c>
      <c r="AK323">
        <v>96</v>
      </c>
      <c r="AL323" t="s">
        <v>474</v>
      </c>
      <c r="AM323" t="s">
        <v>304</v>
      </c>
      <c r="AN323" t="s">
        <v>475</v>
      </c>
      <c r="AO323" t="s">
        <v>3549</v>
      </c>
      <c r="AP323" t="s">
        <v>3550</v>
      </c>
      <c r="AQ323" t="s">
        <v>74</v>
      </c>
      <c r="AR323" t="s">
        <v>3551</v>
      </c>
      <c r="AS323" t="s">
        <v>3552</v>
      </c>
      <c r="AT323" t="s">
        <v>5678</v>
      </c>
      <c r="AU323">
        <v>2016</v>
      </c>
      <c r="AV323">
        <v>216</v>
      </c>
      <c r="AW323" t="s">
        <v>74</v>
      </c>
      <c r="AX323" t="s">
        <v>74</v>
      </c>
      <c r="AY323" t="s">
        <v>74</v>
      </c>
      <c r="AZ323" t="s">
        <v>74</v>
      </c>
      <c r="BA323" t="s">
        <v>74</v>
      </c>
      <c r="BB323">
        <v>304</v>
      </c>
      <c r="BC323">
        <v>313</v>
      </c>
      <c r="BD323" t="s">
        <v>74</v>
      </c>
      <c r="BE323" t="s">
        <v>6548</v>
      </c>
      <c r="BF323" t="str">
        <f>HYPERLINK("http://dx.doi.org/10.1016/j.envpol.2016.05.092","http://dx.doi.org/10.1016/j.envpol.2016.05.092")</f>
        <v>http://dx.doi.org/10.1016/j.envpol.2016.05.092</v>
      </c>
      <c r="BG323" t="s">
        <v>74</v>
      </c>
      <c r="BH323" t="s">
        <v>74</v>
      </c>
      <c r="BI323">
        <v>10</v>
      </c>
      <c r="BJ323" t="s">
        <v>846</v>
      </c>
      <c r="BK323" t="s">
        <v>156</v>
      </c>
      <c r="BL323" t="s">
        <v>532</v>
      </c>
      <c r="BM323" t="s">
        <v>6531</v>
      </c>
      <c r="BN323">
        <v>27288629</v>
      </c>
      <c r="BO323" t="s">
        <v>6549</v>
      </c>
      <c r="BP323" t="s">
        <v>74</v>
      </c>
      <c r="BQ323" t="s">
        <v>74</v>
      </c>
      <c r="BR323" t="s">
        <v>105</v>
      </c>
      <c r="BS323" t="s">
        <v>6550</v>
      </c>
      <c r="BT323" t="str">
        <f>HYPERLINK("https%3A%2F%2Fwww.webofscience.com%2Fwos%2Fwoscc%2Ffull-record%2FWOS:000383930500033","View Full Record in Web of Science")</f>
        <v>View Full Record in Web of Science</v>
      </c>
    </row>
    <row r="324" spans="1:72" x14ac:dyDescent="0.15">
      <c r="A324" t="s">
        <v>72</v>
      </c>
      <c r="B324" t="s">
        <v>6551</v>
      </c>
      <c r="C324" t="s">
        <v>74</v>
      </c>
      <c r="D324" t="s">
        <v>74</v>
      </c>
      <c r="E324" t="s">
        <v>74</v>
      </c>
      <c r="F324" t="s">
        <v>6552</v>
      </c>
      <c r="G324" t="s">
        <v>74</v>
      </c>
      <c r="H324" t="s">
        <v>74</v>
      </c>
      <c r="I324" t="s">
        <v>6553</v>
      </c>
      <c r="J324" t="s">
        <v>5663</v>
      </c>
      <c r="K324" t="s">
        <v>74</v>
      </c>
      <c r="L324" t="s">
        <v>74</v>
      </c>
      <c r="M324" t="s">
        <v>78</v>
      </c>
      <c r="N324" t="s">
        <v>79</v>
      </c>
      <c r="O324" t="s">
        <v>74</v>
      </c>
      <c r="P324" t="s">
        <v>74</v>
      </c>
      <c r="Q324" t="s">
        <v>74</v>
      </c>
      <c r="R324" t="s">
        <v>74</v>
      </c>
      <c r="S324" t="s">
        <v>74</v>
      </c>
      <c r="T324" t="s">
        <v>6554</v>
      </c>
      <c r="U324" t="s">
        <v>6555</v>
      </c>
      <c r="V324" t="s">
        <v>6556</v>
      </c>
      <c r="W324" t="s">
        <v>6557</v>
      </c>
      <c r="X324" t="s">
        <v>6558</v>
      </c>
      <c r="Y324" t="s">
        <v>6559</v>
      </c>
      <c r="Z324" t="s">
        <v>6560</v>
      </c>
      <c r="AA324" t="s">
        <v>6561</v>
      </c>
      <c r="AB324" t="s">
        <v>6562</v>
      </c>
      <c r="AC324" t="s">
        <v>6563</v>
      </c>
      <c r="AD324" t="s">
        <v>6564</v>
      </c>
      <c r="AE324" t="s">
        <v>6565</v>
      </c>
      <c r="AF324" t="s">
        <v>74</v>
      </c>
      <c r="AG324">
        <v>34</v>
      </c>
      <c r="AH324">
        <v>10</v>
      </c>
      <c r="AI324">
        <v>10</v>
      </c>
      <c r="AJ324">
        <v>0</v>
      </c>
      <c r="AK324">
        <v>8</v>
      </c>
      <c r="AL324" t="s">
        <v>1484</v>
      </c>
      <c r="AM324" t="s">
        <v>1485</v>
      </c>
      <c r="AN324" t="s">
        <v>1486</v>
      </c>
      <c r="AO324" t="s">
        <v>5675</v>
      </c>
      <c r="AP324" t="s">
        <v>74</v>
      </c>
      <c r="AQ324" t="s">
        <v>74</v>
      </c>
      <c r="AR324" t="s">
        <v>5676</v>
      </c>
      <c r="AS324" t="s">
        <v>5677</v>
      </c>
      <c r="AT324" t="s">
        <v>5678</v>
      </c>
      <c r="AU324">
        <v>2016</v>
      </c>
      <c r="AV324">
        <v>11</v>
      </c>
      <c r="AW324">
        <v>9</v>
      </c>
      <c r="AX324" t="s">
        <v>74</v>
      </c>
      <c r="AY324" t="s">
        <v>74</v>
      </c>
      <c r="AZ324" t="s">
        <v>74</v>
      </c>
      <c r="BA324" t="s">
        <v>74</v>
      </c>
      <c r="BB324" t="s">
        <v>74</v>
      </c>
      <c r="BC324" t="s">
        <v>74</v>
      </c>
      <c r="BD324">
        <v>94006</v>
      </c>
      <c r="BE324" t="s">
        <v>6566</v>
      </c>
      <c r="BF324" t="str">
        <f>HYPERLINK("http://dx.doi.org/10.1088/1748-9326/11/9/094006","http://dx.doi.org/10.1088/1748-9326/11/9/094006")</f>
        <v>http://dx.doi.org/10.1088/1748-9326/11/9/094006</v>
      </c>
      <c r="BG324" t="s">
        <v>74</v>
      </c>
      <c r="BH324" t="s">
        <v>74</v>
      </c>
      <c r="BI324">
        <v>9</v>
      </c>
      <c r="BJ324" t="s">
        <v>1286</v>
      </c>
      <c r="BK324" t="s">
        <v>156</v>
      </c>
      <c r="BL324" t="s">
        <v>825</v>
      </c>
      <c r="BM324" t="s">
        <v>6567</v>
      </c>
      <c r="BN324" t="s">
        <v>74</v>
      </c>
      <c r="BO324" t="s">
        <v>133</v>
      </c>
      <c r="BP324" t="s">
        <v>74</v>
      </c>
      <c r="BQ324" t="s">
        <v>74</v>
      </c>
      <c r="BR324" t="s">
        <v>105</v>
      </c>
      <c r="BS324" t="s">
        <v>6568</v>
      </c>
      <c r="BT324" t="str">
        <f>HYPERLINK("https%3A%2F%2Fwww.webofscience.com%2Fwos%2Fwoscc%2Ffull-record%2FWOS:000384060200002","View Full Record in Web of Science")</f>
        <v>View Full Record in Web of Science</v>
      </c>
    </row>
    <row r="325" spans="1:72" x14ac:dyDescent="0.15">
      <c r="A325" t="s">
        <v>72</v>
      </c>
      <c r="B325" t="s">
        <v>6569</v>
      </c>
      <c r="C325" t="s">
        <v>74</v>
      </c>
      <c r="D325" t="s">
        <v>74</v>
      </c>
      <c r="E325" t="s">
        <v>74</v>
      </c>
      <c r="F325" t="s">
        <v>6570</v>
      </c>
      <c r="G325" t="s">
        <v>74</v>
      </c>
      <c r="H325" t="s">
        <v>74</v>
      </c>
      <c r="I325" t="s">
        <v>6571</v>
      </c>
      <c r="J325" t="s">
        <v>184</v>
      </c>
      <c r="K325" t="s">
        <v>74</v>
      </c>
      <c r="L325" t="s">
        <v>74</v>
      </c>
      <c r="M325" t="s">
        <v>78</v>
      </c>
      <c r="N325" t="s">
        <v>317</v>
      </c>
      <c r="O325" t="s">
        <v>74</v>
      </c>
      <c r="P325" t="s">
        <v>74</v>
      </c>
      <c r="Q325" t="s">
        <v>74</v>
      </c>
      <c r="R325" t="s">
        <v>74</v>
      </c>
      <c r="S325" t="s">
        <v>74</v>
      </c>
      <c r="T325" t="s">
        <v>6572</v>
      </c>
      <c r="U325" t="s">
        <v>6573</v>
      </c>
      <c r="V325" t="s">
        <v>6574</v>
      </c>
      <c r="W325" t="s">
        <v>6575</v>
      </c>
      <c r="X325" t="s">
        <v>6576</v>
      </c>
      <c r="Y325" t="s">
        <v>6577</v>
      </c>
      <c r="Z325" t="s">
        <v>6578</v>
      </c>
      <c r="AA325" t="s">
        <v>6579</v>
      </c>
      <c r="AB325" t="s">
        <v>6580</v>
      </c>
      <c r="AC325" t="s">
        <v>6581</v>
      </c>
      <c r="AD325" t="s">
        <v>6582</v>
      </c>
      <c r="AE325" t="s">
        <v>6583</v>
      </c>
      <c r="AF325" t="s">
        <v>74</v>
      </c>
      <c r="AG325">
        <v>110</v>
      </c>
      <c r="AH325">
        <v>33</v>
      </c>
      <c r="AI325">
        <v>38</v>
      </c>
      <c r="AJ325">
        <v>0</v>
      </c>
      <c r="AK325">
        <v>35</v>
      </c>
      <c r="AL325" t="s">
        <v>92</v>
      </c>
      <c r="AM325" t="s">
        <v>93</v>
      </c>
      <c r="AN325" t="s">
        <v>94</v>
      </c>
      <c r="AO325" t="s">
        <v>198</v>
      </c>
      <c r="AP325" t="s">
        <v>199</v>
      </c>
      <c r="AQ325" t="s">
        <v>74</v>
      </c>
      <c r="AR325" t="s">
        <v>200</v>
      </c>
      <c r="AS325" t="s">
        <v>201</v>
      </c>
      <c r="AT325" t="s">
        <v>5678</v>
      </c>
      <c r="AU325">
        <v>2016</v>
      </c>
      <c r="AV325">
        <v>144</v>
      </c>
      <c r="AW325" t="s">
        <v>74</v>
      </c>
      <c r="AX325" t="s">
        <v>74</v>
      </c>
      <c r="AY325" t="s">
        <v>74</v>
      </c>
      <c r="AZ325" t="s">
        <v>74</v>
      </c>
      <c r="BA325" t="s">
        <v>74</v>
      </c>
      <c r="BB325">
        <v>213</v>
      </c>
      <c r="BC325">
        <v>227</v>
      </c>
      <c r="BD325" t="s">
        <v>74</v>
      </c>
      <c r="BE325" t="s">
        <v>6584</v>
      </c>
      <c r="BF325" t="str">
        <f>HYPERLINK("http://dx.doi.org/10.1016/j.gloplacha.2016.06.007","http://dx.doi.org/10.1016/j.gloplacha.2016.06.007")</f>
        <v>http://dx.doi.org/10.1016/j.gloplacha.2016.06.007</v>
      </c>
      <c r="BG325" t="s">
        <v>74</v>
      </c>
      <c r="BH325" t="s">
        <v>74</v>
      </c>
      <c r="BI325">
        <v>15</v>
      </c>
      <c r="BJ325" t="s">
        <v>203</v>
      </c>
      <c r="BK325" t="s">
        <v>156</v>
      </c>
      <c r="BL325" t="s">
        <v>204</v>
      </c>
      <c r="BM325" t="s">
        <v>6585</v>
      </c>
      <c r="BN325" t="s">
        <v>74</v>
      </c>
      <c r="BO325" t="s">
        <v>104</v>
      </c>
      <c r="BP325" t="s">
        <v>74</v>
      </c>
      <c r="BQ325" t="s">
        <v>74</v>
      </c>
      <c r="BR325" t="s">
        <v>105</v>
      </c>
      <c r="BS325" t="s">
        <v>6586</v>
      </c>
      <c r="BT325" t="str">
        <f>HYPERLINK("https%3A%2F%2Fwww.webofscience.com%2Fwos%2Fwoscc%2Ffull-record%2FWOS:000383312700017","View Full Record in Web of Science")</f>
        <v>View Full Record in Web of Science</v>
      </c>
    </row>
    <row r="326" spans="1:72" x14ac:dyDescent="0.15">
      <c r="A326" t="s">
        <v>72</v>
      </c>
      <c r="B326" t="s">
        <v>6587</v>
      </c>
      <c r="C326" t="s">
        <v>74</v>
      </c>
      <c r="D326" t="s">
        <v>74</v>
      </c>
      <c r="E326" t="s">
        <v>74</v>
      </c>
      <c r="F326" t="s">
        <v>6588</v>
      </c>
      <c r="G326" t="s">
        <v>74</v>
      </c>
      <c r="H326" t="s">
        <v>74</v>
      </c>
      <c r="I326" t="s">
        <v>6589</v>
      </c>
      <c r="J326" t="s">
        <v>184</v>
      </c>
      <c r="K326" t="s">
        <v>74</v>
      </c>
      <c r="L326" t="s">
        <v>74</v>
      </c>
      <c r="M326" t="s">
        <v>78</v>
      </c>
      <c r="N326" t="s">
        <v>79</v>
      </c>
      <c r="O326" t="s">
        <v>74</v>
      </c>
      <c r="P326" t="s">
        <v>74</v>
      </c>
      <c r="Q326" t="s">
        <v>74</v>
      </c>
      <c r="R326" t="s">
        <v>74</v>
      </c>
      <c r="S326" t="s">
        <v>74</v>
      </c>
      <c r="T326" t="s">
        <v>6590</v>
      </c>
      <c r="U326" t="s">
        <v>6591</v>
      </c>
      <c r="V326" t="s">
        <v>6592</v>
      </c>
      <c r="W326" t="s">
        <v>6593</v>
      </c>
      <c r="X326" t="s">
        <v>6594</v>
      </c>
      <c r="Y326" t="s">
        <v>6595</v>
      </c>
      <c r="Z326" t="s">
        <v>6596</v>
      </c>
      <c r="AA326" t="s">
        <v>6597</v>
      </c>
      <c r="AB326" t="s">
        <v>6598</v>
      </c>
      <c r="AC326" t="s">
        <v>6599</v>
      </c>
      <c r="AD326" t="s">
        <v>6600</v>
      </c>
      <c r="AE326" t="s">
        <v>6601</v>
      </c>
      <c r="AF326" t="s">
        <v>74</v>
      </c>
      <c r="AG326">
        <v>84</v>
      </c>
      <c r="AH326">
        <v>8</v>
      </c>
      <c r="AI326">
        <v>9</v>
      </c>
      <c r="AJ326">
        <v>1</v>
      </c>
      <c r="AK326">
        <v>12</v>
      </c>
      <c r="AL326" t="s">
        <v>196</v>
      </c>
      <c r="AM326" t="s">
        <v>93</v>
      </c>
      <c r="AN326" t="s">
        <v>197</v>
      </c>
      <c r="AO326" t="s">
        <v>198</v>
      </c>
      <c r="AP326" t="s">
        <v>199</v>
      </c>
      <c r="AQ326" t="s">
        <v>74</v>
      </c>
      <c r="AR326" t="s">
        <v>200</v>
      </c>
      <c r="AS326" t="s">
        <v>201</v>
      </c>
      <c r="AT326" t="s">
        <v>5678</v>
      </c>
      <c r="AU326">
        <v>2016</v>
      </c>
      <c r="AV326">
        <v>144</v>
      </c>
      <c r="AW326" t="s">
        <v>74</v>
      </c>
      <c r="AX326" t="s">
        <v>74</v>
      </c>
      <c r="AY326" t="s">
        <v>74</v>
      </c>
      <c r="AZ326" t="s">
        <v>74</v>
      </c>
      <c r="BA326" t="s">
        <v>74</v>
      </c>
      <c r="BB326">
        <v>252</v>
      </c>
      <c r="BC326">
        <v>262</v>
      </c>
      <c r="BD326" t="s">
        <v>74</v>
      </c>
      <c r="BE326" t="s">
        <v>6602</v>
      </c>
      <c r="BF326" t="str">
        <f>HYPERLINK("http://dx.doi.org/10.1016/j.gloplacha.2016.08.001","http://dx.doi.org/10.1016/j.gloplacha.2016.08.001")</f>
        <v>http://dx.doi.org/10.1016/j.gloplacha.2016.08.001</v>
      </c>
      <c r="BG326" t="s">
        <v>74</v>
      </c>
      <c r="BH326" t="s">
        <v>74</v>
      </c>
      <c r="BI326">
        <v>11</v>
      </c>
      <c r="BJ326" t="s">
        <v>203</v>
      </c>
      <c r="BK326" t="s">
        <v>156</v>
      </c>
      <c r="BL326" t="s">
        <v>204</v>
      </c>
      <c r="BM326" t="s">
        <v>6585</v>
      </c>
      <c r="BN326" t="s">
        <v>74</v>
      </c>
      <c r="BO326" t="s">
        <v>74</v>
      </c>
      <c r="BP326" t="s">
        <v>74</v>
      </c>
      <c r="BQ326" t="s">
        <v>74</v>
      </c>
      <c r="BR326" t="s">
        <v>105</v>
      </c>
      <c r="BS326" t="s">
        <v>6603</v>
      </c>
      <c r="BT326" t="str">
        <f>HYPERLINK("https%3A%2F%2Fwww.webofscience.com%2Fwos%2Fwoscc%2Ffull-record%2FWOS:000383312700019","View Full Record in Web of Science")</f>
        <v>View Full Record in Web of Science</v>
      </c>
    </row>
    <row r="327" spans="1:72" x14ac:dyDescent="0.15">
      <c r="A327" t="s">
        <v>72</v>
      </c>
      <c r="B327" t="s">
        <v>6604</v>
      </c>
      <c r="C327" t="s">
        <v>74</v>
      </c>
      <c r="D327" t="s">
        <v>74</v>
      </c>
      <c r="E327" t="s">
        <v>74</v>
      </c>
      <c r="F327" t="s">
        <v>6605</v>
      </c>
      <c r="G327" t="s">
        <v>74</v>
      </c>
      <c r="H327" t="s">
        <v>74</v>
      </c>
      <c r="I327" t="s">
        <v>6606</v>
      </c>
      <c r="J327" t="s">
        <v>6607</v>
      </c>
      <c r="K327" t="s">
        <v>74</v>
      </c>
      <c r="L327" t="s">
        <v>74</v>
      </c>
      <c r="M327" t="s">
        <v>78</v>
      </c>
      <c r="N327" t="s">
        <v>79</v>
      </c>
      <c r="O327" t="s">
        <v>74</v>
      </c>
      <c r="P327" t="s">
        <v>74</v>
      </c>
      <c r="Q327" t="s">
        <v>74</v>
      </c>
      <c r="R327" t="s">
        <v>74</v>
      </c>
      <c r="S327" t="s">
        <v>74</v>
      </c>
      <c r="T327" t="s">
        <v>6608</v>
      </c>
      <c r="U327" t="s">
        <v>6609</v>
      </c>
      <c r="V327" t="s">
        <v>6610</v>
      </c>
      <c r="W327" t="s">
        <v>6611</v>
      </c>
      <c r="X327" t="s">
        <v>6612</v>
      </c>
      <c r="Y327" t="s">
        <v>6613</v>
      </c>
      <c r="Z327" t="s">
        <v>6614</v>
      </c>
      <c r="AA327" t="s">
        <v>6615</v>
      </c>
      <c r="AB327" t="s">
        <v>6616</v>
      </c>
      <c r="AC327" t="s">
        <v>74</v>
      </c>
      <c r="AD327" t="s">
        <v>74</v>
      </c>
      <c r="AE327" t="s">
        <v>74</v>
      </c>
      <c r="AF327" t="s">
        <v>74</v>
      </c>
      <c r="AG327">
        <v>40</v>
      </c>
      <c r="AH327">
        <v>2</v>
      </c>
      <c r="AI327">
        <v>2</v>
      </c>
      <c r="AJ327">
        <v>0</v>
      </c>
      <c r="AK327">
        <v>14</v>
      </c>
      <c r="AL327" t="s">
        <v>2501</v>
      </c>
      <c r="AM327" t="s">
        <v>304</v>
      </c>
      <c r="AN327" t="s">
        <v>2502</v>
      </c>
      <c r="AO327" t="s">
        <v>6617</v>
      </c>
      <c r="AP327" t="s">
        <v>6618</v>
      </c>
      <c r="AQ327" t="s">
        <v>74</v>
      </c>
      <c r="AR327" t="s">
        <v>6619</v>
      </c>
      <c r="AS327" t="s">
        <v>6620</v>
      </c>
      <c r="AT327" t="s">
        <v>6621</v>
      </c>
      <c r="AU327">
        <v>2016</v>
      </c>
      <c r="AV327">
        <v>73</v>
      </c>
      <c r="AW327">
        <v>9</v>
      </c>
      <c r="AX327" t="s">
        <v>74</v>
      </c>
      <c r="AY327" t="s">
        <v>74</v>
      </c>
      <c r="AZ327" t="s">
        <v>74</v>
      </c>
      <c r="BA327" t="s">
        <v>74</v>
      </c>
      <c r="BB327">
        <v>2333</v>
      </c>
      <c r="BC327">
        <v>2341</v>
      </c>
      <c r="BD327" t="s">
        <v>74</v>
      </c>
      <c r="BE327" t="s">
        <v>6622</v>
      </c>
      <c r="BF327" t="str">
        <f>HYPERLINK("http://dx.doi.org/10.1093/icesjms/fsw068","http://dx.doi.org/10.1093/icesjms/fsw068")</f>
        <v>http://dx.doi.org/10.1093/icesjms/fsw068</v>
      </c>
      <c r="BG327" t="s">
        <v>74</v>
      </c>
      <c r="BH327" t="s">
        <v>74</v>
      </c>
      <c r="BI327">
        <v>9</v>
      </c>
      <c r="BJ327" t="s">
        <v>6623</v>
      </c>
      <c r="BK327" t="s">
        <v>156</v>
      </c>
      <c r="BL327" t="s">
        <v>6623</v>
      </c>
      <c r="BM327" t="s">
        <v>6624</v>
      </c>
      <c r="BN327" t="s">
        <v>74</v>
      </c>
      <c r="BO327" t="s">
        <v>258</v>
      </c>
      <c r="BP327" t="s">
        <v>74</v>
      </c>
      <c r="BQ327" t="s">
        <v>74</v>
      </c>
      <c r="BR327" t="s">
        <v>105</v>
      </c>
      <c r="BS327" t="s">
        <v>6625</v>
      </c>
      <c r="BT327" t="str">
        <f>HYPERLINK("https%3A%2F%2Fwww.webofscience.com%2Fwos%2Fwoscc%2Ffull-record%2FWOS:000384302300020","View Full Record in Web of Science")</f>
        <v>View Full Record in Web of Science</v>
      </c>
    </row>
    <row r="328" spans="1:72" x14ac:dyDescent="0.15">
      <c r="A328" t="s">
        <v>72</v>
      </c>
      <c r="B328" t="s">
        <v>6626</v>
      </c>
      <c r="C328" t="s">
        <v>74</v>
      </c>
      <c r="D328" t="s">
        <v>74</v>
      </c>
      <c r="E328" t="s">
        <v>74</v>
      </c>
      <c r="F328" t="s">
        <v>6627</v>
      </c>
      <c r="G328" t="s">
        <v>74</v>
      </c>
      <c r="H328" t="s">
        <v>74</v>
      </c>
      <c r="I328" t="s">
        <v>6628</v>
      </c>
      <c r="J328" t="s">
        <v>6629</v>
      </c>
      <c r="K328" t="s">
        <v>74</v>
      </c>
      <c r="L328" t="s">
        <v>74</v>
      </c>
      <c r="M328" t="s">
        <v>78</v>
      </c>
      <c r="N328" t="s">
        <v>79</v>
      </c>
      <c r="O328" t="s">
        <v>74</v>
      </c>
      <c r="P328" t="s">
        <v>74</v>
      </c>
      <c r="Q328" t="s">
        <v>74</v>
      </c>
      <c r="R328" t="s">
        <v>74</v>
      </c>
      <c r="S328" t="s">
        <v>74</v>
      </c>
      <c r="T328" t="s">
        <v>74</v>
      </c>
      <c r="U328" t="s">
        <v>6630</v>
      </c>
      <c r="V328" t="s">
        <v>6631</v>
      </c>
      <c r="W328" t="s">
        <v>6632</v>
      </c>
      <c r="X328" t="s">
        <v>3254</v>
      </c>
      <c r="Y328" t="s">
        <v>6633</v>
      </c>
      <c r="Z328" t="s">
        <v>6634</v>
      </c>
      <c r="AA328" t="s">
        <v>6635</v>
      </c>
      <c r="AB328" t="s">
        <v>6636</v>
      </c>
      <c r="AC328" t="s">
        <v>74</v>
      </c>
      <c r="AD328" t="s">
        <v>74</v>
      </c>
      <c r="AE328" t="s">
        <v>74</v>
      </c>
      <c r="AF328" t="s">
        <v>74</v>
      </c>
      <c r="AG328">
        <v>30</v>
      </c>
      <c r="AH328">
        <v>2</v>
      </c>
      <c r="AI328">
        <v>3</v>
      </c>
      <c r="AJ328">
        <v>0</v>
      </c>
      <c r="AK328">
        <v>28</v>
      </c>
      <c r="AL328" t="s">
        <v>6637</v>
      </c>
      <c r="AM328" t="s">
        <v>6638</v>
      </c>
      <c r="AN328" t="s">
        <v>6639</v>
      </c>
      <c r="AO328" t="s">
        <v>6640</v>
      </c>
      <c r="AP328" t="s">
        <v>6641</v>
      </c>
      <c r="AQ328" t="s">
        <v>74</v>
      </c>
      <c r="AR328" t="s">
        <v>6642</v>
      </c>
      <c r="AS328" t="s">
        <v>6643</v>
      </c>
      <c r="AT328" t="s">
        <v>5678</v>
      </c>
      <c r="AU328">
        <v>2016</v>
      </c>
      <c r="AV328">
        <v>37</v>
      </c>
      <c r="AW328">
        <v>3</v>
      </c>
      <c r="AX328" t="s">
        <v>74</v>
      </c>
      <c r="AY328" t="s">
        <v>74</v>
      </c>
      <c r="AZ328" t="s">
        <v>74</v>
      </c>
      <c r="BA328" t="s">
        <v>74</v>
      </c>
      <c r="BB328">
        <v>140</v>
      </c>
      <c r="BC328">
        <v>142</v>
      </c>
      <c r="BD328" t="s">
        <v>74</v>
      </c>
      <c r="BE328" t="s">
        <v>6644</v>
      </c>
      <c r="BF328" t="str">
        <f>HYPERLINK("http://dx.doi.org/10.1071/MA16048","http://dx.doi.org/10.1071/MA16048")</f>
        <v>http://dx.doi.org/10.1071/MA16048</v>
      </c>
      <c r="BG328" t="s">
        <v>74</v>
      </c>
      <c r="BH328" t="s">
        <v>74</v>
      </c>
      <c r="BI328">
        <v>3</v>
      </c>
      <c r="BJ328" t="s">
        <v>130</v>
      </c>
      <c r="BK328" t="s">
        <v>131</v>
      </c>
      <c r="BL328" t="s">
        <v>130</v>
      </c>
      <c r="BM328" t="s">
        <v>6645</v>
      </c>
      <c r="BN328" t="s">
        <v>74</v>
      </c>
      <c r="BO328" t="s">
        <v>258</v>
      </c>
      <c r="BP328" t="s">
        <v>74</v>
      </c>
      <c r="BQ328" t="s">
        <v>74</v>
      </c>
      <c r="BR328" t="s">
        <v>105</v>
      </c>
      <c r="BS328" t="s">
        <v>6646</v>
      </c>
      <c r="BT328" t="str">
        <f>HYPERLINK("https%3A%2F%2Fwww.webofscience.com%2Fwos%2Fwoscc%2Ffull-record%2FWOS:000383884400015","View Full Record in Web of Science")</f>
        <v>View Full Record in Web of Science</v>
      </c>
    </row>
    <row r="329" spans="1:72" x14ac:dyDescent="0.15">
      <c r="A329" t="s">
        <v>72</v>
      </c>
      <c r="B329" t="s">
        <v>6647</v>
      </c>
      <c r="C329" t="s">
        <v>74</v>
      </c>
      <c r="D329" t="s">
        <v>74</v>
      </c>
      <c r="E329" t="s">
        <v>74</v>
      </c>
      <c r="F329" t="s">
        <v>6648</v>
      </c>
      <c r="G329" t="s">
        <v>74</v>
      </c>
      <c r="H329" t="s">
        <v>74</v>
      </c>
      <c r="I329" t="s">
        <v>6649</v>
      </c>
      <c r="J329" t="s">
        <v>6629</v>
      </c>
      <c r="K329" t="s">
        <v>74</v>
      </c>
      <c r="L329" t="s">
        <v>74</v>
      </c>
      <c r="M329" t="s">
        <v>78</v>
      </c>
      <c r="N329" t="s">
        <v>79</v>
      </c>
      <c r="O329" t="s">
        <v>74</v>
      </c>
      <c r="P329" t="s">
        <v>74</v>
      </c>
      <c r="Q329" t="s">
        <v>74</v>
      </c>
      <c r="R329" t="s">
        <v>74</v>
      </c>
      <c r="S329" t="s">
        <v>74</v>
      </c>
      <c r="T329" t="s">
        <v>74</v>
      </c>
      <c r="U329" t="s">
        <v>74</v>
      </c>
      <c r="V329" t="s">
        <v>6650</v>
      </c>
      <c r="W329" t="s">
        <v>6651</v>
      </c>
      <c r="X329" t="s">
        <v>6652</v>
      </c>
      <c r="Y329" t="s">
        <v>6653</v>
      </c>
      <c r="Z329" t="s">
        <v>6654</v>
      </c>
      <c r="AA329" t="s">
        <v>6655</v>
      </c>
      <c r="AB329" t="s">
        <v>6656</v>
      </c>
      <c r="AC329" t="s">
        <v>6657</v>
      </c>
      <c r="AD329" t="s">
        <v>6658</v>
      </c>
      <c r="AE329" t="s">
        <v>6659</v>
      </c>
      <c r="AF329" t="s">
        <v>74</v>
      </c>
      <c r="AG329">
        <v>10</v>
      </c>
      <c r="AH329">
        <v>12</v>
      </c>
      <c r="AI329">
        <v>13</v>
      </c>
      <c r="AJ329">
        <v>0</v>
      </c>
      <c r="AK329">
        <v>44</v>
      </c>
      <c r="AL329" t="s">
        <v>6637</v>
      </c>
      <c r="AM329" t="s">
        <v>6638</v>
      </c>
      <c r="AN329" t="s">
        <v>6639</v>
      </c>
      <c r="AO329" t="s">
        <v>6640</v>
      </c>
      <c r="AP329" t="s">
        <v>6641</v>
      </c>
      <c r="AQ329" t="s">
        <v>74</v>
      </c>
      <c r="AR329" t="s">
        <v>6642</v>
      </c>
      <c r="AS329" t="s">
        <v>6643</v>
      </c>
      <c r="AT329" t="s">
        <v>5678</v>
      </c>
      <c r="AU329">
        <v>2016</v>
      </c>
      <c r="AV329">
        <v>37</v>
      </c>
      <c r="AW329">
        <v>3</v>
      </c>
      <c r="AX329" t="s">
        <v>74</v>
      </c>
      <c r="AY329" t="s">
        <v>74</v>
      </c>
      <c r="AZ329" t="s">
        <v>74</v>
      </c>
      <c r="BA329" t="s">
        <v>74</v>
      </c>
      <c r="BB329">
        <v>143</v>
      </c>
      <c r="BC329" t="s">
        <v>5030</v>
      </c>
      <c r="BD329" t="s">
        <v>74</v>
      </c>
      <c r="BE329" t="s">
        <v>6660</v>
      </c>
      <c r="BF329" t="str">
        <f>HYPERLINK("http://dx.doi.org/10.1071/MA16049","http://dx.doi.org/10.1071/MA16049")</f>
        <v>http://dx.doi.org/10.1071/MA16049</v>
      </c>
      <c r="BG329" t="s">
        <v>74</v>
      </c>
      <c r="BH329" t="s">
        <v>74</v>
      </c>
      <c r="BI329">
        <v>2</v>
      </c>
      <c r="BJ329" t="s">
        <v>130</v>
      </c>
      <c r="BK329" t="s">
        <v>131</v>
      </c>
      <c r="BL329" t="s">
        <v>130</v>
      </c>
      <c r="BM329" t="s">
        <v>6645</v>
      </c>
      <c r="BN329" t="s">
        <v>74</v>
      </c>
      <c r="BO329" t="s">
        <v>258</v>
      </c>
      <c r="BP329" t="s">
        <v>74</v>
      </c>
      <c r="BQ329" t="s">
        <v>74</v>
      </c>
      <c r="BR329" t="s">
        <v>105</v>
      </c>
      <c r="BS329" t="s">
        <v>6661</v>
      </c>
      <c r="BT329" t="str">
        <f>HYPERLINK("https%3A%2F%2Fwww.webofscience.com%2Fwos%2Fwoscc%2Ffull-record%2FWOS:000383884400016","View Full Record in Web of Science")</f>
        <v>View Full Record in Web of Science</v>
      </c>
    </row>
    <row r="330" spans="1:72" x14ac:dyDescent="0.15">
      <c r="A330" t="s">
        <v>72</v>
      </c>
      <c r="B330" t="s">
        <v>6662</v>
      </c>
      <c r="C330" t="s">
        <v>74</v>
      </c>
      <c r="D330" t="s">
        <v>74</v>
      </c>
      <c r="E330" t="s">
        <v>74</v>
      </c>
      <c r="F330" t="s">
        <v>6663</v>
      </c>
      <c r="G330" t="s">
        <v>74</v>
      </c>
      <c r="H330" t="s">
        <v>74</v>
      </c>
      <c r="I330" t="s">
        <v>6664</v>
      </c>
      <c r="J330" t="s">
        <v>6665</v>
      </c>
      <c r="K330" t="s">
        <v>74</v>
      </c>
      <c r="L330" t="s">
        <v>74</v>
      </c>
      <c r="M330" t="s">
        <v>78</v>
      </c>
      <c r="N330" t="s">
        <v>79</v>
      </c>
      <c r="O330" t="s">
        <v>74</v>
      </c>
      <c r="P330" t="s">
        <v>74</v>
      </c>
      <c r="Q330" t="s">
        <v>74</v>
      </c>
      <c r="R330" t="s">
        <v>74</v>
      </c>
      <c r="S330" t="s">
        <v>74</v>
      </c>
      <c r="T330" t="s">
        <v>74</v>
      </c>
      <c r="U330" t="s">
        <v>6666</v>
      </c>
      <c r="V330" t="s">
        <v>6667</v>
      </c>
      <c r="W330" t="s">
        <v>6668</v>
      </c>
      <c r="X330" t="s">
        <v>6669</v>
      </c>
      <c r="Y330" t="s">
        <v>6670</v>
      </c>
      <c r="Z330" t="s">
        <v>6671</v>
      </c>
      <c r="AA330" t="s">
        <v>6672</v>
      </c>
      <c r="AB330" t="s">
        <v>6673</v>
      </c>
      <c r="AC330" t="s">
        <v>6674</v>
      </c>
      <c r="AD330" t="s">
        <v>6675</v>
      </c>
      <c r="AE330" t="s">
        <v>6676</v>
      </c>
      <c r="AF330" t="s">
        <v>74</v>
      </c>
      <c r="AG330">
        <v>41</v>
      </c>
      <c r="AH330">
        <v>12</v>
      </c>
      <c r="AI330">
        <v>12</v>
      </c>
      <c r="AJ330">
        <v>1</v>
      </c>
      <c r="AK330">
        <v>8</v>
      </c>
      <c r="AL330" t="s">
        <v>397</v>
      </c>
      <c r="AM330" t="s">
        <v>398</v>
      </c>
      <c r="AN330" t="s">
        <v>399</v>
      </c>
      <c r="AO330" t="s">
        <v>6677</v>
      </c>
      <c r="AP330" t="s">
        <v>6678</v>
      </c>
      <c r="AQ330" t="s">
        <v>74</v>
      </c>
      <c r="AR330" t="s">
        <v>6679</v>
      </c>
      <c r="AS330" t="s">
        <v>6680</v>
      </c>
      <c r="AT330" t="s">
        <v>5678</v>
      </c>
      <c r="AU330">
        <v>2016</v>
      </c>
      <c r="AV330">
        <v>144</v>
      </c>
      <c r="AW330">
        <v>9</v>
      </c>
      <c r="AX330" t="s">
        <v>74</v>
      </c>
      <c r="AY330" t="s">
        <v>74</v>
      </c>
      <c r="AZ330" t="s">
        <v>74</v>
      </c>
      <c r="BA330" t="s">
        <v>74</v>
      </c>
      <c r="BB330">
        <v>3181</v>
      </c>
      <c r="BC330">
        <v>3200</v>
      </c>
      <c r="BD330" t="s">
        <v>74</v>
      </c>
      <c r="BE330" t="s">
        <v>6681</v>
      </c>
      <c r="BF330" t="str">
        <f>HYPERLINK("http://dx.doi.org/10.1175/MWR-D-15-0447.1","http://dx.doi.org/10.1175/MWR-D-15-0447.1")</f>
        <v>http://dx.doi.org/10.1175/MWR-D-15-0447.1</v>
      </c>
      <c r="BG330" t="s">
        <v>74</v>
      </c>
      <c r="BH330" t="s">
        <v>74</v>
      </c>
      <c r="BI330">
        <v>20</v>
      </c>
      <c r="BJ330" t="s">
        <v>2482</v>
      </c>
      <c r="BK330" t="s">
        <v>156</v>
      </c>
      <c r="BL330" t="s">
        <v>2482</v>
      </c>
      <c r="BM330" t="s">
        <v>6682</v>
      </c>
      <c r="BN330" t="s">
        <v>74</v>
      </c>
      <c r="BO330" t="s">
        <v>104</v>
      </c>
      <c r="BP330" t="s">
        <v>74</v>
      </c>
      <c r="BQ330" t="s">
        <v>74</v>
      </c>
      <c r="BR330" t="s">
        <v>105</v>
      </c>
      <c r="BS330" t="s">
        <v>6683</v>
      </c>
      <c r="BT330" t="str">
        <f>HYPERLINK("https%3A%2F%2Fwww.webofscience.com%2Fwos%2Fwoscc%2Ffull-record%2FWOS:000383923300008","View Full Record in Web of Science")</f>
        <v>View Full Record in Web of Science</v>
      </c>
    </row>
    <row r="331" spans="1:72" x14ac:dyDescent="0.15">
      <c r="A331" t="s">
        <v>72</v>
      </c>
      <c r="B331" t="s">
        <v>6684</v>
      </c>
      <c r="C331" t="s">
        <v>74</v>
      </c>
      <c r="D331" t="s">
        <v>74</v>
      </c>
      <c r="E331" t="s">
        <v>74</v>
      </c>
      <c r="F331" t="s">
        <v>6685</v>
      </c>
      <c r="G331" t="s">
        <v>74</v>
      </c>
      <c r="H331" t="s">
        <v>74</v>
      </c>
      <c r="I331" t="s">
        <v>6686</v>
      </c>
      <c r="J331" t="s">
        <v>6687</v>
      </c>
      <c r="K331" t="s">
        <v>74</v>
      </c>
      <c r="L331" t="s">
        <v>74</v>
      </c>
      <c r="M331" t="s">
        <v>78</v>
      </c>
      <c r="N331" t="s">
        <v>79</v>
      </c>
      <c r="O331" t="s">
        <v>74</v>
      </c>
      <c r="P331" t="s">
        <v>74</v>
      </c>
      <c r="Q331" t="s">
        <v>74</v>
      </c>
      <c r="R331" t="s">
        <v>74</v>
      </c>
      <c r="S331" t="s">
        <v>74</v>
      </c>
      <c r="T331" t="s">
        <v>6688</v>
      </c>
      <c r="U331" t="s">
        <v>6689</v>
      </c>
      <c r="V331" t="s">
        <v>6690</v>
      </c>
      <c r="W331" t="s">
        <v>6691</v>
      </c>
      <c r="X331" t="s">
        <v>6652</v>
      </c>
      <c r="Y331" t="s">
        <v>6692</v>
      </c>
      <c r="Z331" t="s">
        <v>6693</v>
      </c>
      <c r="AA331" t="s">
        <v>6694</v>
      </c>
      <c r="AB331" t="s">
        <v>6695</v>
      </c>
      <c r="AC331" t="s">
        <v>6696</v>
      </c>
      <c r="AD331" t="s">
        <v>6696</v>
      </c>
      <c r="AE331" t="s">
        <v>6697</v>
      </c>
      <c r="AF331" t="s">
        <v>74</v>
      </c>
      <c r="AG331">
        <v>51</v>
      </c>
      <c r="AH331">
        <v>30</v>
      </c>
      <c r="AI331">
        <v>34</v>
      </c>
      <c r="AJ331">
        <v>2</v>
      </c>
      <c r="AK331">
        <v>35</v>
      </c>
      <c r="AL331" t="s">
        <v>501</v>
      </c>
      <c r="AM331" t="s">
        <v>502</v>
      </c>
      <c r="AN331" t="s">
        <v>503</v>
      </c>
      <c r="AO331" t="s">
        <v>6698</v>
      </c>
      <c r="AP331" t="s">
        <v>6699</v>
      </c>
      <c r="AQ331" t="s">
        <v>74</v>
      </c>
      <c r="AR331" t="s">
        <v>6700</v>
      </c>
      <c r="AS331" t="s">
        <v>6701</v>
      </c>
      <c r="AT331" t="s">
        <v>5678</v>
      </c>
      <c r="AU331">
        <v>2016</v>
      </c>
      <c r="AV331">
        <v>24</v>
      </c>
      <c r="AW331">
        <v>5</v>
      </c>
      <c r="AX331" t="s">
        <v>74</v>
      </c>
      <c r="AY331" t="s">
        <v>74</v>
      </c>
      <c r="AZ331" t="s">
        <v>74</v>
      </c>
      <c r="BA331" t="s">
        <v>74</v>
      </c>
      <c r="BB331">
        <v>668</v>
      </c>
      <c r="BC331">
        <v>673</v>
      </c>
      <c r="BD331" t="s">
        <v>74</v>
      </c>
      <c r="BE331" t="s">
        <v>6702</v>
      </c>
      <c r="BF331" t="str">
        <f>HYPERLINK("http://dx.doi.org/10.1111/rec.12391","http://dx.doi.org/10.1111/rec.12391")</f>
        <v>http://dx.doi.org/10.1111/rec.12391</v>
      </c>
      <c r="BG331" t="s">
        <v>74</v>
      </c>
      <c r="BH331" t="s">
        <v>74</v>
      </c>
      <c r="BI331">
        <v>6</v>
      </c>
      <c r="BJ331" t="s">
        <v>531</v>
      </c>
      <c r="BK331" t="s">
        <v>102</v>
      </c>
      <c r="BL331" t="s">
        <v>532</v>
      </c>
      <c r="BM331" t="s">
        <v>6703</v>
      </c>
      <c r="BN331" t="s">
        <v>74</v>
      </c>
      <c r="BO331" t="s">
        <v>74</v>
      </c>
      <c r="BP331" t="s">
        <v>74</v>
      </c>
      <c r="BQ331" t="s">
        <v>74</v>
      </c>
      <c r="BR331" t="s">
        <v>105</v>
      </c>
      <c r="BS331" t="s">
        <v>6704</v>
      </c>
      <c r="BT331" t="str">
        <f>HYPERLINK("https%3A%2F%2Fwww.webofscience.com%2Fwos%2Fwoscc%2Ffull-record%2FWOS:000384009200013","View Full Record in Web of Science")</f>
        <v>View Full Record in Web of Science</v>
      </c>
    </row>
    <row r="332" spans="1:72" x14ac:dyDescent="0.15">
      <c r="A332" t="s">
        <v>72</v>
      </c>
      <c r="B332" t="s">
        <v>6705</v>
      </c>
      <c r="C332" t="s">
        <v>74</v>
      </c>
      <c r="D332" t="s">
        <v>74</v>
      </c>
      <c r="E332" t="s">
        <v>74</v>
      </c>
      <c r="F332" t="s">
        <v>6706</v>
      </c>
      <c r="G332" t="s">
        <v>74</v>
      </c>
      <c r="H332" t="s">
        <v>74</v>
      </c>
      <c r="I332" t="s">
        <v>6707</v>
      </c>
      <c r="J332" t="s">
        <v>6687</v>
      </c>
      <c r="K332" t="s">
        <v>74</v>
      </c>
      <c r="L332" t="s">
        <v>74</v>
      </c>
      <c r="M332" t="s">
        <v>78</v>
      </c>
      <c r="N332" t="s">
        <v>79</v>
      </c>
      <c r="O332" t="s">
        <v>74</v>
      </c>
      <c r="P332" t="s">
        <v>74</v>
      </c>
      <c r="Q332" t="s">
        <v>74</v>
      </c>
      <c r="R332" t="s">
        <v>74</v>
      </c>
      <c r="S332" t="s">
        <v>74</v>
      </c>
      <c r="T332" t="s">
        <v>6708</v>
      </c>
      <c r="U332" t="s">
        <v>74</v>
      </c>
      <c r="V332" t="s">
        <v>6709</v>
      </c>
      <c r="W332" t="s">
        <v>6710</v>
      </c>
      <c r="X332" t="s">
        <v>6652</v>
      </c>
      <c r="Y332" t="s">
        <v>6711</v>
      </c>
      <c r="Z332" t="s">
        <v>6693</v>
      </c>
      <c r="AA332" t="s">
        <v>6712</v>
      </c>
      <c r="AB332" t="s">
        <v>6695</v>
      </c>
      <c r="AC332" t="s">
        <v>74</v>
      </c>
      <c r="AD332" t="s">
        <v>74</v>
      </c>
      <c r="AE332" t="s">
        <v>74</v>
      </c>
      <c r="AF332" t="s">
        <v>74</v>
      </c>
      <c r="AG332">
        <v>58</v>
      </c>
      <c r="AH332">
        <v>18</v>
      </c>
      <c r="AI332">
        <v>18</v>
      </c>
      <c r="AJ332">
        <v>0</v>
      </c>
      <c r="AK332">
        <v>11</v>
      </c>
      <c r="AL332" t="s">
        <v>501</v>
      </c>
      <c r="AM332" t="s">
        <v>502</v>
      </c>
      <c r="AN332" t="s">
        <v>503</v>
      </c>
      <c r="AO332" t="s">
        <v>6698</v>
      </c>
      <c r="AP332" t="s">
        <v>6699</v>
      </c>
      <c r="AQ332" t="s">
        <v>74</v>
      </c>
      <c r="AR332" t="s">
        <v>6700</v>
      </c>
      <c r="AS332" t="s">
        <v>6701</v>
      </c>
      <c r="AT332" t="s">
        <v>5678</v>
      </c>
      <c r="AU332">
        <v>2016</v>
      </c>
      <c r="AV332">
        <v>24</v>
      </c>
      <c r="AW332">
        <v>5</v>
      </c>
      <c r="AX332" t="s">
        <v>74</v>
      </c>
      <c r="AY332" t="s">
        <v>74</v>
      </c>
      <c r="AZ332" t="s">
        <v>74</v>
      </c>
      <c r="BA332" t="s">
        <v>74</v>
      </c>
      <c r="BB332">
        <v>686</v>
      </c>
      <c r="BC332">
        <v>691</v>
      </c>
      <c r="BD332" t="s">
        <v>74</v>
      </c>
      <c r="BE332" t="s">
        <v>6713</v>
      </c>
      <c r="BF332" t="str">
        <f>HYPERLINK("http://dx.doi.org/10.1111/rec.12390","http://dx.doi.org/10.1111/rec.12390")</f>
        <v>http://dx.doi.org/10.1111/rec.12390</v>
      </c>
      <c r="BG332" t="s">
        <v>74</v>
      </c>
      <c r="BH332" t="s">
        <v>74</v>
      </c>
      <c r="BI332">
        <v>6</v>
      </c>
      <c r="BJ332" t="s">
        <v>531</v>
      </c>
      <c r="BK332" t="s">
        <v>102</v>
      </c>
      <c r="BL332" t="s">
        <v>532</v>
      </c>
      <c r="BM332" t="s">
        <v>6703</v>
      </c>
      <c r="BN332" t="s">
        <v>74</v>
      </c>
      <c r="BO332" t="s">
        <v>74</v>
      </c>
      <c r="BP332" t="s">
        <v>74</v>
      </c>
      <c r="BQ332" t="s">
        <v>74</v>
      </c>
      <c r="BR332" t="s">
        <v>105</v>
      </c>
      <c r="BS332" t="s">
        <v>6714</v>
      </c>
      <c r="BT332" t="str">
        <f>HYPERLINK("https%3A%2F%2Fwww.webofscience.com%2Fwos%2Fwoscc%2Ffull-record%2FWOS:000384009200016","View Full Record in Web of Science")</f>
        <v>View Full Record in Web of Science</v>
      </c>
    </row>
    <row r="333" spans="1:72" x14ac:dyDescent="0.15">
      <c r="A333" t="s">
        <v>72</v>
      </c>
      <c r="B333" t="s">
        <v>6715</v>
      </c>
      <c r="C333" t="s">
        <v>74</v>
      </c>
      <c r="D333" t="s">
        <v>74</v>
      </c>
      <c r="E333" t="s">
        <v>74</v>
      </c>
      <c r="F333" t="s">
        <v>6716</v>
      </c>
      <c r="G333" t="s">
        <v>74</v>
      </c>
      <c r="H333" t="s">
        <v>74</v>
      </c>
      <c r="I333" t="s">
        <v>6717</v>
      </c>
      <c r="J333" t="s">
        <v>754</v>
      </c>
      <c r="K333" t="s">
        <v>74</v>
      </c>
      <c r="L333" t="s">
        <v>74</v>
      </c>
      <c r="M333" t="s">
        <v>78</v>
      </c>
      <c r="N333" t="s">
        <v>79</v>
      </c>
      <c r="O333" t="s">
        <v>74</v>
      </c>
      <c r="P333" t="s">
        <v>74</v>
      </c>
      <c r="Q333" t="s">
        <v>74</v>
      </c>
      <c r="R333" t="s">
        <v>74</v>
      </c>
      <c r="S333" t="s">
        <v>74</v>
      </c>
      <c r="T333" t="s">
        <v>6718</v>
      </c>
      <c r="U333" t="s">
        <v>74</v>
      </c>
      <c r="V333" t="s">
        <v>74</v>
      </c>
      <c r="W333" t="s">
        <v>6719</v>
      </c>
      <c r="X333" t="s">
        <v>6720</v>
      </c>
      <c r="Y333" t="s">
        <v>6721</v>
      </c>
      <c r="Z333" t="s">
        <v>6722</v>
      </c>
      <c r="AA333" t="s">
        <v>6723</v>
      </c>
      <c r="AB333" t="s">
        <v>6724</v>
      </c>
      <c r="AC333" t="s">
        <v>6725</v>
      </c>
      <c r="AD333" t="s">
        <v>6726</v>
      </c>
      <c r="AE333" t="s">
        <v>6727</v>
      </c>
      <c r="AF333" t="s">
        <v>74</v>
      </c>
      <c r="AG333">
        <v>2</v>
      </c>
      <c r="AH333">
        <v>5</v>
      </c>
      <c r="AI333">
        <v>6</v>
      </c>
      <c r="AJ333">
        <v>0</v>
      </c>
      <c r="AK333">
        <v>2</v>
      </c>
      <c r="AL333" t="s">
        <v>766</v>
      </c>
      <c r="AM333" t="s">
        <v>767</v>
      </c>
      <c r="AN333" t="s">
        <v>768</v>
      </c>
      <c r="AO333" t="s">
        <v>769</v>
      </c>
      <c r="AP333" t="s">
        <v>770</v>
      </c>
      <c r="AQ333" t="s">
        <v>74</v>
      </c>
      <c r="AR333" t="s">
        <v>771</v>
      </c>
      <c r="AS333" t="s">
        <v>772</v>
      </c>
      <c r="AT333" t="s">
        <v>6621</v>
      </c>
      <c r="AU333">
        <v>2016</v>
      </c>
      <c r="AV333">
        <v>112</v>
      </c>
      <c r="AW333" t="s">
        <v>746</v>
      </c>
      <c r="AX333" t="s">
        <v>74</v>
      </c>
      <c r="AY333" t="s">
        <v>74</v>
      </c>
      <c r="AZ333" t="s">
        <v>74</v>
      </c>
      <c r="BA333" t="s">
        <v>74</v>
      </c>
      <c r="BB333">
        <v>21</v>
      </c>
      <c r="BC333">
        <v>24</v>
      </c>
      <c r="BD333" t="s">
        <v>74</v>
      </c>
      <c r="BE333" t="s">
        <v>6728</v>
      </c>
      <c r="BF333" t="str">
        <f>HYPERLINK("http://dx.doi.org/10.17159/sajs.2016/a0171","http://dx.doi.org/10.17159/sajs.2016/a0171")</f>
        <v>http://dx.doi.org/10.17159/sajs.2016/a0171</v>
      </c>
      <c r="BG333" t="s">
        <v>74</v>
      </c>
      <c r="BH333" t="s">
        <v>74</v>
      </c>
      <c r="BI333">
        <v>4</v>
      </c>
      <c r="BJ333" t="s">
        <v>719</v>
      </c>
      <c r="BK333" t="s">
        <v>156</v>
      </c>
      <c r="BL333" t="s">
        <v>720</v>
      </c>
      <c r="BM333" t="s">
        <v>6729</v>
      </c>
      <c r="BN333" t="s">
        <v>74</v>
      </c>
      <c r="BO333" t="s">
        <v>1519</v>
      </c>
      <c r="BP333" t="s">
        <v>74</v>
      </c>
      <c r="BQ333" t="s">
        <v>74</v>
      </c>
      <c r="BR333" t="s">
        <v>105</v>
      </c>
      <c r="BS333" t="s">
        <v>6730</v>
      </c>
      <c r="BT333" t="str">
        <f>HYPERLINK("https%3A%2F%2Fwww.webofscience.com%2Fwos%2Fwoscc%2Ffull-record%2FWOS:000384331800009","View Full Record in Web of Science")</f>
        <v>View Full Record in Web of Science</v>
      </c>
    </row>
    <row r="334" spans="1:72" x14ac:dyDescent="0.15">
      <c r="A334" t="s">
        <v>72</v>
      </c>
      <c r="B334" t="s">
        <v>6731</v>
      </c>
      <c r="C334" t="s">
        <v>74</v>
      </c>
      <c r="D334" t="s">
        <v>74</v>
      </c>
      <c r="E334" t="s">
        <v>74</v>
      </c>
      <c r="F334" t="s">
        <v>6732</v>
      </c>
      <c r="G334" t="s">
        <v>74</v>
      </c>
      <c r="H334" t="s">
        <v>74</v>
      </c>
      <c r="I334" t="s">
        <v>6733</v>
      </c>
      <c r="J334" t="s">
        <v>754</v>
      </c>
      <c r="K334" t="s">
        <v>74</v>
      </c>
      <c r="L334" t="s">
        <v>74</v>
      </c>
      <c r="M334" t="s">
        <v>78</v>
      </c>
      <c r="N334" t="s">
        <v>79</v>
      </c>
      <c r="O334" t="s">
        <v>74</v>
      </c>
      <c r="P334" t="s">
        <v>74</v>
      </c>
      <c r="Q334" t="s">
        <v>74</v>
      </c>
      <c r="R334" t="s">
        <v>74</v>
      </c>
      <c r="S334" t="s">
        <v>74</v>
      </c>
      <c r="T334" t="s">
        <v>6734</v>
      </c>
      <c r="U334" t="s">
        <v>6735</v>
      </c>
      <c r="V334" t="s">
        <v>74</v>
      </c>
      <c r="W334" t="s">
        <v>6736</v>
      </c>
      <c r="X334" t="s">
        <v>6737</v>
      </c>
      <c r="Y334" t="s">
        <v>6738</v>
      </c>
      <c r="Z334" t="s">
        <v>6739</v>
      </c>
      <c r="AA334" t="s">
        <v>6740</v>
      </c>
      <c r="AB334" t="s">
        <v>6741</v>
      </c>
      <c r="AC334" t="s">
        <v>74</v>
      </c>
      <c r="AD334" t="s">
        <v>74</v>
      </c>
      <c r="AE334" t="s">
        <v>74</v>
      </c>
      <c r="AF334" t="s">
        <v>74</v>
      </c>
      <c r="AG334">
        <v>28</v>
      </c>
      <c r="AH334">
        <v>0</v>
      </c>
      <c r="AI334">
        <v>0</v>
      </c>
      <c r="AJ334">
        <v>0</v>
      </c>
      <c r="AK334">
        <v>1</v>
      </c>
      <c r="AL334" t="s">
        <v>766</v>
      </c>
      <c r="AM334" t="s">
        <v>767</v>
      </c>
      <c r="AN334" t="s">
        <v>768</v>
      </c>
      <c r="AO334" t="s">
        <v>769</v>
      </c>
      <c r="AP334" t="s">
        <v>770</v>
      </c>
      <c r="AQ334" t="s">
        <v>74</v>
      </c>
      <c r="AR334" t="s">
        <v>771</v>
      </c>
      <c r="AS334" t="s">
        <v>772</v>
      </c>
      <c r="AT334" t="s">
        <v>6621</v>
      </c>
      <c r="AU334">
        <v>2016</v>
      </c>
      <c r="AV334">
        <v>112</v>
      </c>
      <c r="AW334" t="s">
        <v>746</v>
      </c>
      <c r="AX334" t="s">
        <v>74</v>
      </c>
      <c r="AY334" t="s">
        <v>74</v>
      </c>
      <c r="AZ334" t="s">
        <v>74</v>
      </c>
      <c r="BA334" t="s">
        <v>74</v>
      </c>
      <c r="BB334">
        <v>25</v>
      </c>
      <c r="BC334">
        <v>28</v>
      </c>
      <c r="BD334" t="s">
        <v>74</v>
      </c>
      <c r="BE334" t="s">
        <v>6742</v>
      </c>
      <c r="BF334" t="str">
        <f>HYPERLINK("http://dx.doi.org/10.17159/sajs.2016/a0173","http://dx.doi.org/10.17159/sajs.2016/a0173")</f>
        <v>http://dx.doi.org/10.17159/sajs.2016/a0173</v>
      </c>
      <c r="BG334" t="s">
        <v>74</v>
      </c>
      <c r="BH334" t="s">
        <v>74</v>
      </c>
      <c r="BI334">
        <v>4</v>
      </c>
      <c r="BJ334" t="s">
        <v>719</v>
      </c>
      <c r="BK334" t="s">
        <v>156</v>
      </c>
      <c r="BL334" t="s">
        <v>720</v>
      </c>
      <c r="BM334" t="s">
        <v>6729</v>
      </c>
      <c r="BN334" t="s">
        <v>74</v>
      </c>
      <c r="BO334" t="s">
        <v>6332</v>
      </c>
      <c r="BP334" t="s">
        <v>74</v>
      </c>
      <c r="BQ334" t="s">
        <v>74</v>
      </c>
      <c r="BR334" t="s">
        <v>105</v>
      </c>
      <c r="BS334" t="s">
        <v>6743</v>
      </c>
      <c r="BT334" t="str">
        <f>HYPERLINK("https%3A%2F%2Fwww.webofscience.com%2Fwos%2Fwoscc%2Ffull-record%2FWOS:000384331800010","View Full Record in Web of Science")</f>
        <v>View Full Record in Web of Science</v>
      </c>
    </row>
    <row r="335" spans="1:72" x14ac:dyDescent="0.15">
      <c r="A335" t="s">
        <v>72</v>
      </c>
      <c r="B335" t="s">
        <v>6744</v>
      </c>
      <c r="C335" t="s">
        <v>74</v>
      </c>
      <c r="D335" t="s">
        <v>74</v>
      </c>
      <c r="E335" t="s">
        <v>74</v>
      </c>
      <c r="F335" t="s">
        <v>6745</v>
      </c>
      <c r="G335" t="s">
        <v>74</v>
      </c>
      <c r="H335" t="s">
        <v>74</v>
      </c>
      <c r="I335" t="s">
        <v>6746</v>
      </c>
      <c r="J335" t="s">
        <v>6747</v>
      </c>
      <c r="K335" t="s">
        <v>74</v>
      </c>
      <c r="L335" t="s">
        <v>74</v>
      </c>
      <c r="M335" t="s">
        <v>78</v>
      </c>
      <c r="N335" t="s">
        <v>79</v>
      </c>
      <c r="O335" t="s">
        <v>74</v>
      </c>
      <c r="P335" t="s">
        <v>74</v>
      </c>
      <c r="Q335" t="s">
        <v>74</v>
      </c>
      <c r="R335" t="s">
        <v>74</v>
      </c>
      <c r="S335" t="s">
        <v>74</v>
      </c>
      <c r="T335" t="s">
        <v>6748</v>
      </c>
      <c r="U335" t="s">
        <v>6749</v>
      </c>
      <c r="V335" t="s">
        <v>6750</v>
      </c>
      <c r="W335" t="s">
        <v>6751</v>
      </c>
      <c r="X335" t="s">
        <v>6752</v>
      </c>
      <c r="Y335" t="s">
        <v>6753</v>
      </c>
      <c r="Z335" t="s">
        <v>6754</v>
      </c>
      <c r="AA335" t="s">
        <v>74</v>
      </c>
      <c r="AB335" t="s">
        <v>74</v>
      </c>
      <c r="AC335" t="s">
        <v>6755</v>
      </c>
      <c r="AD335" t="s">
        <v>6756</v>
      </c>
      <c r="AE335" t="s">
        <v>6757</v>
      </c>
      <c r="AF335" t="s">
        <v>74</v>
      </c>
      <c r="AG335">
        <v>24</v>
      </c>
      <c r="AH335">
        <v>1</v>
      </c>
      <c r="AI335">
        <v>1</v>
      </c>
      <c r="AJ335">
        <v>0</v>
      </c>
      <c r="AK335">
        <v>15</v>
      </c>
      <c r="AL335" t="s">
        <v>644</v>
      </c>
      <c r="AM335" t="s">
        <v>594</v>
      </c>
      <c r="AN335" t="s">
        <v>3025</v>
      </c>
      <c r="AO335" t="s">
        <v>6758</v>
      </c>
      <c r="AP335" t="s">
        <v>6759</v>
      </c>
      <c r="AQ335" t="s">
        <v>74</v>
      </c>
      <c r="AR335" t="s">
        <v>6760</v>
      </c>
      <c r="AS335" t="s">
        <v>6761</v>
      </c>
      <c r="AT335" t="s">
        <v>5678</v>
      </c>
      <c r="AU335">
        <v>2016</v>
      </c>
      <c r="AV335">
        <v>35</v>
      </c>
      <c r="AW335">
        <v>9</v>
      </c>
      <c r="AX335" t="s">
        <v>74</v>
      </c>
      <c r="AY335" t="s">
        <v>74</v>
      </c>
      <c r="AZ335" t="s">
        <v>74</v>
      </c>
      <c r="BA335" t="s">
        <v>74</v>
      </c>
      <c r="BB335">
        <v>51</v>
      </c>
      <c r="BC335">
        <v>57</v>
      </c>
      <c r="BD335" t="s">
        <v>74</v>
      </c>
      <c r="BE335" t="s">
        <v>6762</v>
      </c>
      <c r="BF335" t="str">
        <f>HYPERLINK("http://dx.doi.org/10.1007/s13131-016-0934-6","http://dx.doi.org/10.1007/s13131-016-0934-6")</f>
        <v>http://dx.doi.org/10.1007/s13131-016-0934-6</v>
      </c>
      <c r="BG335" t="s">
        <v>74</v>
      </c>
      <c r="BH335" t="s">
        <v>74</v>
      </c>
      <c r="BI335">
        <v>7</v>
      </c>
      <c r="BJ335" t="s">
        <v>405</v>
      </c>
      <c r="BK335" t="s">
        <v>156</v>
      </c>
      <c r="BL335" t="s">
        <v>405</v>
      </c>
      <c r="BM335" t="s">
        <v>6763</v>
      </c>
      <c r="BN335" t="s">
        <v>74</v>
      </c>
      <c r="BO335" t="s">
        <v>74</v>
      </c>
      <c r="BP335" t="s">
        <v>74</v>
      </c>
      <c r="BQ335" t="s">
        <v>74</v>
      </c>
      <c r="BR335" t="s">
        <v>105</v>
      </c>
      <c r="BS335" t="s">
        <v>6764</v>
      </c>
      <c r="BT335" t="str">
        <f>HYPERLINK("https%3A%2F%2Fwww.webofscience.com%2Fwos%2Fwoscc%2Ffull-record%2FWOS:000383924200006","View Full Record in Web of Science")</f>
        <v>View Full Record in Web of Science</v>
      </c>
    </row>
    <row r="336" spans="1:72" x14ac:dyDescent="0.15">
      <c r="A336" t="s">
        <v>72</v>
      </c>
      <c r="B336" t="s">
        <v>6765</v>
      </c>
      <c r="C336" t="s">
        <v>74</v>
      </c>
      <c r="D336" t="s">
        <v>74</v>
      </c>
      <c r="E336" t="s">
        <v>74</v>
      </c>
      <c r="F336" t="s">
        <v>6766</v>
      </c>
      <c r="G336" t="s">
        <v>74</v>
      </c>
      <c r="H336" t="s">
        <v>74</v>
      </c>
      <c r="I336" t="s">
        <v>6767</v>
      </c>
      <c r="J336" t="s">
        <v>6747</v>
      </c>
      <c r="K336" t="s">
        <v>74</v>
      </c>
      <c r="L336" t="s">
        <v>74</v>
      </c>
      <c r="M336" t="s">
        <v>78</v>
      </c>
      <c r="N336" t="s">
        <v>79</v>
      </c>
      <c r="O336" t="s">
        <v>74</v>
      </c>
      <c r="P336" t="s">
        <v>74</v>
      </c>
      <c r="Q336" t="s">
        <v>74</v>
      </c>
      <c r="R336" t="s">
        <v>74</v>
      </c>
      <c r="S336" t="s">
        <v>74</v>
      </c>
      <c r="T336" t="s">
        <v>6768</v>
      </c>
      <c r="U336" t="s">
        <v>6769</v>
      </c>
      <c r="V336" t="s">
        <v>6770</v>
      </c>
      <c r="W336" t="s">
        <v>6771</v>
      </c>
      <c r="X336" t="s">
        <v>6772</v>
      </c>
      <c r="Y336" t="s">
        <v>6773</v>
      </c>
      <c r="Z336" t="s">
        <v>6774</v>
      </c>
      <c r="AA336" t="s">
        <v>74</v>
      </c>
      <c r="AB336" t="s">
        <v>74</v>
      </c>
      <c r="AC336" t="s">
        <v>6775</v>
      </c>
      <c r="AD336" t="s">
        <v>6776</v>
      </c>
      <c r="AE336" t="s">
        <v>6777</v>
      </c>
      <c r="AF336" t="s">
        <v>74</v>
      </c>
      <c r="AG336">
        <v>24</v>
      </c>
      <c r="AH336">
        <v>3</v>
      </c>
      <c r="AI336">
        <v>5</v>
      </c>
      <c r="AJ336">
        <v>1</v>
      </c>
      <c r="AK336">
        <v>20</v>
      </c>
      <c r="AL336" t="s">
        <v>644</v>
      </c>
      <c r="AM336" t="s">
        <v>594</v>
      </c>
      <c r="AN336" t="s">
        <v>3025</v>
      </c>
      <c r="AO336" t="s">
        <v>6758</v>
      </c>
      <c r="AP336" t="s">
        <v>6759</v>
      </c>
      <c r="AQ336" t="s">
        <v>74</v>
      </c>
      <c r="AR336" t="s">
        <v>6760</v>
      </c>
      <c r="AS336" t="s">
        <v>6761</v>
      </c>
      <c r="AT336" t="s">
        <v>5678</v>
      </c>
      <c r="AU336">
        <v>2016</v>
      </c>
      <c r="AV336">
        <v>35</v>
      </c>
      <c r="AW336">
        <v>9</v>
      </c>
      <c r="AX336" t="s">
        <v>74</v>
      </c>
      <c r="AY336" t="s">
        <v>74</v>
      </c>
      <c r="AZ336" t="s">
        <v>74</v>
      </c>
      <c r="BA336" t="s">
        <v>74</v>
      </c>
      <c r="BB336">
        <v>74</v>
      </c>
      <c r="BC336">
        <v>79</v>
      </c>
      <c r="BD336" t="s">
        <v>74</v>
      </c>
      <c r="BE336" t="s">
        <v>6778</v>
      </c>
      <c r="BF336" t="str">
        <f>HYPERLINK("http://dx.doi.org/10.1007/s13131-016-0927-5","http://dx.doi.org/10.1007/s13131-016-0927-5")</f>
        <v>http://dx.doi.org/10.1007/s13131-016-0927-5</v>
      </c>
      <c r="BG336" t="s">
        <v>74</v>
      </c>
      <c r="BH336" t="s">
        <v>74</v>
      </c>
      <c r="BI336">
        <v>6</v>
      </c>
      <c r="BJ336" t="s">
        <v>405</v>
      </c>
      <c r="BK336" t="s">
        <v>156</v>
      </c>
      <c r="BL336" t="s">
        <v>405</v>
      </c>
      <c r="BM336" t="s">
        <v>6763</v>
      </c>
      <c r="BN336" t="s">
        <v>74</v>
      </c>
      <c r="BO336" t="s">
        <v>74</v>
      </c>
      <c r="BP336" t="s">
        <v>74</v>
      </c>
      <c r="BQ336" t="s">
        <v>74</v>
      </c>
      <c r="BR336" t="s">
        <v>105</v>
      </c>
      <c r="BS336" t="s">
        <v>6779</v>
      </c>
      <c r="BT336" t="str">
        <f>HYPERLINK("https%3A%2F%2Fwww.webofscience.com%2Fwos%2Fwoscc%2Ffull-record%2FWOS:000383924200009","View Full Record in Web of Science")</f>
        <v>View Full Record in Web of Science</v>
      </c>
    </row>
    <row r="337" spans="1:72" x14ac:dyDescent="0.15">
      <c r="A337" t="s">
        <v>72</v>
      </c>
      <c r="B337" t="s">
        <v>6780</v>
      </c>
      <c r="C337" t="s">
        <v>74</v>
      </c>
      <c r="D337" t="s">
        <v>74</v>
      </c>
      <c r="E337" t="s">
        <v>74</v>
      </c>
      <c r="F337" t="s">
        <v>6781</v>
      </c>
      <c r="G337" t="s">
        <v>74</v>
      </c>
      <c r="H337" t="s">
        <v>74</v>
      </c>
      <c r="I337" t="s">
        <v>6782</v>
      </c>
      <c r="J337" t="s">
        <v>5852</v>
      </c>
      <c r="K337" t="s">
        <v>74</v>
      </c>
      <c r="L337" t="s">
        <v>74</v>
      </c>
      <c r="M337" t="s">
        <v>78</v>
      </c>
      <c r="N337" t="s">
        <v>2730</v>
      </c>
      <c r="O337" t="s">
        <v>6783</v>
      </c>
      <c r="P337" t="s">
        <v>4458</v>
      </c>
      <c r="Q337" t="s">
        <v>6784</v>
      </c>
      <c r="R337" t="s">
        <v>74</v>
      </c>
      <c r="S337" t="s">
        <v>74</v>
      </c>
      <c r="T337" t="s">
        <v>6785</v>
      </c>
      <c r="U337" t="s">
        <v>6786</v>
      </c>
      <c r="V337" t="s">
        <v>6787</v>
      </c>
      <c r="W337" t="s">
        <v>6788</v>
      </c>
      <c r="X337" t="s">
        <v>6789</v>
      </c>
      <c r="Y337" t="s">
        <v>6790</v>
      </c>
      <c r="Z337" t="s">
        <v>6791</v>
      </c>
      <c r="AA337" t="s">
        <v>6792</v>
      </c>
      <c r="AB337" t="s">
        <v>6793</v>
      </c>
      <c r="AC337" t="s">
        <v>74</v>
      </c>
      <c r="AD337" t="s">
        <v>74</v>
      </c>
      <c r="AE337" t="s">
        <v>74</v>
      </c>
      <c r="AF337" t="s">
        <v>74</v>
      </c>
      <c r="AG337">
        <v>86</v>
      </c>
      <c r="AH337">
        <v>60</v>
      </c>
      <c r="AI337">
        <v>65</v>
      </c>
      <c r="AJ337">
        <v>3</v>
      </c>
      <c r="AK337">
        <v>59</v>
      </c>
      <c r="AL337" t="s">
        <v>501</v>
      </c>
      <c r="AM337" t="s">
        <v>502</v>
      </c>
      <c r="AN337" t="s">
        <v>503</v>
      </c>
      <c r="AO337" t="s">
        <v>5862</v>
      </c>
      <c r="AP337" t="s">
        <v>5863</v>
      </c>
      <c r="AQ337" t="s">
        <v>74</v>
      </c>
      <c r="AR337" t="s">
        <v>5864</v>
      </c>
      <c r="AS337" t="s">
        <v>5865</v>
      </c>
      <c r="AT337" t="s">
        <v>5678</v>
      </c>
      <c r="AU337">
        <v>2016</v>
      </c>
      <c r="AV337">
        <v>26</v>
      </c>
      <c r="AW337" t="s">
        <v>74</v>
      </c>
      <c r="AX337" t="s">
        <v>74</v>
      </c>
      <c r="AY337">
        <v>2</v>
      </c>
      <c r="AZ337" t="s">
        <v>74</v>
      </c>
      <c r="BA337" t="s">
        <v>74</v>
      </c>
      <c r="BB337">
        <v>85</v>
      </c>
      <c r="BC337">
        <v>100</v>
      </c>
      <c r="BD337" t="s">
        <v>74</v>
      </c>
      <c r="BE337" t="s">
        <v>6794</v>
      </c>
      <c r="BF337" t="str">
        <f>HYPERLINK("http://dx.doi.org/10.1002/aqc.2642","http://dx.doi.org/10.1002/aqc.2642")</f>
        <v>http://dx.doi.org/10.1002/aqc.2642</v>
      </c>
      <c r="BG337" t="s">
        <v>74</v>
      </c>
      <c r="BH337" t="s">
        <v>74</v>
      </c>
      <c r="BI337">
        <v>16</v>
      </c>
      <c r="BJ337" t="s">
        <v>5867</v>
      </c>
      <c r="BK337" t="s">
        <v>2548</v>
      </c>
      <c r="BL337" t="s">
        <v>5868</v>
      </c>
      <c r="BM337" t="s">
        <v>6795</v>
      </c>
      <c r="BN337" t="s">
        <v>74</v>
      </c>
      <c r="BO337" t="s">
        <v>258</v>
      </c>
      <c r="BP337" t="s">
        <v>74</v>
      </c>
      <c r="BQ337" t="s">
        <v>74</v>
      </c>
      <c r="BR337" t="s">
        <v>105</v>
      </c>
      <c r="BS337" t="s">
        <v>6796</v>
      </c>
      <c r="BT337" t="str">
        <f>HYPERLINK("https%3A%2F%2Fwww.webofscience.com%2Fwos%2Fwoscc%2Ffull-record%2FWOS:000383668500008","View Full Record in Web of Science")</f>
        <v>View Full Record in Web of Science</v>
      </c>
    </row>
    <row r="338" spans="1:72" x14ac:dyDescent="0.15">
      <c r="A338" t="s">
        <v>72</v>
      </c>
      <c r="B338" t="s">
        <v>6797</v>
      </c>
      <c r="C338" t="s">
        <v>74</v>
      </c>
      <c r="D338" t="s">
        <v>74</v>
      </c>
      <c r="E338" t="s">
        <v>74</v>
      </c>
      <c r="F338" t="s">
        <v>6798</v>
      </c>
      <c r="G338" t="s">
        <v>74</v>
      </c>
      <c r="H338" t="s">
        <v>74</v>
      </c>
      <c r="I338" t="s">
        <v>6799</v>
      </c>
      <c r="J338" t="s">
        <v>6800</v>
      </c>
      <c r="K338" t="s">
        <v>74</v>
      </c>
      <c r="L338" t="s">
        <v>74</v>
      </c>
      <c r="M338" t="s">
        <v>78</v>
      </c>
      <c r="N338" t="s">
        <v>79</v>
      </c>
      <c r="O338" t="s">
        <v>74</v>
      </c>
      <c r="P338" t="s">
        <v>74</v>
      </c>
      <c r="Q338" t="s">
        <v>74</v>
      </c>
      <c r="R338" t="s">
        <v>74</v>
      </c>
      <c r="S338" t="s">
        <v>74</v>
      </c>
      <c r="T338" t="s">
        <v>6801</v>
      </c>
      <c r="U338" t="s">
        <v>6802</v>
      </c>
      <c r="V338" t="s">
        <v>6803</v>
      </c>
      <c r="W338" t="s">
        <v>6804</v>
      </c>
      <c r="X338" t="s">
        <v>6805</v>
      </c>
      <c r="Y338" t="s">
        <v>6806</v>
      </c>
      <c r="Z338" t="s">
        <v>6807</v>
      </c>
      <c r="AA338" t="s">
        <v>6808</v>
      </c>
      <c r="AB338" t="s">
        <v>74</v>
      </c>
      <c r="AC338" t="s">
        <v>6809</v>
      </c>
      <c r="AD338" t="s">
        <v>6810</v>
      </c>
      <c r="AE338" t="s">
        <v>6811</v>
      </c>
      <c r="AF338" t="s">
        <v>74</v>
      </c>
      <c r="AG338">
        <v>51</v>
      </c>
      <c r="AH338">
        <v>7</v>
      </c>
      <c r="AI338">
        <v>7</v>
      </c>
      <c r="AJ338">
        <v>1</v>
      </c>
      <c r="AK338">
        <v>24</v>
      </c>
      <c r="AL338" t="s">
        <v>501</v>
      </c>
      <c r="AM338" t="s">
        <v>502</v>
      </c>
      <c r="AN338" t="s">
        <v>503</v>
      </c>
      <c r="AO338" t="s">
        <v>6812</v>
      </c>
      <c r="AP338" t="s">
        <v>6813</v>
      </c>
      <c r="AQ338" t="s">
        <v>74</v>
      </c>
      <c r="AR338" t="s">
        <v>6814</v>
      </c>
      <c r="AS338" t="s">
        <v>6815</v>
      </c>
      <c r="AT338" t="s">
        <v>5678</v>
      </c>
      <c r="AU338">
        <v>2016</v>
      </c>
      <c r="AV338">
        <v>41</v>
      </c>
      <c r="AW338">
        <v>6</v>
      </c>
      <c r="AX338" t="s">
        <v>74</v>
      </c>
      <c r="AY338" t="s">
        <v>74</v>
      </c>
      <c r="AZ338" t="s">
        <v>74</v>
      </c>
      <c r="BA338" t="s">
        <v>74</v>
      </c>
      <c r="BB338">
        <v>622</v>
      </c>
      <c r="BC338">
        <v>632</v>
      </c>
      <c r="BD338" t="s">
        <v>74</v>
      </c>
      <c r="BE338" t="s">
        <v>6816</v>
      </c>
      <c r="BF338" t="str">
        <f>HYPERLINK("http://dx.doi.org/10.1111/aec.12351","http://dx.doi.org/10.1111/aec.12351")</f>
        <v>http://dx.doi.org/10.1111/aec.12351</v>
      </c>
      <c r="BG338" t="s">
        <v>74</v>
      </c>
      <c r="BH338" t="s">
        <v>74</v>
      </c>
      <c r="BI338">
        <v>11</v>
      </c>
      <c r="BJ338" t="s">
        <v>531</v>
      </c>
      <c r="BK338" t="s">
        <v>156</v>
      </c>
      <c r="BL338" t="s">
        <v>532</v>
      </c>
      <c r="BM338" t="s">
        <v>6817</v>
      </c>
      <c r="BN338" t="s">
        <v>74</v>
      </c>
      <c r="BO338" t="s">
        <v>2617</v>
      </c>
      <c r="BP338" t="s">
        <v>74</v>
      </c>
      <c r="BQ338" t="s">
        <v>74</v>
      </c>
      <c r="BR338" t="s">
        <v>105</v>
      </c>
      <c r="BS338" t="s">
        <v>6818</v>
      </c>
      <c r="BT338" t="str">
        <f>HYPERLINK("https%3A%2F%2Fwww.webofscience.com%2Fwos%2Fwoscc%2Ffull-record%2FWOS:000383533300004","View Full Record in Web of Science")</f>
        <v>View Full Record in Web of Science</v>
      </c>
    </row>
    <row r="339" spans="1:72" x14ac:dyDescent="0.15">
      <c r="A339" t="s">
        <v>72</v>
      </c>
      <c r="B339" t="s">
        <v>6819</v>
      </c>
      <c r="C339" t="s">
        <v>74</v>
      </c>
      <c r="D339" t="s">
        <v>74</v>
      </c>
      <c r="E339" t="s">
        <v>74</v>
      </c>
      <c r="F339" t="s">
        <v>6820</v>
      </c>
      <c r="G339" t="s">
        <v>74</v>
      </c>
      <c r="H339" t="s">
        <v>74</v>
      </c>
      <c r="I339" t="s">
        <v>6821</v>
      </c>
      <c r="J339" t="s">
        <v>6822</v>
      </c>
      <c r="K339" t="s">
        <v>74</v>
      </c>
      <c r="L339" t="s">
        <v>74</v>
      </c>
      <c r="M339" t="s">
        <v>78</v>
      </c>
      <c r="N339" t="s">
        <v>79</v>
      </c>
      <c r="O339" t="s">
        <v>74</v>
      </c>
      <c r="P339" t="s">
        <v>74</v>
      </c>
      <c r="Q339" t="s">
        <v>74</v>
      </c>
      <c r="R339" t="s">
        <v>74</v>
      </c>
      <c r="S339" t="s">
        <v>74</v>
      </c>
      <c r="T339" t="s">
        <v>6823</v>
      </c>
      <c r="U339" t="s">
        <v>74</v>
      </c>
      <c r="V339" t="s">
        <v>6824</v>
      </c>
      <c r="W339" t="s">
        <v>6825</v>
      </c>
      <c r="X339" t="s">
        <v>6826</v>
      </c>
      <c r="Y339" t="s">
        <v>6827</v>
      </c>
      <c r="Z339" t="s">
        <v>6828</v>
      </c>
      <c r="AA339" t="s">
        <v>6829</v>
      </c>
      <c r="AB339" t="s">
        <v>6830</v>
      </c>
      <c r="AC339" t="s">
        <v>6831</v>
      </c>
      <c r="AD339" t="s">
        <v>6832</v>
      </c>
      <c r="AE339" t="s">
        <v>6833</v>
      </c>
      <c r="AF339" t="s">
        <v>74</v>
      </c>
      <c r="AG339">
        <v>17</v>
      </c>
      <c r="AH339">
        <v>38</v>
      </c>
      <c r="AI339">
        <v>42</v>
      </c>
      <c r="AJ339">
        <v>3</v>
      </c>
      <c r="AK339">
        <v>18</v>
      </c>
      <c r="AL339" t="s">
        <v>303</v>
      </c>
      <c r="AM339" t="s">
        <v>304</v>
      </c>
      <c r="AN339" t="s">
        <v>305</v>
      </c>
      <c r="AO339" t="s">
        <v>6834</v>
      </c>
      <c r="AP339" t="s">
        <v>6835</v>
      </c>
      <c r="AQ339" t="s">
        <v>74</v>
      </c>
      <c r="AR339" t="s">
        <v>6836</v>
      </c>
      <c r="AS339" t="s">
        <v>6837</v>
      </c>
      <c r="AT339" t="s">
        <v>5678</v>
      </c>
      <c r="AU339">
        <v>2016</v>
      </c>
      <c r="AV339">
        <v>131</v>
      </c>
      <c r="AW339" t="s">
        <v>74</v>
      </c>
      <c r="AX339" t="s">
        <v>74</v>
      </c>
      <c r="AY339" t="s">
        <v>74</v>
      </c>
      <c r="AZ339" t="s">
        <v>650</v>
      </c>
      <c r="BA339" t="s">
        <v>74</v>
      </c>
      <c r="BB339">
        <v>22</v>
      </c>
      <c r="BC339">
        <v>27</v>
      </c>
      <c r="BD339" t="s">
        <v>74</v>
      </c>
      <c r="BE339" t="s">
        <v>6838</v>
      </c>
      <c r="BF339" t="str">
        <f>HYPERLINK("http://dx.doi.org/10.1016/j.dsr2.2015.06.010","http://dx.doi.org/10.1016/j.dsr2.2015.06.010")</f>
        <v>http://dx.doi.org/10.1016/j.dsr2.2015.06.010</v>
      </c>
      <c r="BG339" t="s">
        <v>74</v>
      </c>
      <c r="BH339" t="s">
        <v>74</v>
      </c>
      <c r="BI339">
        <v>6</v>
      </c>
      <c r="BJ339" t="s">
        <v>405</v>
      </c>
      <c r="BK339" t="s">
        <v>156</v>
      </c>
      <c r="BL339" t="s">
        <v>405</v>
      </c>
      <c r="BM339" t="s">
        <v>6839</v>
      </c>
      <c r="BN339" t="s">
        <v>74</v>
      </c>
      <c r="BO339" t="s">
        <v>74</v>
      </c>
      <c r="BP339" t="s">
        <v>74</v>
      </c>
      <c r="BQ339" t="s">
        <v>74</v>
      </c>
      <c r="BR339" t="s">
        <v>105</v>
      </c>
      <c r="BS339" t="s">
        <v>6840</v>
      </c>
      <c r="BT339" t="str">
        <f>HYPERLINK("https%3A%2F%2Fwww.webofscience.com%2Fwos%2Fwoscc%2Ffull-record%2FWOS:000383942700003","View Full Record in Web of Science")</f>
        <v>View Full Record in Web of Science</v>
      </c>
    </row>
    <row r="340" spans="1:72" x14ac:dyDescent="0.15">
      <c r="A340" t="s">
        <v>72</v>
      </c>
      <c r="B340" t="s">
        <v>6841</v>
      </c>
      <c r="C340" t="s">
        <v>74</v>
      </c>
      <c r="D340" t="s">
        <v>74</v>
      </c>
      <c r="E340" t="s">
        <v>74</v>
      </c>
      <c r="F340" t="s">
        <v>6842</v>
      </c>
      <c r="G340" t="s">
        <v>74</v>
      </c>
      <c r="H340" t="s">
        <v>74</v>
      </c>
      <c r="I340" t="s">
        <v>6843</v>
      </c>
      <c r="J340" t="s">
        <v>6822</v>
      </c>
      <c r="K340" t="s">
        <v>74</v>
      </c>
      <c r="L340" t="s">
        <v>74</v>
      </c>
      <c r="M340" t="s">
        <v>78</v>
      </c>
      <c r="N340" t="s">
        <v>79</v>
      </c>
      <c r="O340" t="s">
        <v>74</v>
      </c>
      <c r="P340" t="s">
        <v>74</v>
      </c>
      <c r="Q340" t="s">
        <v>74</v>
      </c>
      <c r="R340" t="s">
        <v>74</v>
      </c>
      <c r="S340" t="s">
        <v>74</v>
      </c>
      <c r="T340" t="s">
        <v>6844</v>
      </c>
      <c r="U340" t="s">
        <v>6845</v>
      </c>
      <c r="V340" t="s">
        <v>6846</v>
      </c>
      <c r="W340" t="s">
        <v>6847</v>
      </c>
      <c r="X340" t="s">
        <v>6848</v>
      </c>
      <c r="Y340" t="s">
        <v>6849</v>
      </c>
      <c r="Z340" t="s">
        <v>74</v>
      </c>
      <c r="AA340" t="s">
        <v>6850</v>
      </c>
      <c r="AB340" t="s">
        <v>6851</v>
      </c>
      <c r="AC340" t="s">
        <v>6852</v>
      </c>
      <c r="AD340" t="s">
        <v>6853</v>
      </c>
      <c r="AE340" t="s">
        <v>6854</v>
      </c>
      <c r="AF340" t="s">
        <v>74</v>
      </c>
      <c r="AG340">
        <v>38</v>
      </c>
      <c r="AH340">
        <v>28</v>
      </c>
      <c r="AI340">
        <v>34</v>
      </c>
      <c r="AJ340">
        <v>0</v>
      </c>
      <c r="AK340">
        <v>13</v>
      </c>
      <c r="AL340" t="s">
        <v>303</v>
      </c>
      <c r="AM340" t="s">
        <v>304</v>
      </c>
      <c r="AN340" t="s">
        <v>305</v>
      </c>
      <c r="AO340" t="s">
        <v>6834</v>
      </c>
      <c r="AP340" t="s">
        <v>6835</v>
      </c>
      <c r="AQ340" t="s">
        <v>74</v>
      </c>
      <c r="AR340" t="s">
        <v>6836</v>
      </c>
      <c r="AS340" t="s">
        <v>6837</v>
      </c>
      <c r="AT340" t="s">
        <v>5678</v>
      </c>
      <c r="AU340">
        <v>2016</v>
      </c>
      <c r="AV340">
        <v>131</v>
      </c>
      <c r="AW340" t="s">
        <v>74</v>
      </c>
      <c r="AX340" t="s">
        <v>74</v>
      </c>
      <c r="AY340" t="s">
        <v>74</v>
      </c>
      <c r="AZ340" t="s">
        <v>650</v>
      </c>
      <c r="BA340" t="s">
        <v>74</v>
      </c>
      <c r="BB340">
        <v>28</v>
      </c>
      <c r="BC340">
        <v>40</v>
      </c>
      <c r="BD340" t="s">
        <v>74</v>
      </c>
      <c r="BE340" t="s">
        <v>6855</v>
      </c>
      <c r="BF340" t="str">
        <f>HYPERLINK("http://dx.doi.org/10.1016/j.dsr2.2015.10.003","http://dx.doi.org/10.1016/j.dsr2.2015.10.003")</f>
        <v>http://dx.doi.org/10.1016/j.dsr2.2015.10.003</v>
      </c>
      <c r="BG340" t="s">
        <v>74</v>
      </c>
      <c r="BH340" t="s">
        <v>74</v>
      </c>
      <c r="BI340">
        <v>13</v>
      </c>
      <c r="BJ340" t="s">
        <v>405</v>
      </c>
      <c r="BK340" t="s">
        <v>156</v>
      </c>
      <c r="BL340" t="s">
        <v>405</v>
      </c>
      <c r="BM340" t="s">
        <v>6839</v>
      </c>
      <c r="BN340" t="s">
        <v>74</v>
      </c>
      <c r="BO340" t="s">
        <v>1002</v>
      </c>
      <c r="BP340" t="s">
        <v>74</v>
      </c>
      <c r="BQ340" t="s">
        <v>74</v>
      </c>
      <c r="BR340" t="s">
        <v>105</v>
      </c>
      <c r="BS340" t="s">
        <v>6856</v>
      </c>
      <c r="BT340" t="str">
        <f>HYPERLINK("https%3A%2F%2Fwww.webofscience.com%2Fwos%2Fwoscc%2Ffull-record%2FWOS:000383942700004","View Full Record in Web of Science")</f>
        <v>View Full Record in Web of Science</v>
      </c>
    </row>
    <row r="341" spans="1:72" x14ac:dyDescent="0.15">
      <c r="A341" t="s">
        <v>72</v>
      </c>
      <c r="B341" t="s">
        <v>6857</v>
      </c>
      <c r="C341" t="s">
        <v>74</v>
      </c>
      <c r="D341" t="s">
        <v>74</v>
      </c>
      <c r="E341" t="s">
        <v>74</v>
      </c>
      <c r="F341" t="s">
        <v>6858</v>
      </c>
      <c r="G341" t="s">
        <v>74</v>
      </c>
      <c r="H341" t="s">
        <v>74</v>
      </c>
      <c r="I341" t="s">
        <v>6859</v>
      </c>
      <c r="J341" t="s">
        <v>6822</v>
      </c>
      <c r="K341" t="s">
        <v>74</v>
      </c>
      <c r="L341" t="s">
        <v>74</v>
      </c>
      <c r="M341" t="s">
        <v>78</v>
      </c>
      <c r="N341" t="s">
        <v>79</v>
      </c>
      <c r="O341" t="s">
        <v>74</v>
      </c>
      <c r="P341" t="s">
        <v>74</v>
      </c>
      <c r="Q341" t="s">
        <v>74</v>
      </c>
      <c r="R341" t="s">
        <v>74</v>
      </c>
      <c r="S341" t="s">
        <v>74</v>
      </c>
      <c r="T341" t="s">
        <v>6860</v>
      </c>
      <c r="U341" t="s">
        <v>6861</v>
      </c>
      <c r="V341" t="s">
        <v>6862</v>
      </c>
      <c r="W341" t="s">
        <v>6863</v>
      </c>
      <c r="X341" t="s">
        <v>6864</v>
      </c>
      <c r="Y341" t="s">
        <v>6865</v>
      </c>
      <c r="Z341" t="s">
        <v>6866</v>
      </c>
      <c r="AA341" t="s">
        <v>6867</v>
      </c>
      <c r="AB341" t="s">
        <v>74</v>
      </c>
      <c r="AC341" t="s">
        <v>6868</v>
      </c>
      <c r="AD341" t="s">
        <v>6869</v>
      </c>
      <c r="AE341" t="s">
        <v>6870</v>
      </c>
      <c r="AF341" t="s">
        <v>74</v>
      </c>
      <c r="AG341">
        <v>36</v>
      </c>
      <c r="AH341">
        <v>2</v>
      </c>
      <c r="AI341">
        <v>2</v>
      </c>
      <c r="AJ341">
        <v>0</v>
      </c>
      <c r="AK341">
        <v>4</v>
      </c>
      <c r="AL341" t="s">
        <v>303</v>
      </c>
      <c r="AM341" t="s">
        <v>304</v>
      </c>
      <c r="AN341" t="s">
        <v>305</v>
      </c>
      <c r="AO341" t="s">
        <v>6834</v>
      </c>
      <c r="AP341" t="s">
        <v>6835</v>
      </c>
      <c r="AQ341" t="s">
        <v>74</v>
      </c>
      <c r="AR341" t="s">
        <v>6836</v>
      </c>
      <c r="AS341" t="s">
        <v>6837</v>
      </c>
      <c r="AT341" t="s">
        <v>5678</v>
      </c>
      <c r="AU341">
        <v>2016</v>
      </c>
      <c r="AV341">
        <v>131</v>
      </c>
      <c r="AW341" t="s">
        <v>74</v>
      </c>
      <c r="AX341" t="s">
        <v>74</v>
      </c>
      <c r="AY341" t="s">
        <v>74</v>
      </c>
      <c r="AZ341" t="s">
        <v>650</v>
      </c>
      <c r="BA341" t="s">
        <v>74</v>
      </c>
      <c r="BB341">
        <v>68</v>
      </c>
      <c r="BC341">
        <v>74</v>
      </c>
      <c r="BD341" t="s">
        <v>74</v>
      </c>
      <c r="BE341" t="s">
        <v>6871</v>
      </c>
      <c r="BF341" t="str">
        <f>HYPERLINK("http://dx.doi.org/10.1016/j.dsr2.2015.12.011","http://dx.doi.org/10.1016/j.dsr2.2015.12.011")</f>
        <v>http://dx.doi.org/10.1016/j.dsr2.2015.12.011</v>
      </c>
      <c r="BG341" t="s">
        <v>74</v>
      </c>
      <c r="BH341" t="s">
        <v>74</v>
      </c>
      <c r="BI341">
        <v>7</v>
      </c>
      <c r="BJ341" t="s">
        <v>405</v>
      </c>
      <c r="BK341" t="s">
        <v>156</v>
      </c>
      <c r="BL341" t="s">
        <v>405</v>
      </c>
      <c r="BM341" t="s">
        <v>6839</v>
      </c>
      <c r="BN341" t="s">
        <v>74</v>
      </c>
      <c r="BO341" t="s">
        <v>74</v>
      </c>
      <c r="BP341" t="s">
        <v>74</v>
      </c>
      <c r="BQ341" t="s">
        <v>74</v>
      </c>
      <c r="BR341" t="s">
        <v>105</v>
      </c>
      <c r="BS341" t="s">
        <v>6872</v>
      </c>
      <c r="BT341" t="str">
        <f>HYPERLINK("https%3A%2F%2Fwww.webofscience.com%2Fwos%2Fwoscc%2Ffull-record%2FWOS:000383942700007","View Full Record in Web of Science")</f>
        <v>View Full Record in Web of Science</v>
      </c>
    </row>
    <row r="342" spans="1:72" x14ac:dyDescent="0.15">
      <c r="A342" t="s">
        <v>72</v>
      </c>
      <c r="B342" t="s">
        <v>6873</v>
      </c>
      <c r="C342" t="s">
        <v>74</v>
      </c>
      <c r="D342" t="s">
        <v>74</v>
      </c>
      <c r="E342" t="s">
        <v>74</v>
      </c>
      <c r="F342" t="s">
        <v>6874</v>
      </c>
      <c r="G342" t="s">
        <v>74</v>
      </c>
      <c r="H342" t="s">
        <v>74</v>
      </c>
      <c r="I342" t="s">
        <v>6875</v>
      </c>
      <c r="J342" t="s">
        <v>6822</v>
      </c>
      <c r="K342" t="s">
        <v>74</v>
      </c>
      <c r="L342" t="s">
        <v>74</v>
      </c>
      <c r="M342" t="s">
        <v>78</v>
      </c>
      <c r="N342" t="s">
        <v>79</v>
      </c>
      <c r="O342" t="s">
        <v>74</v>
      </c>
      <c r="P342" t="s">
        <v>74</v>
      </c>
      <c r="Q342" t="s">
        <v>74</v>
      </c>
      <c r="R342" t="s">
        <v>74</v>
      </c>
      <c r="S342" t="s">
        <v>74</v>
      </c>
      <c r="T342" t="s">
        <v>6876</v>
      </c>
      <c r="U342" t="s">
        <v>6877</v>
      </c>
      <c r="V342" t="s">
        <v>6878</v>
      </c>
      <c r="W342" t="s">
        <v>6879</v>
      </c>
      <c r="X342" t="s">
        <v>6880</v>
      </c>
      <c r="Y342" t="s">
        <v>6881</v>
      </c>
      <c r="Z342" t="s">
        <v>6882</v>
      </c>
      <c r="AA342" t="s">
        <v>6883</v>
      </c>
      <c r="AB342" t="s">
        <v>6884</v>
      </c>
      <c r="AC342" t="s">
        <v>6885</v>
      </c>
      <c r="AD342" t="s">
        <v>6886</v>
      </c>
      <c r="AE342" t="s">
        <v>6887</v>
      </c>
      <c r="AF342" t="s">
        <v>74</v>
      </c>
      <c r="AG342">
        <v>36</v>
      </c>
      <c r="AH342">
        <v>9</v>
      </c>
      <c r="AI342">
        <v>9</v>
      </c>
      <c r="AJ342">
        <v>1</v>
      </c>
      <c r="AK342">
        <v>22</v>
      </c>
      <c r="AL342" t="s">
        <v>303</v>
      </c>
      <c r="AM342" t="s">
        <v>304</v>
      </c>
      <c r="AN342" t="s">
        <v>305</v>
      </c>
      <c r="AO342" t="s">
        <v>6834</v>
      </c>
      <c r="AP342" t="s">
        <v>6835</v>
      </c>
      <c r="AQ342" t="s">
        <v>74</v>
      </c>
      <c r="AR342" t="s">
        <v>6836</v>
      </c>
      <c r="AS342" t="s">
        <v>6837</v>
      </c>
      <c r="AT342" t="s">
        <v>5678</v>
      </c>
      <c r="AU342">
        <v>2016</v>
      </c>
      <c r="AV342">
        <v>131</v>
      </c>
      <c r="AW342" t="s">
        <v>74</v>
      </c>
      <c r="AX342" t="s">
        <v>74</v>
      </c>
      <c r="AY342" t="s">
        <v>74</v>
      </c>
      <c r="AZ342" t="s">
        <v>650</v>
      </c>
      <c r="BA342" t="s">
        <v>74</v>
      </c>
      <c r="BB342">
        <v>75</v>
      </c>
      <c r="BC342">
        <v>83</v>
      </c>
      <c r="BD342" t="s">
        <v>74</v>
      </c>
      <c r="BE342" t="s">
        <v>6888</v>
      </c>
      <c r="BF342" t="str">
        <f>HYPERLINK("http://dx.doi.org/10.1016/j.dsr2.2016.03.008","http://dx.doi.org/10.1016/j.dsr2.2016.03.008")</f>
        <v>http://dx.doi.org/10.1016/j.dsr2.2016.03.008</v>
      </c>
      <c r="BG342" t="s">
        <v>74</v>
      </c>
      <c r="BH342" t="s">
        <v>74</v>
      </c>
      <c r="BI342">
        <v>9</v>
      </c>
      <c r="BJ342" t="s">
        <v>405</v>
      </c>
      <c r="BK342" t="s">
        <v>156</v>
      </c>
      <c r="BL342" t="s">
        <v>405</v>
      </c>
      <c r="BM342" t="s">
        <v>6839</v>
      </c>
      <c r="BN342" t="s">
        <v>74</v>
      </c>
      <c r="BO342" t="s">
        <v>805</v>
      </c>
      <c r="BP342" t="s">
        <v>74</v>
      </c>
      <c r="BQ342" t="s">
        <v>74</v>
      </c>
      <c r="BR342" t="s">
        <v>105</v>
      </c>
      <c r="BS342" t="s">
        <v>6889</v>
      </c>
      <c r="BT342" t="str">
        <f>HYPERLINK("https%3A%2F%2Fwww.webofscience.com%2Fwos%2Fwoscc%2Ffull-record%2FWOS:000383942700008","View Full Record in Web of Science")</f>
        <v>View Full Record in Web of Science</v>
      </c>
    </row>
    <row r="343" spans="1:72" x14ac:dyDescent="0.15">
      <c r="A343" t="s">
        <v>72</v>
      </c>
      <c r="B343" t="s">
        <v>6890</v>
      </c>
      <c r="C343" t="s">
        <v>74</v>
      </c>
      <c r="D343" t="s">
        <v>74</v>
      </c>
      <c r="E343" t="s">
        <v>74</v>
      </c>
      <c r="F343" t="s">
        <v>6891</v>
      </c>
      <c r="G343" t="s">
        <v>74</v>
      </c>
      <c r="H343" t="s">
        <v>74</v>
      </c>
      <c r="I343" t="s">
        <v>6892</v>
      </c>
      <c r="J343" t="s">
        <v>6822</v>
      </c>
      <c r="K343" t="s">
        <v>74</v>
      </c>
      <c r="L343" t="s">
        <v>74</v>
      </c>
      <c r="M343" t="s">
        <v>78</v>
      </c>
      <c r="N343" t="s">
        <v>79</v>
      </c>
      <c r="O343" t="s">
        <v>74</v>
      </c>
      <c r="P343" t="s">
        <v>74</v>
      </c>
      <c r="Q343" t="s">
        <v>74</v>
      </c>
      <c r="R343" t="s">
        <v>74</v>
      </c>
      <c r="S343" t="s">
        <v>74</v>
      </c>
      <c r="T343" t="s">
        <v>6893</v>
      </c>
      <c r="U343" t="s">
        <v>6894</v>
      </c>
      <c r="V343" t="s">
        <v>6895</v>
      </c>
      <c r="W343" t="s">
        <v>6896</v>
      </c>
      <c r="X343" t="s">
        <v>6897</v>
      </c>
      <c r="Y343" t="s">
        <v>6898</v>
      </c>
      <c r="Z343" t="s">
        <v>6899</v>
      </c>
      <c r="AA343" t="s">
        <v>6900</v>
      </c>
      <c r="AB343" t="s">
        <v>6901</v>
      </c>
      <c r="AC343" t="s">
        <v>6902</v>
      </c>
      <c r="AD343" t="s">
        <v>6903</v>
      </c>
      <c r="AE343" t="s">
        <v>6904</v>
      </c>
      <c r="AF343" t="s">
        <v>74</v>
      </c>
      <c r="AG343">
        <v>24</v>
      </c>
      <c r="AH343">
        <v>7</v>
      </c>
      <c r="AI343">
        <v>10</v>
      </c>
      <c r="AJ343">
        <v>2</v>
      </c>
      <c r="AK343">
        <v>14</v>
      </c>
      <c r="AL343" t="s">
        <v>303</v>
      </c>
      <c r="AM343" t="s">
        <v>304</v>
      </c>
      <c r="AN343" t="s">
        <v>305</v>
      </c>
      <c r="AO343" t="s">
        <v>6834</v>
      </c>
      <c r="AP343" t="s">
        <v>6835</v>
      </c>
      <c r="AQ343" t="s">
        <v>74</v>
      </c>
      <c r="AR343" t="s">
        <v>6836</v>
      </c>
      <c r="AS343" t="s">
        <v>6837</v>
      </c>
      <c r="AT343" t="s">
        <v>5678</v>
      </c>
      <c r="AU343">
        <v>2016</v>
      </c>
      <c r="AV343">
        <v>131</v>
      </c>
      <c r="AW343" t="s">
        <v>74</v>
      </c>
      <c r="AX343" t="s">
        <v>74</v>
      </c>
      <c r="AY343" t="s">
        <v>74</v>
      </c>
      <c r="AZ343" t="s">
        <v>650</v>
      </c>
      <c r="BA343" t="s">
        <v>74</v>
      </c>
      <c r="BB343">
        <v>84</v>
      </c>
      <c r="BC343">
        <v>95</v>
      </c>
      <c r="BD343" t="s">
        <v>74</v>
      </c>
      <c r="BE343" t="s">
        <v>6905</v>
      </c>
      <c r="BF343" t="str">
        <f>HYPERLINK("http://dx.doi.org/10.1016/j.dsr2.2016.04.026","http://dx.doi.org/10.1016/j.dsr2.2016.04.026")</f>
        <v>http://dx.doi.org/10.1016/j.dsr2.2016.04.026</v>
      </c>
      <c r="BG343" t="s">
        <v>74</v>
      </c>
      <c r="BH343" t="s">
        <v>74</v>
      </c>
      <c r="BI343">
        <v>12</v>
      </c>
      <c r="BJ343" t="s">
        <v>405</v>
      </c>
      <c r="BK343" t="s">
        <v>156</v>
      </c>
      <c r="BL343" t="s">
        <v>405</v>
      </c>
      <c r="BM343" t="s">
        <v>6839</v>
      </c>
      <c r="BN343" t="s">
        <v>74</v>
      </c>
      <c r="BO343" t="s">
        <v>74</v>
      </c>
      <c r="BP343" t="s">
        <v>74</v>
      </c>
      <c r="BQ343" t="s">
        <v>74</v>
      </c>
      <c r="BR343" t="s">
        <v>105</v>
      </c>
      <c r="BS343" t="s">
        <v>6906</v>
      </c>
      <c r="BT343" t="str">
        <f>HYPERLINK("https%3A%2F%2Fwww.webofscience.com%2Fwos%2Fwoscc%2Ffull-record%2FWOS:000383942700009","View Full Record in Web of Science")</f>
        <v>View Full Record in Web of Science</v>
      </c>
    </row>
    <row r="344" spans="1:72" x14ac:dyDescent="0.15">
      <c r="A344" t="s">
        <v>72</v>
      </c>
      <c r="B344" t="s">
        <v>6907</v>
      </c>
      <c r="C344" t="s">
        <v>74</v>
      </c>
      <c r="D344" t="s">
        <v>74</v>
      </c>
      <c r="E344" t="s">
        <v>74</v>
      </c>
      <c r="F344" t="s">
        <v>6908</v>
      </c>
      <c r="G344" t="s">
        <v>74</v>
      </c>
      <c r="H344" t="s">
        <v>74</v>
      </c>
      <c r="I344" t="s">
        <v>6909</v>
      </c>
      <c r="J344" t="s">
        <v>6822</v>
      </c>
      <c r="K344" t="s">
        <v>74</v>
      </c>
      <c r="L344" t="s">
        <v>74</v>
      </c>
      <c r="M344" t="s">
        <v>78</v>
      </c>
      <c r="N344" t="s">
        <v>79</v>
      </c>
      <c r="O344" t="s">
        <v>74</v>
      </c>
      <c r="P344" t="s">
        <v>74</v>
      </c>
      <c r="Q344" t="s">
        <v>74</v>
      </c>
      <c r="R344" t="s">
        <v>74</v>
      </c>
      <c r="S344" t="s">
        <v>74</v>
      </c>
      <c r="T344" t="s">
        <v>6910</v>
      </c>
      <c r="U344" t="s">
        <v>6911</v>
      </c>
      <c r="V344" t="s">
        <v>6912</v>
      </c>
      <c r="W344" t="s">
        <v>6913</v>
      </c>
      <c r="X344" t="s">
        <v>6914</v>
      </c>
      <c r="Y344" t="s">
        <v>6915</v>
      </c>
      <c r="Z344" t="s">
        <v>6916</v>
      </c>
      <c r="AA344" t="s">
        <v>6917</v>
      </c>
      <c r="AB344" t="s">
        <v>6918</v>
      </c>
      <c r="AC344" t="s">
        <v>6919</v>
      </c>
      <c r="AD344" t="s">
        <v>6920</v>
      </c>
      <c r="AE344" t="s">
        <v>6921</v>
      </c>
      <c r="AF344" t="s">
        <v>74</v>
      </c>
      <c r="AG344">
        <v>110</v>
      </c>
      <c r="AH344">
        <v>12</v>
      </c>
      <c r="AI344">
        <v>12</v>
      </c>
      <c r="AJ344">
        <v>0</v>
      </c>
      <c r="AK344">
        <v>29</v>
      </c>
      <c r="AL344" t="s">
        <v>303</v>
      </c>
      <c r="AM344" t="s">
        <v>304</v>
      </c>
      <c r="AN344" t="s">
        <v>305</v>
      </c>
      <c r="AO344" t="s">
        <v>6834</v>
      </c>
      <c r="AP344" t="s">
        <v>6835</v>
      </c>
      <c r="AQ344" t="s">
        <v>74</v>
      </c>
      <c r="AR344" t="s">
        <v>6836</v>
      </c>
      <c r="AS344" t="s">
        <v>6837</v>
      </c>
      <c r="AT344" t="s">
        <v>5678</v>
      </c>
      <c r="AU344">
        <v>2016</v>
      </c>
      <c r="AV344">
        <v>131</v>
      </c>
      <c r="AW344" t="s">
        <v>74</v>
      </c>
      <c r="AX344" t="s">
        <v>74</v>
      </c>
      <c r="AY344" t="s">
        <v>74</v>
      </c>
      <c r="AZ344" t="s">
        <v>650</v>
      </c>
      <c r="BA344" t="s">
        <v>74</v>
      </c>
      <c r="BB344">
        <v>96</v>
      </c>
      <c r="BC344">
        <v>110</v>
      </c>
      <c r="BD344" t="s">
        <v>74</v>
      </c>
      <c r="BE344" t="s">
        <v>6922</v>
      </c>
      <c r="BF344" t="str">
        <f>HYPERLINK("http://dx.doi.org/10.1016/j.dsr2.2015.02.019","http://dx.doi.org/10.1016/j.dsr2.2015.02.019")</f>
        <v>http://dx.doi.org/10.1016/j.dsr2.2015.02.019</v>
      </c>
      <c r="BG344" t="s">
        <v>74</v>
      </c>
      <c r="BH344" t="s">
        <v>74</v>
      </c>
      <c r="BI344">
        <v>15</v>
      </c>
      <c r="BJ344" t="s">
        <v>405</v>
      </c>
      <c r="BK344" t="s">
        <v>156</v>
      </c>
      <c r="BL344" t="s">
        <v>405</v>
      </c>
      <c r="BM344" t="s">
        <v>6839</v>
      </c>
      <c r="BN344" t="s">
        <v>74</v>
      </c>
      <c r="BO344" t="s">
        <v>74</v>
      </c>
      <c r="BP344" t="s">
        <v>74</v>
      </c>
      <c r="BQ344" t="s">
        <v>74</v>
      </c>
      <c r="BR344" t="s">
        <v>105</v>
      </c>
      <c r="BS344" t="s">
        <v>6923</v>
      </c>
      <c r="BT344" t="str">
        <f>HYPERLINK("https%3A%2F%2Fwww.webofscience.com%2Fwos%2Fwoscc%2Ffull-record%2FWOS:000383942700010","View Full Record in Web of Science")</f>
        <v>View Full Record in Web of Science</v>
      </c>
    </row>
    <row r="345" spans="1:72" x14ac:dyDescent="0.15">
      <c r="A345" t="s">
        <v>72</v>
      </c>
      <c r="B345" t="s">
        <v>6924</v>
      </c>
      <c r="C345" t="s">
        <v>74</v>
      </c>
      <c r="D345" t="s">
        <v>74</v>
      </c>
      <c r="E345" t="s">
        <v>74</v>
      </c>
      <c r="F345" t="s">
        <v>6925</v>
      </c>
      <c r="G345" t="s">
        <v>74</v>
      </c>
      <c r="H345" t="s">
        <v>74</v>
      </c>
      <c r="I345" t="s">
        <v>6926</v>
      </c>
      <c r="J345" t="s">
        <v>6822</v>
      </c>
      <c r="K345" t="s">
        <v>74</v>
      </c>
      <c r="L345" t="s">
        <v>74</v>
      </c>
      <c r="M345" t="s">
        <v>78</v>
      </c>
      <c r="N345" t="s">
        <v>79</v>
      </c>
      <c r="O345" t="s">
        <v>74</v>
      </c>
      <c r="P345" t="s">
        <v>74</v>
      </c>
      <c r="Q345" t="s">
        <v>74</v>
      </c>
      <c r="R345" t="s">
        <v>74</v>
      </c>
      <c r="S345" t="s">
        <v>74</v>
      </c>
      <c r="T345" t="s">
        <v>6927</v>
      </c>
      <c r="U345" t="s">
        <v>6928</v>
      </c>
      <c r="V345" t="s">
        <v>6929</v>
      </c>
      <c r="W345" t="s">
        <v>6930</v>
      </c>
      <c r="X345" t="s">
        <v>6931</v>
      </c>
      <c r="Y345" t="s">
        <v>6932</v>
      </c>
      <c r="Z345" t="s">
        <v>1274</v>
      </c>
      <c r="AA345" t="s">
        <v>6933</v>
      </c>
      <c r="AB345" t="s">
        <v>6934</v>
      </c>
      <c r="AC345" t="s">
        <v>6935</v>
      </c>
      <c r="AD345" t="s">
        <v>6936</v>
      </c>
      <c r="AE345" t="s">
        <v>6937</v>
      </c>
      <c r="AF345" t="s">
        <v>74</v>
      </c>
      <c r="AG345">
        <v>62</v>
      </c>
      <c r="AH345">
        <v>32</v>
      </c>
      <c r="AI345">
        <v>33</v>
      </c>
      <c r="AJ345">
        <v>0</v>
      </c>
      <c r="AK345">
        <v>16</v>
      </c>
      <c r="AL345" t="s">
        <v>303</v>
      </c>
      <c r="AM345" t="s">
        <v>304</v>
      </c>
      <c r="AN345" t="s">
        <v>305</v>
      </c>
      <c r="AO345" t="s">
        <v>6834</v>
      </c>
      <c r="AP345" t="s">
        <v>6835</v>
      </c>
      <c r="AQ345" t="s">
        <v>74</v>
      </c>
      <c r="AR345" t="s">
        <v>6836</v>
      </c>
      <c r="AS345" t="s">
        <v>6837</v>
      </c>
      <c r="AT345" t="s">
        <v>5678</v>
      </c>
      <c r="AU345">
        <v>2016</v>
      </c>
      <c r="AV345">
        <v>131</v>
      </c>
      <c r="AW345" t="s">
        <v>74</v>
      </c>
      <c r="AX345" t="s">
        <v>74</v>
      </c>
      <c r="AY345" t="s">
        <v>74</v>
      </c>
      <c r="AZ345" t="s">
        <v>650</v>
      </c>
      <c r="BA345" t="s">
        <v>74</v>
      </c>
      <c r="BB345">
        <v>111</v>
      </c>
      <c r="BC345">
        <v>122</v>
      </c>
      <c r="BD345" t="s">
        <v>74</v>
      </c>
      <c r="BE345" t="s">
        <v>6938</v>
      </c>
      <c r="BF345" t="str">
        <f>HYPERLINK("http://dx.doi.org/10.1016/j.dsr2.2014.12.003","http://dx.doi.org/10.1016/j.dsr2.2014.12.003")</f>
        <v>http://dx.doi.org/10.1016/j.dsr2.2014.12.003</v>
      </c>
      <c r="BG345" t="s">
        <v>74</v>
      </c>
      <c r="BH345" t="s">
        <v>74</v>
      </c>
      <c r="BI345">
        <v>12</v>
      </c>
      <c r="BJ345" t="s">
        <v>405</v>
      </c>
      <c r="BK345" t="s">
        <v>156</v>
      </c>
      <c r="BL345" t="s">
        <v>405</v>
      </c>
      <c r="BM345" t="s">
        <v>6839</v>
      </c>
      <c r="BN345" t="s">
        <v>74</v>
      </c>
      <c r="BO345" t="s">
        <v>5141</v>
      </c>
      <c r="BP345" t="s">
        <v>74</v>
      </c>
      <c r="BQ345" t="s">
        <v>74</v>
      </c>
      <c r="BR345" t="s">
        <v>105</v>
      </c>
      <c r="BS345" t="s">
        <v>6939</v>
      </c>
      <c r="BT345" t="str">
        <f>HYPERLINK("https%3A%2F%2Fwww.webofscience.com%2Fwos%2Fwoscc%2Ffull-record%2FWOS:000383942700011","View Full Record in Web of Science")</f>
        <v>View Full Record in Web of Science</v>
      </c>
    </row>
    <row r="346" spans="1:72" x14ac:dyDescent="0.15">
      <c r="A346" t="s">
        <v>72</v>
      </c>
      <c r="B346" t="s">
        <v>6940</v>
      </c>
      <c r="C346" t="s">
        <v>74</v>
      </c>
      <c r="D346" t="s">
        <v>74</v>
      </c>
      <c r="E346" t="s">
        <v>74</v>
      </c>
      <c r="F346" t="s">
        <v>6941</v>
      </c>
      <c r="G346" t="s">
        <v>74</v>
      </c>
      <c r="H346" t="s">
        <v>74</v>
      </c>
      <c r="I346" t="s">
        <v>6942</v>
      </c>
      <c r="J346" t="s">
        <v>6822</v>
      </c>
      <c r="K346" t="s">
        <v>74</v>
      </c>
      <c r="L346" t="s">
        <v>74</v>
      </c>
      <c r="M346" t="s">
        <v>78</v>
      </c>
      <c r="N346" t="s">
        <v>79</v>
      </c>
      <c r="O346" t="s">
        <v>74</v>
      </c>
      <c r="P346" t="s">
        <v>74</v>
      </c>
      <c r="Q346" t="s">
        <v>74</v>
      </c>
      <c r="R346" t="s">
        <v>74</v>
      </c>
      <c r="S346" t="s">
        <v>74</v>
      </c>
      <c r="T346" t="s">
        <v>6943</v>
      </c>
      <c r="U346" t="s">
        <v>6944</v>
      </c>
      <c r="V346" t="s">
        <v>6945</v>
      </c>
      <c r="W346" t="s">
        <v>6946</v>
      </c>
      <c r="X346" t="s">
        <v>6947</v>
      </c>
      <c r="Y346" t="s">
        <v>6948</v>
      </c>
      <c r="Z346" t="s">
        <v>6949</v>
      </c>
      <c r="AA346" t="s">
        <v>6950</v>
      </c>
      <c r="AB346" t="s">
        <v>6951</v>
      </c>
      <c r="AC346" t="s">
        <v>6952</v>
      </c>
      <c r="AD346" t="s">
        <v>6953</v>
      </c>
      <c r="AE346" t="s">
        <v>6954</v>
      </c>
      <c r="AF346" t="s">
        <v>74</v>
      </c>
      <c r="AG346">
        <v>127</v>
      </c>
      <c r="AH346">
        <v>18</v>
      </c>
      <c r="AI346">
        <v>18</v>
      </c>
      <c r="AJ346">
        <v>1</v>
      </c>
      <c r="AK346">
        <v>12</v>
      </c>
      <c r="AL346" t="s">
        <v>303</v>
      </c>
      <c r="AM346" t="s">
        <v>304</v>
      </c>
      <c r="AN346" t="s">
        <v>305</v>
      </c>
      <c r="AO346" t="s">
        <v>6834</v>
      </c>
      <c r="AP346" t="s">
        <v>6835</v>
      </c>
      <c r="AQ346" t="s">
        <v>74</v>
      </c>
      <c r="AR346" t="s">
        <v>6836</v>
      </c>
      <c r="AS346" t="s">
        <v>6837</v>
      </c>
      <c r="AT346" t="s">
        <v>5678</v>
      </c>
      <c r="AU346">
        <v>2016</v>
      </c>
      <c r="AV346">
        <v>131</v>
      </c>
      <c r="AW346" t="s">
        <v>74</v>
      </c>
      <c r="AX346" t="s">
        <v>74</v>
      </c>
      <c r="AY346" t="s">
        <v>74</v>
      </c>
      <c r="AZ346" t="s">
        <v>650</v>
      </c>
      <c r="BA346" t="s">
        <v>74</v>
      </c>
      <c r="BB346">
        <v>123</v>
      </c>
      <c r="BC346">
        <v>139</v>
      </c>
      <c r="BD346" t="s">
        <v>74</v>
      </c>
      <c r="BE346" t="s">
        <v>6955</v>
      </c>
      <c r="BF346" t="str">
        <f>HYPERLINK("http://dx.doi.org/10.1016/j.dsr2.2015.12.013","http://dx.doi.org/10.1016/j.dsr2.2015.12.013")</f>
        <v>http://dx.doi.org/10.1016/j.dsr2.2015.12.013</v>
      </c>
      <c r="BG346" t="s">
        <v>74</v>
      </c>
      <c r="BH346" t="s">
        <v>74</v>
      </c>
      <c r="BI346">
        <v>17</v>
      </c>
      <c r="BJ346" t="s">
        <v>405</v>
      </c>
      <c r="BK346" t="s">
        <v>156</v>
      </c>
      <c r="BL346" t="s">
        <v>405</v>
      </c>
      <c r="BM346" t="s">
        <v>6839</v>
      </c>
      <c r="BN346" t="s">
        <v>74</v>
      </c>
      <c r="BO346" t="s">
        <v>74</v>
      </c>
      <c r="BP346" t="s">
        <v>74</v>
      </c>
      <c r="BQ346" t="s">
        <v>74</v>
      </c>
      <c r="BR346" t="s">
        <v>105</v>
      </c>
      <c r="BS346" t="s">
        <v>6956</v>
      </c>
      <c r="BT346" t="str">
        <f>HYPERLINK("https%3A%2F%2Fwww.webofscience.com%2Fwos%2Fwoscc%2Ffull-record%2FWOS:000383942700012","View Full Record in Web of Science")</f>
        <v>View Full Record in Web of Science</v>
      </c>
    </row>
    <row r="347" spans="1:72" x14ac:dyDescent="0.15">
      <c r="A347" t="s">
        <v>72</v>
      </c>
      <c r="B347" t="s">
        <v>6957</v>
      </c>
      <c r="C347" t="s">
        <v>74</v>
      </c>
      <c r="D347" t="s">
        <v>74</v>
      </c>
      <c r="E347" t="s">
        <v>74</v>
      </c>
      <c r="F347" t="s">
        <v>6958</v>
      </c>
      <c r="G347" t="s">
        <v>74</v>
      </c>
      <c r="H347" t="s">
        <v>74</v>
      </c>
      <c r="I347" t="s">
        <v>6959</v>
      </c>
      <c r="J347" t="s">
        <v>6822</v>
      </c>
      <c r="K347" t="s">
        <v>74</v>
      </c>
      <c r="L347" t="s">
        <v>74</v>
      </c>
      <c r="M347" t="s">
        <v>78</v>
      </c>
      <c r="N347" t="s">
        <v>79</v>
      </c>
      <c r="O347" t="s">
        <v>74</v>
      </c>
      <c r="P347" t="s">
        <v>74</v>
      </c>
      <c r="Q347" t="s">
        <v>74</v>
      </c>
      <c r="R347" t="s">
        <v>74</v>
      </c>
      <c r="S347" t="s">
        <v>74</v>
      </c>
      <c r="T347" t="s">
        <v>6960</v>
      </c>
      <c r="U347" t="s">
        <v>6961</v>
      </c>
      <c r="V347" t="s">
        <v>6962</v>
      </c>
      <c r="W347" t="s">
        <v>6963</v>
      </c>
      <c r="X347" t="s">
        <v>6964</v>
      </c>
      <c r="Y347" t="s">
        <v>6965</v>
      </c>
      <c r="Z347" t="s">
        <v>6966</v>
      </c>
      <c r="AA347" t="s">
        <v>6967</v>
      </c>
      <c r="AB347" t="s">
        <v>6968</v>
      </c>
      <c r="AC347" t="s">
        <v>6969</v>
      </c>
      <c r="AD347" t="s">
        <v>6970</v>
      </c>
      <c r="AE347" t="s">
        <v>6971</v>
      </c>
      <c r="AF347" t="s">
        <v>74</v>
      </c>
      <c r="AG347">
        <v>78</v>
      </c>
      <c r="AH347">
        <v>16</v>
      </c>
      <c r="AI347">
        <v>17</v>
      </c>
      <c r="AJ347">
        <v>0</v>
      </c>
      <c r="AK347">
        <v>30</v>
      </c>
      <c r="AL347" t="s">
        <v>303</v>
      </c>
      <c r="AM347" t="s">
        <v>304</v>
      </c>
      <c r="AN347" t="s">
        <v>305</v>
      </c>
      <c r="AO347" t="s">
        <v>6834</v>
      </c>
      <c r="AP347" t="s">
        <v>6835</v>
      </c>
      <c r="AQ347" t="s">
        <v>74</v>
      </c>
      <c r="AR347" t="s">
        <v>6836</v>
      </c>
      <c r="AS347" t="s">
        <v>6837</v>
      </c>
      <c r="AT347" t="s">
        <v>5678</v>
      </c>
      <c r="AU347">
        <v>2016</v>
      </c>
      <c r="AV347">
        <v>131</v>
      </c>
      <c r="AW347" t="s">
        <v>74</v>
      </c>
      <c r="AX347" t="s">
        <v>74</v>
      </c>
      <c r="AY347" t="s">
        <v>74</v>
      </c>
      <c r="AZ347" t="s">
        <v>650</v>
      </c>
      <c r="BA347" t="s">
        <v>74</v>
      </c>
      <c r="BB347">
        <v>140</v>
      </c>
      <c r="BC347">
        <v>149</v>
      </c>
      <c r="BD347" t="s">
        <v>74</v>
      </c>
      <c r="BE347" t="s">
        <v>6972</v>
      </c>
      <c r="BF347" t="str">
        <f>HYPERLINK("http://dx.doi.org/10.1016/j.dsr2.2015.08.007","http://dx.doi.org/10.1016/j.dsr2.2015.08.007")</f>
        <v>http://dx.doi.org/10.1016/j.dsr2.2015.08.007</v>
      </c>
      <c r="BG347" t="s">
        <v>74</v>
      </c>
      <c r="BH347" t="s">
        <v>74</v>
      </c>
      <c r="BI347">
        <v>10</v>
      </c>
      <c r="BJ347" t="s">
        <v>405</v>
      </c>
      <c r="BK347" t="s">
        <v>156</v>
      </c>
      <c r="BL347" t="s">
        <v>405</v>
      </c>
      <c r="BM347" t="s">
        <v>6839</v>
      </c>
      <c r="BN347" t="s">
        <v>74</v>
      </c>
      <c r="BO347" t="s">
        <v>74</v>
      </c>
      <c r="BP347" t="s">
        <v>74</v>
      </c>
      <c r="BQ347" t="s">
        <v>74</v>
      </c>
      <c r="BR347" t="s">
        <v>105</v>
      </c>
      <c r="BS347" t="s">
        <v>6973</v>
      </c>
      <c r="BT347" t="str">
        <f>HYPERLINK("https%3A%2F%2Fwww.webofscience.com%2Fwos%2Fwoscc%2Ffull-record%2FWOS:000383942700013","View Full Record in Web of Science")</f>
        <v>View Full Record in Web of Science</v>
      </c>
    </row>
    <row r="348" spans="1:72" x14ac:dyDescent="0.15">
      <c r="A348" t="s">
        <v>72</v>
      </c>
      <c r="B348" t="s">
        <v>6974</v>
      </c>
      <c r="C348" t="s">
        <v>74</v>
      </c>
      <c r="D348" t="s">
        <v>74</v>
      </c>
      <c r="E348" t="s">
        <v>74</v>
      </c>
      <c r="F348" t="s">
        <v>6975</v>
      </c>
      <c r="G348" t="s">
        <v>74</v>
      </c>
      <c r="H348" t="s">
        <v>74</v>
      </c>
      <c r="I348" t="s">
        <v>6976</v>
      </c>
      <c r="J348" t="s">
        <v>6822</v>
      </c>
      <c r="K348" t="s">
        <v>74</v>
      </c>
      <c r="L348" t="s">
        <v>74</v>
      </c>
      <c r="M348" t="s">
        <v>78</v>
      </c>
      <c r="N348" t="s">
        <v>79</v>
      </c>
      <c r="O348" t="s">
        <v>74</v>
      </c>
      <c r="P348" t="s">
        <v>74</v>
      </c>
      <c r="Q348" t="s">
        <v>74</v>
      </c>
      <c r="R348" t="s">
        <v>74</v>
      </c>
      <c r="S348" t="s">
        <v>74</v>
      </c>
      <c r="T348" t="s">
        <v>6977</v>
      </c>
      <c r="U348" t="s">
        <v>6978</v>
      </c>
      <c r="V348" t="s">
        <v>6979</v>
      </c>
      <c r="W348" t="s">
        <v>6980</v>
      </c>
      <c r="X348" t="s">
        <v>6981</v>
      </c>
      <c r="Y348" t="s">
        <v>6982</v>
      </c>
      <c r="Z348" t="s">
        <v>6983</v>
      </c>
      <c r="AA348" t="s">
        <v>6984</v>
      </c>
      <c r="AB348" t="s">
        <v>6985</v>
      </c>
      <c r="AC348" t="s">
        <v>6986</v>
      </c>
      <c r="AD348" t="s">
        <v>6987</v>
      </c>
      <c r="AE348" t="s">
        <v>6988</v>
      </c>
      <c r="AF348" t="s">
        <v>74</v>
      </c>
      <c r="AG348">
        <v>47</v>
      </c>
      <c r="AH348">
        <v>21</v>
      </c>
      <c r="AI348">
        <v>21</v>
      </c>
      <c r="AJ348">
        <v>0</v>
      </c>
      <c r="AK348">
        <v>36</v>
      </c>
      <c r="AL348" t="s">
        <v>303</v>
      </c>
      <c r="AM348" t="s">
        <v>304</v>
      </c>
      <c r="AN348" t="s">
        <v>305</v>
      </c>
      <c r="AO348" t="s">
        <v>6834</v>
      </c>
      <c r="AP348" t="s">
        <v>6835</v>
      </c>
      <c r="AQ348" t="s">
        <v>74</v>
      </c>
      <c r="AR348" t="s">
        <v>6836</v>
      </c>
      <c r="AS348" t="s">
        <v>6837</v>
      </c>
      <c r="AT348" t="s">
        <v>5678</v>
      </c>
      <c r="AU348">
        <v>2016</v>
      </c>
      <c r="AV348">
        <v>131</v>
      </c>
      <c r="AW348" t="s">
        <v>74</v>
      </c>
      <c r="AX348" t="s">
        <v>74</v>
      </c>
      <c r="AY348" t="s">
        <v>74</v>
      </c>
      <c r="AZ348" t="s">
        <v>650</v>
      </c>
      <c r="BA348" t="s">
        <v>74</v>
      </c>
      <c r="BB348">
        <v>150</v>
      </c>
      <c r="BC348">
        <v>159</v>
      </c>
      <c r="BD348" t="s">
        <v>74</v>
      </c>
      <c r="BE348" t="s">
        <v>6989</v>
      </c>
      <c r="BF348" t="str">
        <f>HYPERLINK("http://dx.doi.org/10.1016/j.dsr2.2015.12.015","http://dx.doi.org/10.1016/j.dsr2.2015.12.015")</f>
        <v>http://dx.doi.org/10.1016/j.dsr2.2015.12.015</v>
      </c>
      <c r="BG348" t="s">
        <v>74</v>
      </c>
      <c r="BH348" t="s">
        <v>74</v>
      </c>
      <c r="BI348">
        <v>10</v>
      </c>
      <c r="BJ348" t="s">
        <v>405</v>
      </c>
      <c r="BK348" t="s">
        <v>156</v>
      </c>
      <c r="BL348" t="s">
        <v>405</v>
      </c>
      <c r="BM348" t="s">
        <v>6839</v>
      </c>
      <c r="BN348" t="s">
        <v>74</v>
      </c>
      <c r="BO348" t="s">
        <v>74</v>
      </c>
      <c r="BP348" t="s">
        <v>74</v>
      </c>
      <c r="BQ348" t="s">
        <v>74</v>
      </c>
      <c r="BR348" t="s">
        <v>105</v>
      </c>
      <c r="BS348" t="s">
        <v>6990</v>
      </c>
      <c r="BT348" t="str">
        <f>HYPERLINK("https%3A%2F%2Fwww.webofscience.com%2Fwos%2Fwoscc%2Ffull-record%2FWOS:000383942700014","View Full Record in Web of Science")</f>
        <v>View Full Record in Web of Science</v>
      </c>
    </row>
    <row r="349" spans="1:72" x14ac:dyDescent="0.15">
      <c r="A349" t="s">
        <v>72</v>
      </c>
      <c r="B349" t="s">
        <v>6991</v>
      </c>
      <c r="C349" t="s">
        <v>74</v>
      </c>
      <c r="D349" t="s">
        <v>74</v>
      </c>
      <c r="E349" t="s">
        <v>74</v>
      </c>
      <c r="F349" t="s">
        <v>6992</v>
      </c>
      <c r="G349" t="s">
        <v>74</v>
      </c>
      <c r="H349" t="s">
        <v>74</v>
      </c>
      <c r="I349" t="s">
        <v>6993</v>
      </c>
      <c r="J349" t="s">
        <v>6822</v>
      </c>
      <c r="K349" t="s">
        <v>74</v>
      </c>
      <c r="L349" t="s">
        <v>74</v>
      </c>
      <c r="M349" t="s">
        <v>78</v>
      </c>
      <c r="N349" t="s">
        <v>79</v>
      </c>
      <c r="O349" t="s">
        <v>74</v>
      </c>
      <c r="P349" t="s">
        <v>74</v>
      </c>
      <c r="Q349" t="s">
        <v>74</v>
      </c>
      <c r="R349" t="s">
        <v>74</v>
      </c>
      <c r="S349" t="s">
        <v>74</v>
      </c>
      <c r="T349" t="s">
        <v>6994</v>
      </c>
      <c r="U349" t="s">
        <v>6995</v>
      </c>
      <c r="V349" t="s">
        <v>6996</v>
      </c>
      <c r="W349" t="s">
        <v>6997</v>
      </c>
      <c r="X349" t="s">
        <v>6998</v>
      </c>
      <c r="Y349" t="s">
        <v>6999</v>
      </c>
      <c r="Z349" t="s">
        <v>7000</v>
      </c>
      <c r="AA349" t="s">
        <v>7001</v>
      </c>
      <c r="AB349" t="s">
        <v>7002</v>
      </c>
      <c r="AC349" t="s">
        <v>7003</v>
      </c>
      <c r="AD349" t="s">
        <v>7004</v>
      </c>
      <c r="AE349" t="s">
        <v>7005</v>
      </c>
      <c r="AF349" t="s">
        <v>74</v>
      </c>
      <c r="AG349">
        <v>72</v>
      </c>
      <c r="AH349">
        <v>11</v>
      </c>
      <c r="AI349">
        <v>11</v>
      </c>
      <c r="AJ349">
        <v>3</v>
      </c>
      <c r="AK349">
        <v>58</v>
      </c>
      <c r="AL349" t="s">
        <v>303</v>
      </c>
      <c r="AM349" t="s">
        <v>304</v>
      </c>
      <c r="AN349" t="s">
        <v>305</v>
      </c>
      <c r="AO349" t="s">
        <v>6834</v>
      </c>
      <c r="AP349" t="s">
        <v>6835</v>
      </c>
      <c r="AQ349" t="s">
        <v>74</v>
      </c>
      <c r="AR349" t="s">
        <v>6836</v>
      </c>
      <c r="AS349" t="s">
        <v>6837</v>
      </c>
      <c r="AT349" t="s">
        <v>5678</v>
      </c>
      <c r="AU349">
        <v>2016</v>
      </c>
      <c r="AV349">
        <v>131</v>
      </c>
      <c r="AW349" t="s">
        <v>74</v>
      </c>
      <c r="AX349" t="s">
        <v>74</v>
      </c>
      <c r="AY349" t="s">
        <v>74</v>
      </c>
      <c r="AZ349" t="s">
        <v>650</v>
      </c>
      <c r="BA349" t="s">
        <v>74</v>
      </c>
      <c r="BB349">
        <v>160</v>
      </c>
      <c r="BC349">
        <v>169</v>
      </c>
      <c r="BD349" t="s">
        <v>74</v>
      </c>
      <c r="BE349" t="s">
        <v>7006</v>
      </c>
      <c r="BF349" t="str">
        <f>HYPERLINK("http://dx.doi.org/10.1016/j.dsr2.2016.01.005","http://dx.doi.org/10.1016/j.dsr2.2016.01.005")</f>
        <v>http://dx.doi.org/10.1016/j.dsr2.2016.01.005</v>
      </c>
      <c r="BG349" t="s">
        <v>74</v>
      </c>
      <c r="BH349" t="s">
        <v>74</v>
      </c>
      <c r="BI349">
        <v>10</v>
      </c>
      <c r="BJ349" t="s">
        <v>405</v>
      </c>
      <c r="BK349" t="s">
        <v>156</v>
      </c>
      <c r="BL349" t="s">
        <v>405</v>
      </c>
      <c r="BM349" t="s">
        <v>6839</v>
      </c>
      <c r="BN349" t="s">
        <v>74</v>
      </c>
      <c r="BO349" t="s">
        <v>74</v>
      </c>
      <c r="BP349" t="s">
        <v>74</v>
      </c>
      <c r="BQ349" t="s">
        <v>74</v>
      </c>
      <c r="BR349" t="s">
        <v>105</v>
      </c>
      <c r="BS349" t="s">
        <v>7007</v>
      </c>
      <c r="BT349" t="str">
        <f>HYPERLINK("https%3A%2F%2Fwww.webofscience.com%2Fwos%2Fwoscc%2Ffull-record%2FWOS:000383942700015","View Full Record in Web of Science")</f>
        <v>View Full Record in Web of Science</v>
      </c>
    </row>
    <row r="350" spans="1:72" x14ac:dyDescent="0.15">
      <c r="A350" t="s">
        <v>72</v>
      </c>
      <c r="B350" t="s">
        <v>7008</v>
      </c>
      <c r="C350" t="s">
        <v>74</v>
      </c>
      <c r="D350" t="s">
        <v>74</v>
      </c>
      <c r="E350" t="s">
        <v>74</v>
      </c>
      <c r="F350" t="s">
        <v>7009</v>
      </c>
      <c r="G350" t="s">
        <v>74</v>
      </c>
      <c r="H350" t="s">
        <v>74</v>
      </c>
      <c r="I350" t="s">
        <v>7010</v>
      </c>
      <c r="J350" t="s">
        <v>6822</v>
      </c>
      <c r="K350" t="s">
        <v>74</v>
      </c>
      <c r="L350" t="s">
        <v>74</v>
      </c>
      <c r="M350" t="s">
        <v>78</v>
      </c>
      <c r="N350" t="s">
        <v>79</v>
      </c>
      <c r="O350" t="s">
        <v>74</v>
      </c>
      <c r="P350" t="s">
        <v>74</v>
      </c>
      <c r="Q350" t="s">
        <v>74</v>
      </c>
      <c r="R350" t="s">
        <v>74</v>
      </c>
      <c r="S350" t="s">
        <v>74</v>
      </c>
      <c r="T350" t="s">
        <v>7011</v>
      </c>
      <c r="U350" t="s">
        <v>7012</v>
      </c>
      <c r="V350" t="s">
        <v>7013</v>
      </c>
      <c r="W350" t="s">
        <v>7014</v>
      </c>
      <c r="X350" t="s">
        <v>7015</v>
      </c>
      <c r="Y350" t="s">
        <v>7016</v>
      </c>
      <c r="Z350" t="s">
        <v>7017</v>
      </c>
      <c r="AA350" t="s">
        <v>7018</v>
      </c>
      <c r="AB350" t="s">
        <v>7019</v>
      </c>
      <c r="AC350" t="s">
        <v>7020</v>
      </c>
      <c r="AD350" t="s">
        <v>7021</v>
      </c>
      <c r="AE350" t="s">
        <v>7022</v>
      </c>
      <c r="AF350" t="s">
        <v>74</v>
      </c>
      <c r="AG350">
        <v>60</v>
      </c>
      <c r="AH350">
        <v>12</v>
      </c>
      <c r="AI350">
        <v>13</v>
      </c>
      <c r="AJ350">
        <v>0</v>
      </c>
      <c r="AK350">
        <v>18</v>
      </c>
      <c r="AL350" t="s">
        <v>303</v>
      </c>
      <c r="AM350" t="s">
        <v>304</v>
      </c>
      <c r="AN350" t="s">
        <v>305</v>
      </c>
      <c r="AO350" t="s">
        <v>6834</v>
      </c>
      <c r="AP350" t="s">
        <v>6835</v>
      </c>
      <c r="AQ350" t="s">
        <v>74</v>
      </c>
      <c r="AR350" t="s">
        <v>6836</v>
      </c>
      <c r="AS350" t="s">
        <v>6837</v>
      </c>
      <c r="AT350" t="s">
        <v>5678</v>
      </c>
      <c r="AU350">
        <v>2016</v>
      </c>
      <c r="AV350">
        <v>131</v>
      </c>
      <c r="AW350" t="s">
        <v>74</v>
      </c>
      <c r="AX350" t="s">
        <v>74</v>
      </c>
      <c r="AY350" t="s">
        <v>74</v>
      </c>
      <c r="AZ350" t="s">
        <v>650</v>
      </c>
      <c r="BA350" t="s">
        <v>74</v>
      </c>
      <c r="BB350">
        <v>182</v>
      </c>
      <c r="BC350">
        <v>188</v>
      </c>
      <c r="BD350" t="s">
        <v>74</v>
      </c>
      <c r="BE350" t="s">
        <v>7023</v>
      </c>
      <c r="BF350" t="str">
        <f>HYPERLINK("http://dx.doi.org/10.1016/j.dsr2.2016.02.001","http://dx.doi.org/10.1016/j.dsr2.2016.02.001")</f>
        <v>http://dx.doi.org/10.1016/j.dsr2.2016.02.001</v>
      </c>
      <c r="BG350" t="s">
        <v>74</v>
      </c>
      <c r="BH350" t="s">
        <v>74</v>
      </c>
      <c r="BI350">
        <v>7</v>
      </c>
      <c r="BJ350" t="s">
        <v>405</v>
      </c>
      <c r="BK350" t="s">
        <v>156</v>
      </c>
      <c r="BL350" t="s">
        <v>405</v>
      </c>
      <c r="BM350" t="s">
        <v>6839</v>
      </c>
      <c r="BN350" t="s">
        <v>74</v>
      </c>
      <c r="BO350" t="s">
        <v>1002</v>
      </c>
      <c r="BP350" t="s">
        <v>74</v>
      </c>
      <c r="BQ350" t="s">
        <v>74</v>
      </c>
      <c r="BR350" t="s">
        <v>105</v>
      </c>
      <c r="BS350" t="s">
        <v>7024</v>
      </c>
      <c r="BT350" t="str">
        <f>HYPERLINK("https%3A%2F%2Fwww.webofscience.com%2Fwos%2Fwoscc%2Ffull-record%2FWOS:000383942700017","View Full Record in Web of Science")</f>
        <v>View Full Record in Web of Science</v>
      </c>
    </row>
    <row r="351" spans="1:72" x14ac:dyDescent="0.15">
      <c r="A351" t="s">
        <v>72</v>
      </c>
      <c r="B351" t="s">
        <v>7025</v>
      </c>
      <c r="C351" t="s">
        <v>74</v>
      </c>
      <c r="D351" t="s">
        <v>74</v>
      </c>
      <c r="E351" t="s">
        <v>74</v>
      </c>
      <c r="F351" t="s">
        <v>7026</v>
      </c>
      <c r="G351" t="s">
        <v>74</v>
      </c>
      <c r="H351" t="s">
        <v>74</v>
      </c>
      <c r="I351" t="s">
        <v>7027</v>
      </c>
      <c r="J351" t="s">
        <v>6822</v>
      </c>
      <c r="K351" t="s">
        <v>74</v>
      </c>
      <c r="L351" t="s">
        <v>74</v>
      </c>
      <c r="M351" t="s">
        <v>78</v>
      </c>
      <c r="N351" t="s">
        <v>79</v>
      </c>
      <c r="O351" t="s">
        <v>74</v>
      </c>
      <c r="P351" t="s">
        <v>74</v>
      </c>
      <c r="Q351" t="s">
        <v>74</v>
      </c>
      <c r="R351" t="s">
        <v>74</v>
      </c>
      <c r="S351" t="s">
        <v>74</v>
      </c>
      <c r="T351" t="s">
        <v>7028</v>
      </c>
      <c r="U351" t="s">
        <v>7029</v>
      </c>
      <c r="V351" t="s">
        <v>7030</v>
      </c>
      <c r="W351" t="s">
        <v>7031</v>
      </c>
      <c r="X351" t="s">
        <v>6947</v>
      </c>
      <c r="Y351" t="s">
        <v>7032</v>
      </c>
      <c r="Z351" t="s">
        <v>7033</v>
      </c>
      <c r="AA351" t="s">
        <v>7034</v>
      </c>
      <c r="AB351" t="s">
        <v>7035</v>
      </c>
      <c r="AC351" t="s">
        <v>7036</v>
      </c>
      <c r="AD351" t="s">
        <v>7037</v>
      </c>
      <c r="AE351" t="s">
        <v>7038</v>
      </c>
      <c r="AF351" t="s">
        <v>74</v>
      </c>
      <c r="AG351">
        <v>98</v>
      </c>
      <c r="AH351">
        <v>45</v>
      </c>
      <c r="AI351">
        <v>51</v>
      </c>
      <c r="AJ351">
        <v>3</v>
      </c>
      <c r="AK351">
        <v>67</v>
      </c>
      <c r="AL351" t="s">
        <v>303</v>
      </c>
      <c r="AM351" t="s">
        <v>304</v>
      </c>
      <c r="AN351" t="s">
        <v>305</v>
      </c>
      <c r="AO351" t="s">
        <v>6834</v>
      </c>
      <c r="AP351" t="s">
        <v>6835</v>
      </c>
      <c r="AQ351" t="s">
        <v>74</v>
      </c>
      <c r="AR351" t="s">
        <v>6836</v>
      </c>
      <c r="AS351" t="s">
        <v>6837</v>
      </c>
      <c r="AT351" t="s">
        <v>5678</v>
      </c>
      <c r="AU351">
        <v>2016</v>
      </c>
      <c r="AV351">
        <v>131</v>
      </c>
      <c r="AW351" t="s">
        <v>74</v>
      </c>
      <c r="AX351" t="s">
        <v>74</v>
      </c>
      <c r="AY351" t="s">
        <v>74</v>
      </c>
      <c r="AZ351" t="s">
        <v>650</v>
      </c>
      <c r="BA351" t="s">
        <v>74</v>
      </c>
      <c r="BB351">
        <v>189</v>
      </c>
      <c r="BC351">
        <v>202</v>
      </c>
      <c r="BD351" t="s">
        <v>74</v>
      </c>
      <c r="BE351" t="s">
        <v>7039</v>
      </c>
      <c r="BF351" t="str">
        <f>HYPERLINK("http://dx.doi.org/10.1016/j.dsr2.2015.10.010","http://dx.doi.org/10.1016/j.dsr2.2015.10.010")</f>
        <v>http://dx.doi.org/10.1016/j.dsr2.2015.10.010</v>
      </c>
      <c r="BG351" t="s">
        <v>74</v>
      </c>
      <c r="BH351" t="s">
        <v>74</v>
      </c>
      <c r="BI351">
        <v>14</v>
      </c>
      <c r="BJ351" t="s">
        <v>405</v>
      </c>
      <c r="BK351" t="s">
        <v>156</v>
      </c>
      <c r="BL351" t="s">
        <v>405</v>
      </c>
      <c r="BM351" t="s">
        <v>6839</v>
      </c>
      <c r="BN351" t="s">
        <v>74</v>
      </c>
      <c r="BO351" t="s">
        <v>74</v>
      </c>
      <c r="BP351" t="s">
        <v>74</v>
      </c>
      <c r="BQ351" t="s">
        <v>74</v>
      </c>
      <c r="BR351" t="s">
        <v>105</v>
      </c>
      <c r="BS351" t="s">
        <v>7040</v>
      </c>
      <c r="BT351" t="str">
        <f>HYPERLINK("https%3A%2F%2Fwww.webofscience.com%2Fwos%2Fwoscc%2Ffull-record%2FWOS:000383942700018","View Full Record in Web of Science")</f>
        <v>View Full Record in Web of Science</v>
      </c>
    </row>
    <row r="352" spans="1:72" x14ac:dyDescent="0.15">
      <c r="A352" t="s">
        <v>72</v>
      </c>
      <c r="B352" t="s">
        <v>7041</v>
      </c>
      <c r="C352" t="s">
        <v>74</v>
      </c>
      <c r="D352" t="s">
        <v>74</v>
      </c>
      <c r="E352" t="s">
        <v>74</v>
      </c>
      <c r="F352" t="s">
        <v>7042</v>
      </c>
      <c r="G352" t="s">
        <v>74</v>
      </c>
      <c r="H352" t="s">
        <v>74</v>
      </c>
      <c r="I352" t="s">
        <v>7043</v>
      </c>
      <c r="J352" t="s">
        <v>7044</v>
      </c>
      <c r="K352" t="s">
        <v>74</v>
      </c>
      <c r="L352" t="s">
        <v>74</v>
      </c>
      <c r="M352" t="s">
        <v>78</v>
      </c>
      <c r="N352" t="s">
        <v>79</v>
      </c>
      <c r="O352" t="s">
        <v>74</v>
      </c>
      <c r="P352" t="s">
        <v>74</v>
      </c>
      <c r="Q352" t="s">
        <v>74</v>
      </c>
      <c r="R352" t="s">
        <v>74</v>
      </c>
      <c r="S352" t="s">
        <v>74</v>
      </c>
      <c r="T352" t="s">
        <v>7045</v>
      </c>
      <c r="U352" t="s">
        <v>7046</v>
      </c>
      <c r="V352" t="s">
        <v>7047</v>
      </c>
      <c r="W352" t="s">
        <v>7048</v>
      </c>
      <c r="X352" t="s">
        <v>7049</v>
      </c>
      <c r="Y352" t="s">
        <v>7050</v>
      </c>
      <c r="Z352" t="s">
        <v>7051</v>
      </c>
      <c r="AA352" t="s">
        <v>74</v>
      </c>
      <c r="AB352" t="s">
        <v>7052</v>
      </c>
      <c r="AC352" t="s">
        <v>7053</v>
      </c>
      <c r="AD352" t="s">
        <v>7054</v>
      </c>
      <c r="AE352" t="s">
        <v>7055</v>
      </c>
      <c r="AF352" t="s">
        <v>74</v>
      </c>
      <c r="AG352">
        <v>86</v>
      </c>
      <c r="AH352">
        <v>3</v>
      </c>
      <c r="AI352">
        <v>3</v>
      </c>
      <c r="AJ352">
        <v>0</v>
      </c>
      <c r="AK352">
        <v>7</v>
      </c>
      <c r="AL352" t="s">
        <v>303</v>
      </c>
      <c r="AM352" t="s">
        <v>304</v>
      </c>
      <c r="AN352" t="s">
        <v>305</v>
      </c>
      <c r="AO352" t="s">
        <v>7056</v>
      </c>
      <c r="AP352" t="s">
        <v>74</v>
      </c>
      <c r="AQ352" t="s">
        <v>74</v>
      </c>
      <c r="AR352" t="s">
        <v>7057</v>
      </c>
      <c r="AS352" t="s">
        <v>7058</v>
      </c>
      <c r="AT352" t="s">
        <v>5678</v>
      </c>
      <c r="AU352">
        <v>2016</v>
      </c>
      <c r="AV352">
        <v>90</v>
      </c>
      <c r="AW352" t="s">
        <v>74</v>
      </c>
      <c r="AX352" t="s">
        <v>74</v>
      </c>
      <c r="AY352" t="s">
        <v>74</v>
      </c>
      <c r="AZ352" t="s">
        <v>74</v>
      </c>
      <c r="BA352" t="s">
        <v>74</v>
      </c>
      <c r="BB352">
        <v>128</v>
      </c>
      <c r="BC352">
        <v>143</v>
      </c>
      <c r="BD352" t="s">
        <v>74</v>
      </c>
      <c r="BE352" t="s">
        <v>7059</v>
      </c>
      <c r="BF352" t="str">
        <f>HYPERLINK("http://dx.doi.org/10.1016/j.jsg.2016.08.005","http://dx.doi.org/10.1016/j.jsg.2016.08.005")</f>
        <v>http://dx.doi.org/10.1016/j.jsg.2016.08.005</v>
      </c>
      <c r="BG352" t="s">
        <v>74</v>
      </c>
      <c r="BH352" t="s">
        <v>74</v>
      </c>
      <c r="BI352">
        <v>16</v>
      </c>
      <c r="BJ352" t="s">
        <v>352</v>
      </c>
      <c r="BK352" t="s">
        <v>156</v>
      </c>
      <c r="BL352" t="s">
        <v>177</v>
      </c>
      <c r="BM352" t="s">
        <v>7060</v>
      </c>
      <c r="BN352" t="s">
        <v>74</v>
      </c>
      <c r="BO352" t="s">
        <v>74</v>
      </c>
      <c r="BP352" t="s">
        <v>74</v>
      </c>
      <c r="BQ352" t="s">
        <v>74</v>
      </c>
      <c r="BR352" t="s">
        <v>105</v>
      </c>
      <c r="BS352" t="s">
        <v>7061</v>
      </c>
      <c r="BT352" t="str">
        <f>HYPERLINK("https%3A%2F%2Fwww.webofscience.com%2Fwos%2Fwoscc%2Ffull-record%2FWOS:000383312000009","View Full Record in Web of Science")</f>
        <v>View Full Record in Web of Science</v>
      </c>
    </row>
    <row r="353" spans="1:72" x14ac:dyDescent="0.15">
      <c r="A353" t="s">
        <v>72</v>
      </c>
      <c r="B353" t="s">
        <v>7062</v>
      </c>
      <c r="C353" t="s">
        <v>74</v>
      </c>
      <c r="D353" t="s">
        <v>74</v>
      </c>
      <c r="E353" t="s">
        <v>74</v>
      </c>
      <c r="F353" t="s">
        <v>7063</v>
      </c>
      <c r="G353" t="s">
        <v>74</v>
      </c>
      <c r="H353" t="s">
        <v>74</v>
      </c>
      <c r="I353" t="s">
        <v>7064</v>
      </c>
      <c r="J353" t="s">
        <v>7065</v>
      </c>
      <c r="K353" t="s">
        <v>74</v>
      </c>
      <c r="L353" t="s">
        <v>74</v>
      </c>
      <c r="M353" t="s">
        <v>78</v>
      </c>
      <c r="N353" t="s">
        <v>79</v>
      </c>
      <c r="O353" t="s">
        <v>74</v>
      </c>
      <c r="P353" t="s">
        <v>74</v>
      </c>
      <c r="Q353" t="s">
        <v>74</v>
      </c>
      <c r="R353" t="s">
        <v>74</v>
      </c>
      <c r="S353" t="s">
        <v>74</v>
      </c>
      <c r="T353" t="s">
        <v>74</v>
      </c>
      <c r="U353" t="s">
        <v>7066</v>
      </c>
      <c r="V353" t="s">
        <v>7067</v>
      </c>
      <c r="W353" t="s">
        <v>7068</v>
      </c>
      <c r="X353" t="s">
        <v>5771</v>
      </c>
      <c r="Y353" t="s">
        <v>7069</v>
      </c>
      <c r="Z353" t="s">
        <v>7070</v>
      </c>
      <c r="AA353" t="s">
        <v>7071</v>
      </c>
      <c r="AB353" t="s">
        <v>7072</v>
      </c>
      <c r="AC353" t="s">
        <v>7073</v>
      </c>
      <c r="AD353" t="s">
        <v>7074</v>
      </c>
      <c r="AE353" t="s">
        <v>7075</v>
      </c>
      <c r="AF353" t="s">
        <v>74</v>
      </c>
      <c r="AG353">
        <v>53</v>
      </c>
      <c r="AH353">
        <v>13</v>
      </c>
      <c r="AI353">
        <v>15</v>
      </c>
      <c r="AJ353">
        <v>0</v>
      </c>
      <c r="AK353">
        <v>18</v>
      </c>
      <c r="AL353" t="s">
        <v>501</v>
      </c>
      <c r="AM353" t="s">
        <v>502</v>
      </c>
      <c r="AN353" t="s">
        <v>503</v>
      </c>
      <c r="AO353" t="s">
        <v>7076</v>
      </c>
      <c r="AP353" t="s">
        <v>7077</v>
      </c>
      <c r="AQ353" t="s">
        <v>74</v>
      </c>
      <c r="AR353" t="s">
        <v>7078</v>
      </c>
      <c r="AS353" t="s">
        <v>7079</v>
      </c>
      <c r="AT353" t="s">
        <v>5678</v>
      </c>
      <c r="AU353">
        <v>2016</v>
      </c>
      <c r="AV353">
        <v>61</v>
      </c>
      <c r="AW353">
        <v>5</v>
      </c>
      <c r="AX353" t="s">
        <v>74</v>
      </c>
      <c r="AY353" t="s">
        <v>74</v>
      </c>
      <c r="AZ353" t="s">
        <v>74</v>
      </c>
      <c r="BA353" t="s">
        <v>74</v>
      </c>
      <c r="BB353">
        <v>1651</v>
      </c>
      <c r="BC353">
        <v>1660</v>
      </c>
      <c r="BD353" t="s">
        <v>74</v>
      </c>
      <c r="BE353" t="s">
        <v>7080</v>
      </c>
      <c r="BF353" t="str">
        <f>HYPERLINK("http://dx.doi.org/10.1002/lno.10322","http://dx.doi.org/10.1002/lno.10322")</f>
        <v>http://dx.doi.org/10.1002/lno.10322</v>
      </c>
      <c r="BG353" t="s">
        <v>74</v>
      </c>
      <c r="BH353" t="s">
        <v>74</v>
      </c>
      <c r="BI353">
        <v>10</v>
      </c>
      <c r="BJ353" t="s">
        <v>4051</v>
      </c>
      <c r="BK353" t="s">
        <v>156</v>
      </c>
      <c r="BL353" t="s">
        <v>2120</v>
      </c>
      <c r="BM353" t="s">
        <v>7081</v>
      </c>
      <c r="BN353" t="s">
        <v>74</v>
      </c>
      <c r="BO353" t="s">
        <v>258</v>
      </c>
      <c r="BP353" t="s">
        <v>74</v>
      </c>
      <c r="BQ353" t="s">
        <v>74</v>
      </c>
      <c r="BR353" t="s">
        <v>105</v>
      </c>
      <c r="BS353" t="s">
        <v>7082</v>
      </c>
      <c r="BT353" t="str">
        <f>HYPERLINK("https%3A%2F%2Fwww.webofscience.com%2Fwos%2Fwoscc%2Ffull-record%2FWOS:000383621800008","View Full Record in Web of Science")</f>
        <v>View Full Record in Web of Science</v>
      </c>
    </row>
    <row r="354" spans="1:72" x14ac:dyDescent="0.15">
      <c r="A354" t="s">
        <v>72</v>
      </c>
      <c r="B354" t="s">
        <v>7083</v>
      </c>
      <c r="C354" t="s">
        <v>74</v>
      </c>
      <c r="D354" t="s">
        <v>74</v>
      </c>
      <c r="E354" t="s">
        <v>74</v>
      </c>
      <c r="F354" t="s">
        <v>7084</v>
      </c>
      <c r="G354" t="s">
        <v>74</v>
      </c>
      <c r="H354" t="s">
        <v>74</v>
      </c>
      <c r="I354" t="s">
        <v>7085</v>
      </c>
      <c r="J354" t="s">
        <v>7086</v>
      </c>
      <c r="K354" t="s">
        <v>74</v>
      </c>
      <c r="L354" t="s">
        <v>74</v>
      </c>
      <c r="M354" t="s">
        <v>78</v>
      </c>
      <c r="N354" t="s">
        <v>79</v>
      </c>
      <c r="O354" t="s">
        <v>74</v>
      </c>
      <c r="P354" t="s">
        <v>74</v>
      </c>
      <c r="Q354" t="s">
        <v>74</v>
      </c>
      <c r="R354" t="s">
        <v>74</v>
      </c>
      <c r="S354" t="s">
        <v>74</v>
      </c>
      <c r="T354" t="s">
        <v>7087</v>
      </c>
      <c r="U354" t="s">
        <v>7088</v>
      </c>
      <c r="V354" t="s">
        <v>7089</v>
      </c>
      <c r="W354" t="s">
        <v>7090</v>
      </c>
      <c r="X354" t="s">
        <v>7091</v>
      </c>
      <c r="Y354" t="s">
        <v>7092</v>
      </c>
      <c r="Z354" t="s">
        <v>7093</v>
      </c>
      <c r="AA354" t="s">
        <v>7094</v>
      </c>
      <c r="AB354" t="s">
        <v>7095</v>
      </c>
      <c r="AC354" t="s">
        <v>7096</v>
      </c>
      <c r="AD354" t="s">
        <v>7097</v>
      </c>
      <c r="AE354" t="s">
        <v>7098</v>
      </c>
      <c r="AF354" t="s">
        <v>74</v>
      </c>
      <c r="AG354">
        <v>59</v>
      </c>
      <c r="AH354">
        <v>14</v>
      </c>
      <c r="AI354">
        <v>17</v>
      </c>
      <c r="AJ354">
        <v>1</v>
      </c>
      <c r="AK354">
        <v>7</v>
      </c>
      <c r="AL354" t="s">
        <v>92</v>
      </c>
      <c r="AM354" t="s">
        <v>93</v>
      </c>
      <c r="AN354" t="s">
        <v>94</v>
      </c>
      <c r="AO354" t="s">
        <v>7099</v>
      </c>
      <c r="AP354" t="s">
        <v>7100</v>
      </c>
      <c r="AQ354" t="s">
        <v>74</v>
      </c>
      <c r="AR354" t="s">
        <v>7101</v>
      </c>
      <c r="AS354" t="s">
        <v>7102</v>
      </c>
      <c r="AT354" t="s">
        <v>5678</v>
      </c>
      <c r="AU354">
        <v>2016</v>
      </c>
      <c r="AV354">
        <v>127</v>
      </c>
      <c r="AW354" t="s">
        <v>74</v>
      </c>
      <c r="AX354" t="s">
        <v>74</v>
      </c>
      <c r="AY354" t="s">
        <v>74</v>
      </c>
      <c r="AZ354" t="s">
        <v>74</v>
      </c>
      <c r="BA354" t="s">
        <v>74</v>
      </c>
      <c r="BB354">
        <v>74</v>
      </c>
      <c r="BC354">
        <v>85</v>
      </c>
      <c r="BD354" t="s">
        <v>74</v>
      </c>
      <c r="BE354" t="s">
        <v>7103</v>
      </c>
      <c r="BF354" t="str">
        <f>HYPERLINK("http://dx.doi.org/10.1016/j.marmicro.2016.07.006","http://dx.doi.org/10.1016/j.marmicro.2016.07.006")</f>
        <v>http://dx.doi.org/10.1016/j.marmicro.2016.07.006</v>
      </c>
      <c r="BG354" t="s">
        <v>74</v>
      </c>
      <c r="BH354" t="s">
        <v>74</v>
      </c>
      <c r="BI354">
        <v>12</v>
      </c>
      <c r="BJ354" t="s">
        <v>7104</v>
      </c>
      <c r="BK354" t="s">
        <v>156</v>
      </c>
      <c r="BL354" t="s">
        <v>7104</v>
      </c>
      <c r="BM354" t="s">
        <v>7105</v>
      </c>
      <c r="BN354" t="s">
        <v>74</v>
      </c>
      <c r="BO354" t="s">
        <v>74</v>
      </c>
      <c r="BP354" t="s">
        <v>74</v>
      </c>
      <c r="BQ354" t="s">
        <v>74</v>
      </c>
      <c r="BR354" t="s">
        <v>105</v>
      </c>
      <c r="BS354" t="s">
        <v>7106</v>
      </c>
      <c r="BT354" t="str">
        <f>HYPERLINK("https%3A%2F%2Fwww.webofscience.com%2Fwos%2Fwoscc%2Ffull-record%2FWOS:000383943200007","View Full Record in Web of Science")</f>
        <v>View Full Record in Web of Science</v>
      </c>
    </row>
    <row r="355" spans="1:72" x14ac:dyDescent="0.15">
      <c r="A355" t="s">
        <v>72</v>
      </c>
      <c r="B355" t="s">
        <v>7107</v>
      </c>
      <c r="C355" t="s">
        <v>74</v>
      </c>
      <c r="D355" t="s">
        <v>74</v>
      </c>
      <c r="E355" t="s">
        <v>74</v>
      </c>
      <c r="F355" t="s">
        <v>7108</v>
      </c>
      <c r="G355" t="s">
        <v>74</v>
      </c>
      <c r="H355" t="s">
        <v>74</v>
      </c>
      <c r="I355" t="s">
        <v>7109</v>
      </c>
      <c r="J355" t="s">
        <v>7110</v>
      </c>
      <c r="K355" t="s">
        <v>74</v>
      </c>
      <c r="L355" t="s">
        <v>74</v>
      </c>
      <c r="M355" t="s">
        <v>7111</v>
      </c>
      <c r="N355" t="s">
        <v>79</v>
      </c>
      <c r="O355" t="s">
        <v>74</v>
      </c>
      <c r="P355" t="s">
        <v>74</v>
      </c>
      <c r="Q355" t="s">
        <v>74</v>
      </c>
      <c r="R355" t="s">
        <v>74</v>
      </c>
      <c r="S355" t="s">
        <v>74</v>
      </c>
      <c r="T355" t="s">
        <v>7112</v>
      </c>
      <c r="U355" t="s">
        <v>7113</v>
      </c>
      <c r="V355" t="s">
        <v>7114</v>
      </c>
      <c r="W355" t="s">
        <v>7115</v>
      </c>
      <c r="X355" t="s">
        <v>7116</v>
      </c>
      <c r="Y355" t="s">
        <v>7117</v>
      </c>
      <c r="Z355" t="s">
        <v>7118</v>
      </c>
      <c r="AA355" t="s">
        <v>74</v>
      </c>
      <c r="AB355" t="s">
        <v>74</v>
      </c>
      <c r="AC355" t="s">
        <v>74</v>
      </c>
      <c r="AD355" t="s">
        <v>74</v>
      </c>
      <c r="AE355" t="s">
        <v>74</v>
      </c>
      <c r="AF355" t="s">
        <v>74</v>
      </c>
      <c r="AG355">
        <v>18</v>
      </c>
      <c r="AH355">
        <v>6</v>
      </c>
      <c r="AI355">
        <v>9</v>
      </c>
      <c r="AJ355">
        <v>1</v>
      </c>
      <c r="AK355">
        <v>21</v>
      </c>
      <c r="AL355" t="s">
        <v>7119</v>
      </c>
      <c r="AM355" t="s">
        <v>7120</v>
      </c>
      <c r="AN355" t="s">
        <v>7121</v>
      </c>
      <c r="AO355" t="s">
        <v>7122</v>
      </c>
      <c r="AP355" t="s">
        <v>74</v>
      </c>
      <c r="AQ355" t="s">
        <v>74</v>
      </c>
      <c r="AR355" t="s">
        <v>7123</v>
      </c>
      <c r="AS355" t="s">
        <v>7124</v>
      </c>
      <c r="AT355" t="s">
        <v>5678</v>
      </c>
      <c r="AU355">
        <v>2016</v>
      </c>
      <c r="AV355">
        <v>59</v>
      </c>
      <c r="AW355">
        <v>9</v>
      </c>
      <c r="AX355" t="s">
        <v>74</v>
      </c>
      <c r="AY355" t="s">
        <v>74</v>
      </c>
      <c r="AZ355" t="s">
        <v>74</v>
      </c>
      <c r="BA355" t="s">
        <v>74</v>
      </c>
      <c r="BB355">
        <v>3202</v>
      </c>
      <c r="BC355">
        <v>3210</v>
      </c>
      <c r="BD355" t="s">
        <v>74</v>
      </c>
      <c r="BE355" t="s">
        <v>7125</v>
      </c>
      <c r="BF355" t="str">
        <f>HYPERLINK("http://dx.doi.org/10.6038/cjg20160906","http://dx.doi.org/10.6038/cjg20160906")</f>
        <v>http://dx.doi.org/10.6038/cjg20160906</v>
      </c>
      <c r="BG355" t="s">
        <v>74</v>
      </c>
      <c r="BH355" t="s">
        <v>74</v>
      </c>
      <c r="BI355">
        <v>9</v>
      </c>
      <c r="BJ355" t="s">
        <v>155</v>
      </c>
      <c r="BK355" t="s">
        <v>156</v>
      </c>
      <c r="BL355" t="s">
        <v>155</v>
      </c>
      <c r="BM355" t="s">
        <v>7126</v>
      </c>
      <c r="BN355" t="s">
        <v>74</v>
      </c>
      <c r="BO355" t="s">
        <v>74</v>
      </c>
      <c r="BP355" t="s">
        <v>74</v>
      </c>
      <c r="BQ355" t="s">
        <v>74</v>
      </c>
      <c r="BR355" t="s">
        <v>105</v>
      </c>
      <c r="BS355" t="s">
        <v>7127</v>
      </c>
      <c r="BT355" t="str">
        <f>HYPERLINK("https%3A%2F%2Fwww.webofscience.com%2Fwos%2Fwoscc%2Ffull-record%2FWOS:000382903300006","View Full Record in Web of Science")</f>
        <v>View Full Record in Web of Science</v>
      </c>
    </row>
    <row r="356" spans="1:72" x14ac:dyDescent="0.15">
      <c r="A356" t="s">
        <v>72</v>
      </c>
      <c r="B356" t="s">
        <v>7128</v>
      </c>
      <c r="C356" t="s">
        <v>74</v>
      </c>
      <c r="D356" t="s">
        <v>74</v>
      </c>
      <c r="E356" t="s">
        <v>74</v>
      </c>
      <c r="F356" t="s">
        <v>7129</v>
      </c>
      <c r="G356" t="s">
        <v>74</v>
      </c>
      <c r="H356" t="s">
        <v>74</v>
      </c>
      <c r="I356" t="s">
        <v>7130</v>
      </c>
      <c r="J356" t="s">
        <v>3100</v>
      </c>
      <c r="K356" t="s">
        <v>74</v>
      </c>
      <c r="L356" t="s">
        <v>74</v>
      </c>
      <c r="M356" t="s">
        <v>78</v>
      </c>
      <c r="N356" t="s">
        <v>79</v>
      </c>
      <c r="O356" t="s">
        <v>74</v>
      </c>
      <c r="P356" t="s">
        <v>74</v>
      </c>
      <c r="Q356" t="s">
        <v>74</v>
      </c>
      <c r="R356" t="s">
        <v>74</v>
      </c>
      <c r="S356" t="s">
        <v>74</v>
      </c>
      <c r="T356" t="s">
        <v>7131</v>
      </c>
      <c r="U356" t="s">
        <v>7132</v>
      </c>
      <c r="V356" t="s">
        <v>7133</v>
      </c>
      <c r="W356" t="s">
        <v>7134</v>
      </c>
      <c r="X356" t="s">
        <v>7135</v>
      </c>
      <c r="Y356" t="s">
        <v>7136</v>
      </c>
      <c r="Z356" t="s">
        <v>7137</v>
      </c>
      <c r="AA356" t="s">
        <v>7138</v>
      </c>
      <c r="AB356" t="s">
        <v>7139</v>
      </c>
      <c r="AC356" t="s">
        <v>7140</v>
      </c>
      <c r="AD356" t="s">
        <v>7141</v>
      </c>
      <c r="AE356" t="s">
        <v>7142</v>
      </c>
      <c r="AF356" t="s">
        <v>74</v>
      </c>
      <c r="AG356">
        <v>52</v>
      </c>
      <c r="AH356">
        <v>16</v>
      </c>
      <c r="AI356">
        <v>20</v>
      </c>
      <c r="AJ356">
        <v>0</v>
      </c>
      <c r="AK356">
        <v>15</v>
      </c>
      <c r="AL356" t="s">
        <v>644</v>
      </c>
      <c r="AM356" t="s">
        <v>594</v>
      </c>
      <c r="AN356" t="s">
        <v>645</v>
      </c>
      <c r="AO356" t="s">
        <v>3113</v>
      </c>
      <c r="AP356" t="s">
        <v>3114</v>
      </c>
      <c r="AQ356" t="s">
        <v>74</v>
      </c>
      <c r="AR356" t="s">
        <v>3115</v>
      </c>
      <c r="AS356" t="s">
        <v>3116</v>
      </c>
      <c r="AT356" t="s">
        <v>5678</v>
      </c>
      <c r="AU356">
        <v>2016</v>
      </c>
      <c r="AV356">
        <v>47</v>
      </c>
      <c r="AW356" t="s">
        <v>7143</v>
      </c>
      <c r="AX356" t="s">
        <v>74</v>
      </c>
      <c r="AY356" t="s">
        <v>74</v>
      </c>
      <c r="AZ356" t="s">
        <v>74</v>
      </c>
      <c r="BA356" t="s">
        <v>74</v>
      </c>
      <c r="BB356">
        <v>1647</v>
      </c>
      <c r="BC356">
        <v>1660</v>
      </c>
      <c r="BD356" t="s">
        <v>74</v>
      </c>
      <c r="BE356" t="s">
        <v>7144</v>
      </c>
      <c r="BF356" t="str">
        <f>HYPERLINK("http://dx.doi.org/10.1007/s00382-015-2925-2","http://dx.doi.org/10.1007/s00382-015-2925-2")</f>
        <v>http://dx.doi.org/10.1007/s00382-015-2925-2</v>
      </c>
      <c r="BG356" t="s">
        <v>74</v>
      </c>
      <c r="BH356" t="s">
        <v>74</v>
      </c>
      <c r="BI356">
        <v>14</v>
      </c>
      <c r="BJ356" t="s">
        <v>2482</v>
      </c>
      <c r="BK356" t="s">
        <v>156</v>
      </c>
      <c r="BL356" t="s">
        <v>2482</v>
      </c>
      <c r="BM356" t="s">
        <v>7145</v>
      </c>
      <c r="BN356" t="s">
        <v>74</v>
      </c>
      <c r="BO356" t="s">
        <v>74</v>
      </c>
      <c r="BP356" t="s">
        <v>74</v>
      </c>
      <c r="BQ356" t="s">
        <v>74</v>
      </c>
      <c r="BR356" t="s">
        <v>105</v>
      </c>
      <c r="BS356" t="s">
        <v>7146</v>
      </c>
      <c r="BT356" t="str">
        <f>HYPERLINK("https%3A%2F%2Fwww.webofscience.com%2Fwos%2Fwoscc%2Ffull-record%2FWOS:000382112000019","View Full Record in Web of Science")</f>
        <v>View Full Record in Web of Science</v>
      </c>
    </row>
    <row r="357" spans="1:72" x14ac:dyDescent="0.15">
      <c r="A357" t="s">
        <v>72</v>
      </c>
      <c r="B357" t="s">
        <v>7147</v>
      </c>
      <c r="C357" t="s">
        <v>74</v>
      </c>
      <c r="D357" t="s">
        <v>74</v>
      </c>
      <c r="E357" t="s">
        <v>74</v>
      </c>
      <c r="F357" t="s">
        <v>7148</v>
      </c>
      <c r="G357" t="s">
        <v>74</v>
      </c>
      <c r="H357" t="s">
        <v>74</v>
      </c>
      <c r="I357" t="s">
        <v>7149</v>
      </c>
      <c r="J357" t="s">
        <v>3100</v>
      </c>
      <c r="K357" t="s">
        <v>74</v>
      </c>
      <c r="L357" t="s">
        <v>74</v>
      </c>
      <c r="M357" t="s">
        <v>78</v>
      </c>
      <c r="N357" t="s">
        <v>79</v>
      </c>
      <c r="O357" t="s">
        <v>74</v>
      </c>
      <c r="P357" t="s">
        <v>74</v>
      </c>
      <c r="Q357" t="s">
        <v>74</v>
      </c>
      <c r="R357" t="s">
        <v>74</v>
      </c>
      <c r="S357" t="s">
        <v>74</v>
      </c>
      <c r="T357" t="s">
        <v>7150</v>
      </c>
      <c r="U357" t="s">
        <v>7151</v>
      </c>
      <c r="V357" t="s">
        <v>7152</v>
      </c>
      <c r="W357" t="s">
        <v>7153</v>
      </c>
      <c r="X357" t="s">
        <v>7154</v>
      </c>
      <c r="Y357" t="s">
        <v>7155</v>
      </c>
      <c r="Z357" t="s">
        <v>7156</v>
      </c>
      <c r="AA357" t="s">
        <v>7157</v>
      </c>
      <c r="AB357" t="s">
        <v>7158</v>
      </c>
      <c r="AC357" t="s">
        <v>7159</v>
      </c>
      <c r="AD357" t="s">
        <v>7160</v>
      </c>
      <c r="AE357" t="s">
        <v>7161</v>
      </c>
      <c r="AF357" t="s">
        <v>74</v>
      </c>
      <c r="AG357">
        <v>59</v>
      </c>
      <c r="AH357">
        <v>11</v>
      </c>
      <c r="AI357">
        <v>12</v>
      </c>
      <c r="AJ357">
        <v>1</v>
      </c>
      <c r="AK357">
        <v>14</v>
      </c>
      <c r="AL357" t="s">
        <v>644</v>
      </c>
      <c r="AM357" t="s">
        <v>594</v>
      </c>
      <c r="AN357" t="s">
        <v>3025</v>
      </c>
      <c r="AO357" t="s">
        <v>3113</v>
      </c>
      <c r="AP357" t="s">
        <v>3114</v>
      </c>
      <c r="AQ357" t="s">
        <v>74</v>
      </c>
      <c r="AR357" t="s">
        <v>3115</v>
      </c>
      <c r="AS357" t="s">
        <v>3116</v>
      </c>
      <c r="AT357" t="s">
        <v>5678</v>
      </c>
      <c r="AU357">
        <v>2016</v>
      </c>
      <c r="AV357">
        <v>47</v>
      </c>
      <c r="AW357" t="s">
        <v>7143</v>
      </c>
      <c r="AX357" t="s">
        <v>74</v>
      </c>
      <c r="AY357" t="s">
        <v>74</v>
      </c>
      <c r="AZ357" t="s">
        <v>74</v>
      </c>
      <c r="BA357" t="s">
        <v>74</v>
      </c>
      <c r="BB357">
        <v>1775</v>
      </c>
      <c r="BC357">
        <v>1792</v>
      </c>
      <c r="BD357" t="s">
        <v>74</v>
      </c>
      <c r="BE357" t="s">
        <v>7162</v>
      </c>
      <c r="BF357" t="str">
        <f>HYPERLINK("http://dx.doi.org/10.1007/s00382-015-2932-3","http://dx.doi.org/10.1007/s00382-015-2932-3")</f>
        <v>http://dx.doi.org/10.1007/s00382-015-2932-3</v>
      </c>
      <c r="BG357" t="s">
        <v>74</v>
      </c>
      <c r="BH357" t="s">
        <v>74</v>
      </c>
      <c r="BI357">
        <v>18</v>
      </c>
      <c r="BJ357" t="s">
        <v>2482</v>
      </c>
      <c r="BK357" t="s">
        <v>156</v>
      </c>
      <c r="BL357" t="s">
        <v>2482</v>
      </c>
      <c r="BM357" t="s">
        <v>7145</v>
      </c>
      <c r="BN357" t="s">
        <v>74</v>
      </c>
      <c r="BO357" t="s">
        <v>74</v>
      </c>
      <c r="BP357" t="s">
        <v>74</v>
      </c>
      <c r="BQ357" t="s">
        <v>74</v>
      </c>
      <c r="BR357" t="s">
        <v>105</v>
      </c>
      <c r="BS357" t="s">
        <v>7163</v>
      </c>
      <c r="BT357" t="str">
        <f>HYPERLINK("https%3A%2F%2Fwww.webofscience.com%2Fwos%2Fwoscc%2Ffull-record%2FWOS:000382112000026","View Full Record in Web of Science")</f>
        <v>View Full Record in Web of Science</v>
      </c>
    </row>
    <row r="358" spans="1:72" x14ac:dyDescent="0.15">
      <c r="A358" t="s">
        <v>72</v>
      </c>
      <c r="B358" t="s">
        <v>7164</v>
      </c>
      <c r="C358" t="s">
        <v>74</v>
      </c>
      <c r="D358" t="s">
        <v>74</v>
      </c>
      <c r="E358" t="s">
        <v>74</v>
      </c>
      <c r="F358" t="s">
        <v>7165</v>
      </c>
      <c r="G358" t="s">
        <v>74</v>
      </c>
      <c r="H358" t="s">
        <v>74</v>
      </c>
      <c r="I358" t="s">
        <v>7166</v>
      </c>
      <c r="J358" t="s">
        <v>7167</v>
      </c>
      <c r="K358" t="s">
        <v>74</v>
      </c>
      <c r="L358" t="s">
        <v>74</v>
      </c>
      <c r="M358" t="s">
        <v>78</v>
      </c>
      <c r="N358" t="s">
        <v>79</v>
      </c>
      <c r="O358" t="s">
        <v>74</v>
      </c>
      <c r="P358" t="s">
        <v>74</v>
      </c>
      <c r="Q358" t="s">
        <v>74</v>
      </c>
      <c r="R358" t="s">
        <v>74</v>
      </c>
      <c r="S358" t="s">
        <v>74</v>
      </c>
      <c r="T358" t="s">
        <v>7168</v>
      </c>
      <c r="U358" t="s">
        <v>7169</v>
      </c>
      <c r="V358" t="s">
        <v>7170</v>
      </c>
      <c r="W358" t="s">
        <v>7171</v>
      </c>
      <c r="X358" t="s">
        <v>7172</v>
      </c>
      <c r="Y358" t="s">
        <v>7173</v>
      </c>
      <c r="Z358" t="s">
        <v>7174</v>
      </c>
      <c r="AA358" t="s">
        <v>7175</v>
      </c>
      <c r="AB358" t="s">
        <v>7176</v>
      </c>
      <c r="AC358" t="s">
        <v>7177</v>
      </c>
      <c r="AD358" t="s">
        <v>7178</v>
      </c>
      <c r="AE358" t="s">
        <v>7179</v>
      </c>
      <c r="AF358" t="s">
        <v>74</v>
      </c>
      <c r="AG358">
        <v>37</v>
      </c>
      <c r="AH358">
        <v>4</v>
      </c>
      <c r="AI358">
        <v>5</v>
      </c>
      <c r="AJ358">
        <v>0</v>
      </c>
      <c r="AK358">
        <v>8</v>
      </c>
      <c r="AL358" t="s">
        <v>2112</v>
      </c>
      <c r="AM358" t="s">
        <v>250</v>
      </c>
      <c r="AN358" t="s">
        <v>2113</v>
      </c>
      <c r="AO358" t="s">
        <v>7180</v>
      </c>
      <c r="AP358" t="s">
        <v>7181</v>
      </c>
      <c r="AQ358" t="s">
        <v>74</v>
      </c>
      <c r="AR358" t="s">
        <v>7182</v>
      </c>
      <c r="AS358" t="s">
        <v>7183</v>
      </c>
      <c r="AT358" t="s">
        <v>5678</v>
      </c>
      <c r="AU358">
        <v>2016</v>
      </c>
      <c r="AV358">
        <v>56</v>
      </c>
      <c r="AW358" t="s">
        <v>74</v>
      </c>
      <c r="AX358" t="s">
        <v>74</v>
      </c>
      <c r="AY358" t="s">
        <v>74</v>
      </c>
      <c r="AZ358" t="s">
        <v>74</v>
      </c>
      <c r="BA358" t="s">
        <v>74</v>
      </c>
      <c r="BB358">
        <v>192</v>
      </c>
      <c r="BC358">
        <v>198</v>
      </c>
      <c r="BD358" t="s">
        <v>74</v>
      </c>
      <c r="BE358" t="s">
        <v>7184</v>
      </c>
      <c r="BF358" t="str">
        <f>HYPERLINK("http://dx.doi.org/10.1016/j.fsi.2016.07.009","http://dx.doi.org/10.1016/j.fsi.2016.07.009")</f>
        <v>http://dx.doi.org/10.1016/j.fsi.2016.07.009</v>
      </c>
      <c r="BG358" t="s">
        <v>74</v>
      </c>
      <c r="BH358" t="s">
        <v>74</v>
      </c>
      <c r="BI358">
        <v>7</v>
      </c>
      <c r="BJ358" t="s">
        <v>7185</v>
      </c>
      <c r="BK358" t="s">
        <v>156</v>
      </c>
      <c r="BL358" t="s">
        <v>7185</v>
      </c>
      <c r="BM358" t="s">
        <v>7186</v>
      </c>
      <c r="BN358">
        <v>27417227</v>
      </c>
      <c r="BO358" t="s">
        <v>74</v>
      </c>
      <c r="BP358" t="s">
        <v>74</v>
      </c>
      <c r="BQ358" t="s">
        <v>74</v>
      </c>
      <c r="BR358" t="s">
        <v>105</v>
      </c>
      <c r="BS358" t="s">
        <v>7187</v>
      </c>
      <c r="BT358" t="str">
        <f>HYPERLINK("https%3A%2F%2Fwww.webofscience.com%2Fwos%2Fwoscc%2Ffull-record%2FWOS:000383292200019","View Full Record in Web of Science")</f>
        <v>View Full Record in Web of Science</v>
      </c>
    </row>
    <row r="359" spans="1:72" x14ac:dyDescent="0.15">
      <c r="A359" t="s">
        <v>72</v>
      </c>
      <c r="B359" t="s">
        <v>7188</v>
      </c>
      <c r="C359" t="s">
        <v>74</v>
      </c>
      <c r="D359" t="s">
        <v>74</v>
      </c>
      <c r="E359" t="s">
        <v>74</v>
      </c>
      <c r="F359" t="s">
        <v>7189</v>
      </c>
      <c r="G359" t="s">
        <v>74</v>
      </c>
      <c r="H359" t="s">
        <v>74</v>
      </c>
      <c r="I359" t="s">
        <v>7190</v>
      </c>
      <c r="J359" t="s">
        <v>7191</v>
      </c>
      <c r="K359" t="s">
        <v>74</v>
      </c>
      <c r="L359" t="s">
        <v>74</v>
      </c>
      <c r="M359" t="s">
        <v>78</v>
      </c>
      <c r="N359" t="s">
        <v>79</v>
      </c>
      <c r="O359" t="s">
        <v>74</v>
      </c>
      <c r="P359" t="s">
        <v>74</v>
      </c>
      <c r="Q359" t="s">
        <v>74</v>
      </c>
      <c r="R359" t="s">
        <v>74</v>
      </c>
      <c r="S359" t="s">
        <v>74</v>
      </c>
      <c r="T359" t="s">
        <v>7192</v>
      </c>
      <c r="U359" t="s">
        <v>7193</v>
      </c>
      <c r="V359" t="s">
        <v>7194</v>
      </c>
      <c r="W359" t="s">
        <v>7195</v>
      </c>
      <c r="X359" t="s">
        <v>7196</v>
      </c>
      <c r="Y359" t="s">
        <v>7197</v>
      </c>
      <c r="Z359" t="s">
        <v>7198</v>
      </c>
      <c r="AA359" t="s">
        <v>7199</v>
      </c>
      <c r="AB359" t="s">
        <v>7200</v>
      </c>
      <c r="AC359" t="s">
        <v>74</v>
      </c>
      <c r="AD359" t="s">
        <v>74</v>
      </c>
      <c r="AE359" t="s">
        <v>74</v>
      </c>
      <c r="AF359" t="s">
        <v>74</v>
      </c>
      <c r="AG359">
        <v>78</v>
      </c>
      <c r="AH359">
        <v>5</v>
      </c>
      <c r="AI359">
        <v>5</v>
      </c>
      <c r="AJ359">
        <v>0</v>
      </c>
      <c r="AK359">
        <v>16</v>
      </c>
      <c r="AL359" t="s">
        <v>7201</v>
      </c>
      <c r="AM359" t="s">
        <v>7202</v>
      </c>
      <c r="AN359" t="s">
        <v>7203</v>
      </c>
      <c r="AO359" t="s">
        <v>7204</v>
      </c>
      <c r="AP359" t="s">
        <v>7205</v>
      </c>
      <c r="AQ359" t="s">
        <v>74</v>
      </c>
      <c r="AR359" t="s">
        <v>7206</v>
      </c>
      <c r="AS359" t="s">
        <v>7207</v>
      </c>
      <c r="AT359" t="s">
        <v>5678</v>
      </c>
      <c r="AU359">
        <v>2016</v>
      </c>
      <c r="AV359">
        <v>27</v>
      </c>
      <c r="AW359" t="s">
        <v>74</v>
      </c>
      <c r="AX359" t="s">
        <v>74</v>
      </c>
      <c r="AY359">
        <v>1</v>
      </c>
      <c r="AZ359" t="s">
        <v>74</v>
      </c>
      <c r="BA359" t="s">
        <v>74</v>
      </c>
      <c r="BB359">
        <v>33</v>
      </c>
      <c r="BC359">
        <v>45</v>
      </c>
      <c r="BD359" t="s">
        <v>74</v>
      </c>
      <c r="BE359" t="s">
        <v>7208</v>
      </c>
      <c r="BF359" t="str">
        <f>HYPERLINK("http://dx.doi.org/10.1007/s12210-016-0536-4","http://dx.doi.org/10.1007/s12210-016-0536-4")</f>
        <v>http://dx.doi.org/10.1007/s12210-016-0536-4</v>
      </c>
      <c r="BG359" t="s">
        <v>74</v>
      </c>
      <c r="BH359" t="s">
        <v>74</v>
      </c>
      <c r="BI359">
        <v>13</v>
      </c>
      <c r="BJ359" t="s">
        <v>719</v>
      </c>
      <c r="BK359" t="s">
        <v>156</v>
      </c>
      <c r="BL359" t="s">
        <v>720</v>
      </c>
      <c r="BM359" t="s">
        <v>7209</v>
      </c>
      <c r="BN359" t="s">
        <v>74</v>
      </c>
      <c r="BO359" t="s">
        <v>74</v>
      </c>
      <c r="BP359" t="s">
        <v>74</v>
      </c>
      <c r="BQ359" t="s">
        <v>74</v>
      </c>
      <c r="BR359" t="s">
        <v>105</v>
      </c>
      <c r="BS359" t="s">
        <v>7210</v>
      </c>
      <c r="BT359" t="str">
        <f>HYPERLINK("https%3A%2F%2Fwww.webofscience.com%2Fwos%2Fwoscc%2Ffull-record%2FWOS:000382669200005","View Full Record in Web of Science")</f>
        <v>View Full Record in Web of Science</v>
      </c>
    </row>
    <row r="360" spans="1:72" x14ac:dyDescent="0.15">
      <c r="A360" t="s">
        <v>72</v>
      </c>
      <c r="B360" t="s">
        <v>7211</v>
      </c>
      <c r="C360" t="s">
        <v>74</v>
      </c>
      <c r="D360" t="s">
        <v>74</v>
      </c>
      <c r="E360" t="s">
        <v>74</v>
      </c>
      <c r="F360" t="s">
        <v>7212</v>
      </c>
      <c r="G360" t="s">
        <v>74</v>
      </c>
      <c r="H360" t="s">
        <v>74</v>
      </c>
      <c r="I360" t="s">
        <v>7213</v>
      </c>
      <c r="J360" t="s">
        <v>7191</v>
      </c>
      <c r="K360" t="s">
        <v>74</v>
      </c>
      <c r="L360" t="s">
        <v>74</v>
      </c>
      <c r="M360" t="s">
        <v>78</v>
      </c>
      <c r="N360" t="s">
        <v>79</v>
      </c>
      <c r="O360" t="s">
        <v>74</v>
      </c>
      <c r="P360" t="s">
        <v>74</v>
      </c>
      <c r="Q360" t="s">
        <v>74</v>
      </c>
      <c r="R360" t="s">
        <v>74</v>
      </c>
      <c r="S360" t="s">
        <v>74</v>
      </c>
      <c r="T360" t="s">
        <v>7214</v>
      </c>
      <c r="U360" t="s">
        <v>7215</v>
      </c>
      <c r="V360" t="s">
        <v>7216</v>
      </c>
      <c r="W360" t="s">
        <v>7217</v>
      </c>
      <c r="X360" t="s">
        <v>7218</v>
      </c>
      <c r="Y360" t="s">
        <v>7219</v>
      </c>
      <c r="Z360" t="s">
        <v>7220</v>
      </c>
      <c r="AA360" t="s">
        <v>7221</v>
      </c>
      <c r="AB360" t="s">
        <v>7222</v>
      </c>
      <c r="AC360" t="s">
        <v>7223</v>
      </c>
      <c r="AD360" t="s">
        <v>7224</v>
      </c>
      <c r="AE360" t="s">
        <v>7225</v>
      </c>
      <c r="AF360" t="s">
        <v>74</v>
      </c>
      <c r="AG360">
        <v>44</v>
      </c>
      <c r="AH360">
        <v>8</v>
      </c>
      <c r="AI360">
        <v>8</v>
      </c>
      <c r="AJ360">
        <v>0</v>
      </c>
      <c r="AK360">
        <v>17</v>
      </c>
      <c r="AL360" t="s">
        <v>7201</v>
      </c>
      <c r="AM360" t="s">
        <v>7202</v>
      </c>
      <c r="AN360" t="s">
        <v>7203</v>
      </c>
      <c r="AO360" t="s">
        <v>7204</v>
      </c>
      <c r="AP360" t="s">
        <v>7205</v>
      </c>
      <c r="AQ360" t="s">
        <v>74</v>
      </c>
      <c r="AR360" t="s">
        <v>7206</v>
      </c>
      <c r="AS360" t="s">
        <v>7207</v>
      </c>
      <c r="AT360" t="s">
        <v>5678</v>
      </c>
      <c r="AU360">
        <v>2016</v>
      </c>
      <c r="AV360">
        <v>27</v>
      </c>
      <c r="AW360" t="s">
        <v>74</v>
      </c>
      <c r="AX360" t="s">
        <v>74</v>
      </c>
      <c r="AY360">
        <v>1</v>
      </c>
      <c r="AZ360" t="s">
        <v>74</v>
      </c>
      <c r="BA360" t="s">
        <v>74</v>
      </c>
      <c r="BB360">
        <v>137</v>
      </c>
      <c r="BC360">
        <v>146</v>
      </c>
      <c r="BD360" t="s">
        <v>74</v>
      </c>
      <c r="BE360" t="s">
        <v>7226</v>
      </c>
      <c r="BF360" t="str">
        <f>HYPERLINK("http://dx.doi.org/10.1007/s12210-016-0513-y","http://dx.doi.org/10.1007/s12210-016-0513-y")</f>
        <v>http://dx.doi.org/10.1007/s12210-016-0513-y</v>
      </c>
      <c r="BG360" t="s">
        <v>74</v>
      </c>
      <c r="BH360" t="s">
        <v>74</v>
      </c>
      <c r="BI360">
        <v>10</v>
      </c>
      <c r="BJ360" t="s">
        <v>719</v>
      </c>
      <c r="BK360" t="s">
        <v>156</v>
      </c>
      <c r="BL360" t="s">
        <v>720</v>
      </c>
      <c r="BM360" t="s">
        <v>7209</v>
      </c>
      <c r="BN360" t="s">
        <v>74</v>
      </c>
      <c r="BO360" t="s">
        <v>74</v>
      </c>
      <c r="BP360" t="s">
        <v>74</v>
      </c>
      <c r="BQ360" t="s">
        <v>74</v>
      </c>
      <c r="BR360" t="s">
        <v>105</v>
      </c>
      <c r="BS360" t="s">
        <v>7227</v>
      </c>
      <c r="BT360" t="str">
        <f>HYPERLINK("https%3A%2F%2Fwww.webofscience.com%2Fwos%2Fwoscc%2Ffull-record%2FWOS:000382669200014","View Full Record in Web of Science")</f>
        <v>View Full Record in Web of Science</v>
      </c>
    </row>
    <row r="361" spans="1:72" x14ac:dyDescent="0.15">
      <c r="A361" t="s">
        <v>72</v>
      </c>
      <c r="B361" t="s">
        <v>7228</v>
      </c>
      <c r="C361" t="s">
        <v>74</v>
      </c>
      <c r="D361" t="s">
        <v>74</v>
      </c>
      <c r="E361" t="s">
        <v>74</v>
      </c>
      <c r="F361" t="s">
        <v>7229</v>
      </c>
      <c r="G361" t="s">
        <v>74</v>
      </c>
      <c r="H361" t="s">
        <v>74</v>
      </c>
      <c r="I361" t="s">
        <v>7230</v>
      </c>
      <c r="J361" t="s">
        <v>7231</v>
      </c>
      <c r="K361" t="s">
        <v>74</v>
      </c>
      <c r="L361" t="s">
        <v>74</v>
      </c>
      <c r="M361" t="s">
        <v>78</v>
      </c>
      <c r="N361" t="s">
        <v>79</v>
      </c>
      <c r="O361" t="s">
        <v>74</v>
      </c>
      <c r="P361" t="s">
        <v>74</v>
      </c>
      <c r="Q361" t="s">
        <v>74</v>
      </c>
      <c r="R361" t="s">
        <v>74</v>
      </c>
      <c r="S361" t="s">
        <v>74</v>
      </c>
      <c r="T361" t="s">
        <v>7232</v>
      </c>
      <c r="U361" t="s">
        <v>7233</v>
      </c>
      <c r="V361" t="s">
        <v>7234</v>
      </c>
      <c r="W361" t="s">
        <v>7235</v>
      </c>
      <c r="X361" t="s">
        <v>7236</v>
      </c>
      <c r="Y361" t="s">
        <v>7237</v>
      </c>
      <c r="Z361" t="s">
        <v>7238</v>
      </c>
      <c r="AA361" t="s">
        <v>7239</v>
      </c>
      <c r="AB361" t="s">
        <v>7240</v>
      </c>
      <c r="AC361" t="s">
        <v>7241</v>
      </c>
      <c r="AD361" t="s">
        <v>7242</v>
      </c>
      <c r="AE361" t="s">
        <v>7243</v>
      </c>
      <c r="AF361" t="s">
        <v>74</v>
      </c>
      <c r="AG361">
        <v>42</v>
      </c>
      <c r="AH361">
        <v>3</v>
      </c>
      <c r="AI361">
        <v>3</v>
      </c>
      <c r="AJ361">
        <v>0</v>
      </c>
      <c r="AK361">
        <v>17</v>
      </c>
      <c r="AL361" t="s">
        <v>644</v>
      </c>
      <c r="AM361" t="s">
        <v>740</v>
      </c>
      <c r="AN361" t="s">
        <v>741</v>
      </c>
      <c r="AO361" t="s">
        <v>7244</v>
      </c>
      <c r="AP361" t="s">
        <v>7245</v>
      </c>
      <c r="AQ361" t="s">
        <v>74</v>
      </c>
      <c r="AR361" t="s">
        <v>7246</v>
      </c>
      <c r="AS361" t="s">
        <v>7247</v>
      </c>
      <c r="AT361" t="s">
        <v>5678</v>
      </c>
      <c r="AU361">
        <v>2016</v>
      </c>
      <c r="AV361">
        <v>23</v>
      </c>
      <c r="AW361">
        <v>3</v>
      </c>
      <c r="AX361" t="s">
        <v>74</v>
      </c>
      <c r="AY361" t="s">
        <v>74</v>
      </c>
      <c r="AZ361" t="s">
        <v>74</v>
      </c>
      <c r="BA361" t="s">
        <v>74</v>
      </c>
      <c r="BB361">
        <v>337</v>
      </c>
      <c r="BC361">
        <v>358</v>
      </c>
      <c r="BD361" t="s">
        <v>74</v>
      </c>
      <c r="BE361" t="s">
        <v>7248</v>
      </c>
      <c r="BF361" t="str">
        <f>HYPERLINK("http://dx.doi.org/10.1007/s10651-016-0342-2","http://dx.doi.org/10.1007/s10651-016-0342-2")</f>
        <v>http://dx.doi.org/10.1007/s10651-016-0342-2</v>
      </c>
      <c r="BG361" t="s">
        <v>74</v>
      </c>
      <c r="BH361" t="s">
        <v>74</v>
      </c>
      <c r="BI361">
        <v>22</v>
      </c>
      <c r="BJ361" t="s">
        <v>7249</v>
      </c>
      <c r="BK361" t="s">
        <v>156</v>
      </c>
      <c r="BL361" t="s">
        <v>7250</v>
      </c>
      <c r="BM361" t="s">
        <v>7251</v>
      </c>
      <c r="BN361" t="s">
        <v>74</v>
      </c>
      <c r="BO361" t="s">
        <v>5141</v>
      </c>
      <c r="BP361" t="s">
        <v>74</v>
      </c>
      <c r="BQ361" t="s">
        <v>74</v>
      </c>
      <c r="BR361" t="s">
        <v>105</v>
      </c>
      <c r="BS361" t="s">
        <v>7252</v>
      </c>
      <c r="BT361" t="str">
        <f>HYPERLINK("https%3A%2F%2Fwww.webofscience.com%2Fwos%2Fwoscc%2Ffull-record%2FWOS:000382017300001","View Full Record in Web of Science")</f>
        <v>View Full Record in Web of Science</v>
      </c>
    </row>
    <row r="362" spans="1:72" x14ac:dyDescent="0.15">
      <c r="A362" t="s">
        <v>72</v>
      </c>
      <c r="B362" t="s">
        <v>7253</v>
      </c>
      <c r="C362" t="s">
        <v>74</v>
      </c>
      <c r="D362" t="s">
        <v>74</v>
      </c>
      <c r="E362" t="s">
        <v>74</v>
      </c>
      <c r="F362" t="s">
        <v>7254</v>
      </c>
      <c r="G362" t="s">
        <v>74</v>
      </c>
      <c r="H362" t="s">
        <v>74</v>
      </c>
      <c r="I362" t="s">
        <v>7255</v>
      </c>
      <c r="J362" t="s">
        <v>7256</v>
      </c>
      <c r="K362" t="s">
        <v>74</v>
      </c>
      <c r="L362" t="s">
        <v>74</v>
      </c>
      <c r="M362" t="s">
        <v>78</v>
      </c>
      <c r="N362" t="s">
        <v>2730</v>
      </c>
      <c r="O362" t="s">
        <v>7257</v>
      </c>
      <c r="P362" t="s">
        <v>7258</v>
      </c>
      <c r="Q362" t="s">
        <v>6784</v>
      </c>
      <c r="R362" t="s">
        <v>74</v>
      </c>
      <c r="S362" t="s">
        <v>74</v>
      </c>
      <c r="T362" t="s">
        <v>7259</v>
      </c>
      <c r="U362" t="s">
        <v>7260</v>
      </c>
      <c r="V362" t="s">
        <v>7261</v>
      </c>
      <c r="W362" t="s">
        <v>7262</v>
      </c>
      <c r="X362" t="s">
        <v>7263</v>
      </c>
      <c r="Y362" t="s">
        <v>7264</v>
      </c>
      <c r="Z362" t="s">
        <v>7265</v>
      </c>
      <c r="AA362" t="s">
        <v>7266</v>
      </c>
      <c r="AB362" t="s">
        <v>74</v>
      </c>
      <c r="AC362" t="s">
        <v>74</v>
      </c>
      <c r="AD362" t="s">
        <v>74</v>
      </c>
      <c r="AE362" t="s">
        <v>74</v>
      </c>
      <c r="AF362" t="s">
        <v>74</v>
      </c>
      <c r="AG362">
        <v>37</v>
      </c>
      <c r="AH362">
        <v>12</v>
      </c>
      <c r="AI362">
        <v>18</v>
      </c>
      <c r="AJ362">
        <v>1</v>
      </c>
      <c r="AK362">
        <v>44</v>
      </c>
      <c r="AL362" t="s">
        <v>474</v>
      </c>
      <c r="AM362" t="s">
        <v>304</v>
      </c>
      <c r="AN362" t="s">
        <v>475</v>
      </c>
      <c r="AO362" t="s">
        <v>7267</v>
      </c>
      <c r="AP362" t="s">
        <v>7268</v>
      </c>
      <c r="AQ362" t="s">
        <v>74</v>
      </c>
      <c r="AR362" t="s">
        <v>7269</v>
      </c>
      <c r="AS362" t="s">
        <v>7270</v>
      </c>
      <c r="AT362" t="s">
        <v>5678</v>
      </c>
      <c r="AU362">
        <v>2016</v>
      </c>
      <c r="AV362">
        <v>113</v>
      </c>
      <c r="AW362" t="s">
        <v>74</v>
      </c>
      <c r="AX362" t="s">
        <v>74</v>
      </c>
      <c r="AY362" t="s">
        <v>74</v>
      </c>
      <c r="AZ362" t="s">
        <v>650</v>
      </c>
      <c r="BA362" t="s">
        <v>74</v>
      </c>
      <c r="BB362">
        <v>113</v>
      </c>
      <c r="BC362">
        <v>119</v>
      </c>
      <c r="BD362" t="s">
        <v>74</v>
      </c>
      <c r="BE362" t="s">
        <v>7271</v>
      </c>
      <c r="BF362" t="str">
        <f>HYPERLINK("http://dx.doi.org/10.1016/j.ibiod.2016.03.009","http://dx.doi.org/10.1016/j.ibiod.2016.03.009")</f>
        <v>http://dx.doi.org/10.1016/j.ibiod.2016.03.009</v>
      </c>
      <c r="BG362" t="s">
        <v>74</v>
      </c>
      <c r="BH362" t="s">
        <v>74</v>
      </c>
      <c r="BI362">
        <v>7</v>
      </c>
      <c r="BJ362" t="s">
        <v>7272</v>
      </c>
      <c r="BK362" t="s">
        <v>2548</v>
      </c>
      <c r="BL362" t="s">
        <v>7273</v>
      </c>
      <c r="BM362" t="s">
        <v>7274</v>
      </c>
      <c r="BN362" t="s">
        <v>74</v>
      </c>
      <c r="BO362" t="s">
        <v>74</v>
      </c>
      <c r="BP362" t="s">
        <v>74</v>
      </c>
      <c r="BQ362" t="s">
        <v>74</v>
      </c>
      <c r="BR362" t="s">
        <v>105</v>
      </c>
      <c r="BS362" t="s">
        <v>7275</v>
      </c>
      <c r="BT362" t="str">
        <f>HYPERLINK("https%3A%2F%2Fwww.webofscience.com%2Fwos%2Fwoscc%2Ffull-record%2FWOS:000381528800017","View Full Record in Web of Science")</f>
        <v>View Full Record in Web of Science</v>
      </c>
    </row>
    <row r="363" spans="1:72" x14ac:dyDescent="0.15">
      <c r="A363" t="s">
        <v>72</v>
      </c>
      <c r="B363" t="s">
        <v>7276</v>
      </c>
      <c r="C363" t="s">
        <v>74</v>
      </c>
      <c r="D363" t="s">
        <v>74</v>
      </c>
      <c r="E363" t="s">
        <v>74</v>
      </c>
      <c r="F363" t="s">
        <v>7277</v>
      </c>
      <c r="G363" t="s">
        <v>74</v>
      </c>
      <c r="H363" t="s">
        <v>74</v>
      </c>
      <c r="I363" t="s">
        <v>7278</v>
      </c>
      <c r="J363" t="s">
        <v>1654</v>
      </c>
      <c r="K363" t="s">
        <v>74</v>
      </c>
      <c r="L363" t="s">
        <v>74</v>
      </c>
      <c r="M363" t="s">
        <v>78</v>
      </c>
      <c r="N363" t="s">
        <v>2730</v>
      </c>
      <c r="O363" t="s">
        <v>7279</v>
      </c>
      <c r="P363">
        <v>2014</v>
      </c>
      <c r="Q363" t="s">
        <v>7280</v>
      </c>
      <c r="R363" t="s">
        <v>74</v>
      </c>
      <c r="S363" t="s">
        <v>74</v>
      </c>
      <c r="T363" t="s">
        <v>7281</v>
      </c>
      <c r="U363" t="s">
        <v>7282</v>
      </c>
      <c r="V363" t="s">
        <v>7283</v>
      </c>
      <c r="W363" t="s">
        <v>7284</v>
      </c>
      <c r="X363" t="s">
        <v>7285</v>
      </c>
      <c r="Y363" t="s">
        <v>7286</v>
      </c>
      <c r="Z363" t="s">
        <v>7287</v>
      </c>
      <c r="AA363" t="s">
        <v>7288</v>
      </c>
      <c r="AB363" t="s">
        <v>7289</v>
      </c>
      <c r="AC363" t="s">
        <v>74</v>
      </c>
      <c r="AD363" t="s">
        <v>74</v>
      </c>
      <c r="AE363" t="s">
        <v>74</v>
      </c>
      <c r="AF363" t="s">
        <v>74</v>
      </c>
      <c r="AG363">
        <v>183</v>
      </c>
      <c r="AH363">
        <v>28</v>
      </c>
      <c r="AI363">
        <v>29</v>
      </c>
      <c r="AJ363">
        <v>2</v>
      </c>
      <c r="AK363">
        <v>70</v>
      </c>
      <c r="AL363" t="s">
        <v>303</v>
      </c>
      <c r="AM363" t="s">
        <v>304</v>
      </c>
      <c r="AN363" t="s">
        <v>305</v>
      </c>
      <c r="AO363" t="s">
        <v>1666</v>
      </c>
      <c r="AP363" t="s">
        <v>1667</v>
      </c>
      <c r="AQ363" t="s">
        <v>74</v>
      </c>
      <c r="AR363" t="s">
        <v>1668</v>
      </c>
      <c r="AS363" t="s">
        <v>1669</v>
      </c>
      <c r="AT363" t="s">
        <v>7290</v>
      </c>
      <c r="AU363">
        <v>2016</v>
      </c>
      <c r="AV363">
        <v>147</v>
      </c>
      <c r="AW363" t="s">
        <v>74</v>
      </c>
      <c r="AX363" t="s">
        <v>74</v>
      </c>
      <c r="AY363" t="s">
        <v>74</v>
      </c>
      <c r="AZ363" t="s">
        <v>650</v>
      </c>
      <c r="BA363" t="s">
        <v>74</v>
      </c>
      <c r="BB363">
        <v>221</v>
      </c>
      <c r="BC363">
        <v>244</v>
      </c>
      <c r="BD363" t="s">
        <v>74</v>
      </c>
      <c r="BE363" t="s">
        <v>7291</v>
      </c>
      <c r="BF363" t="str">
        <f>HYPERLINK("http://dx.doi.org/10.1016/j.quascirev.2016.03.019","http://dx.doi.org/10.1016/j.quascirev.2016.03.019")</f>
        <v>http://dx.doi.org/10.1016/j.quascirev.2016.03.019</v>
      </c>
      <c r="BG363" t="s">
        <v>74</v>
      </c>
      <c r="BH363" t="s">
        <v>74</v>
      </c>
      <c r="BI363">
        <v>24</v>
      </c>
      <c r="BJ363" t="s">
        <v>203</v>
      </c>
      <c r="BK363" t="s">
        <v>2548</v>
      </c>
      <c r="BL363" t="s">
        <v>204</v>
      </c>
      <c r="BM363" t="s">
        <v>7292</v>
      </c>
      <c r="BN363" t="s">
        <v>74</v>
      </c>
      <c r="BO363" t="s">
        <v>104</v>
      </c>
      <c r="BP363" t="s">
        <v>74</v>
      </c>
      <c r="BQ363" t="s">
        <v>74</v>
      </c>
      <c r="BR363" t="s">
        <v>105</v>
      </c>
      <c r="BS363" t="s">
        <v>7293</v>
      </c>
      <c r="BT363" t="str">
        <f>HYPERLINK("https%3A%2F%2Fwww.webofscience.com%2Fwos%2Fwoscc%2Ffull-record%2FWOS:000382409500015","View Full Record in Web of Science")</f>
        <v>View Full Record in Web of Science</v>
      </c>
    </row>
    <row r="364" spans="1:72" x14ac:dyDescent="0.15">
      <c r="A364" t="s">
        <v>72</v>
      </c>
      <c r="B364" t="s">
        <v>7294</v>
      </c>
      <c r="C364" t="s">
        <v>74</v>
      </c>
      <c r="D364" t="s">
        <v>74</v>
      </c>
      <c r="E364" t="s">
        <v>74</v>
      </c>
      <c r="F364" t="s">
        <v>7295</v>
      </c>
      <c r="G364" t="s">
        <v>74</v>
      </c>
      <c r="H364" t="s">
        <v>74</v>
      </c>
      <c r="I364" t="s">
        <v>7296</v>
      </c>
      <c r="J364" t="s">
        <v>7297</v>
      </c>
      <c r="K364" t="s">
        <v>74</v>
      </c>
      <c r="L364" t="s">
        <v>74</v>
      </c>
      <c r="M364" t="s">
        <v>78</v>
      </c>
      <c r="N364" t="s">
        <v>79</v>
      </c>
      <c r="O364" t="s">
        <v>74</v>
      </c>
      <c r="P364" t="s">
        <v>74</v>
      </c>
      <c r="Q364" t="s">
        <v>74</v>
      </c>
      <c r="R364" t="s">
        <v>74</v>
      </c>
      <c r="S364" t="s">
        <v>74</v>
      </c>
      <c r="T364" t="s">
        <v>7298</v>
      </c>
      <c r="U364" t="s">
        <v>7299</v>
      </c>
      <c r="V364" t="s">
        <v>7300</v>
      </c>
      <c r="W364" t="s">
        <v>7301</v>
      </c>
      <c r="X364" t="s">
        <v>7302</v>
      </c>
      <c r="Y364" t="s">
        <v>7303</v>
      </c>
      <c r="Z364" t="s">
        <v>7304</v>
      </c>
      <c r="AA364" t="s">
        <v>7305</v>
      </c>
      <c r="AB364" t="s">
        <v>7306</v>
      </c>
      <c r="AC364" t="s">
        <v>7307</v>
      </c>
      <c r="AD364" t="s">
        <v>7308</v>
      </c>
      <c r="AE364" t="s">
        <v>7309</v>
      </c>
      <c r="AF364" t="s">
        <v>74</v>
      </c>
      <c r="AG364">
        <v>33</v>
      </c>
      <c r="AH364">
        <v>5</v>
      </c>
      <c r="AI364">
        <v>10</v>
      </c>
      <c r="AJ364">
        <v>6</v>
      </c>
      <c r="AK364">
        <v>65</v>
      </c>
      <c r="AL364" t="s">
        <v>501</v>
      </c>
      <c r="AM364" t="s">
        <v>502</v>
      </c>
      <c r="AN364" t="s">
        <v>503</v>
      </c>
      <c r="AO364" t="s">
        <v>7310</v>
      </c>
      <c r="AP364" t="s">
        <v>7311</v>
      </c>
      <c r="AQ364" t="s">
        <v>74</v>
      </c>
      <c r="AR364" t="s">
        <v>7312</v>
      </c>
      <c r="AS364" t="s">
        <v>7313</v>
      </c>
      <c r="AT364" t="s">
        <v>5678</v>
      </c>
      <c r="AU364">
        <v>2016</v>
      </c>
      <c r="AV364">
        <v>35</v>
      </c>
      <c r="AW364">
        <v>9</v>
      </c>
      <c r="AX364" t="s">
        <v>74</v>
      </c>
      <c r="AY364" t="s">
        <v>74</v>
      </c>
      <c r="AZ364" t="s">
        <v>74</v>
      </c>
      <c r="BA364" t="s">
        <v>74</v>
      </c>
      <c r="BB364">
        <v>2182</v>
      </c>
      <c r="BC364">
        <v>2191</v>
      </c>
      <c r="BD364" t="s">
        <v>74</v>
      </c>
      <c r="BE364" t="s">
        <v>7314</v>
      </c>
      <c r="BF364" t="str">
        <f>HYPERLINK("http://dx.doi.org/10.1002/etc.3403","http://dx.doi.org/10.1002/etc.3403")</f>
        <v>http://dx.doi.org/10.1002/etc.3403</v>
      </c>
      <c r="BG364" t="s">
        <v>74</v>
      </c>
      <c r="BH364" t="s">
        <v>74</v>
      </c>
      <c r="BI364">
        <v>10</v>
      </c>
      <c r="BJ364" t="s">
        <v>7315</v>
      </c>
      <c r="BK364" t="s">
        <v>156</v>
      </c>
      <c r="BL364" t="s">
        <v>7316</v>
      </c>
      <c r="BM364" t="s">
        <v>7317</v>
      </c>
      <c r="BN364">
        <v>26889639</v>
      </c>
      <c r="BO364" t="s">
        <v>74</v>
      </c>
      <c r="BP364" t="s">
        <v>74</v>
      </c>
      <c r="BQ364" t="s">
        <v>74</v>
      </c>
      <c r="BR364" t="s">
        <v>105</v>
      </c>
      <c r="BS364" t="s">
        <v>7318</v>
      </c>
      <c r="BT364" t="str">
        <f>HYPERLINK("https%3A%2F%2Fwww.webofscience.com%2Fwos%2Fwoscc%2Ffull-record%2FWOS:000382188500006","View Full Record in Web of Science")</f>
        <v>View Full Record in Web of Science</v>
      </c>
    </row>
    <row r="365" spans="1:72" x14ac:dyDescent="0.15">
      <c r="A365" t="s">
        <v>72</v>
      </c>
      <c r="B365" t="s">
        <v>7319</v>
      </c>
      <c r="C365" t="s">
        <v>74</v>
      </c>
      <c r="D365" t="s">
        <v>74</v>
      </c>
      <c r="E365" t="s">
        <v>74</v>
      </c>
      <c r="F365" t="s">
        <v>7320</v>
      </c>
      <c r="G365" t="s">
        <v>74</v>
      </c>
      <c r="H365" t="s">
        <v>74</v>
      </c>
      <c r="I365" t="s">
        <v>7321</v>
      </c>
      <c r="J365" t="s">
        <v>7297</v>
      </c>
      <c r="K365" t="s">
        <v>74</v>
      </c>
      <c r="L365" t="s">
        <v>74</v>
      </c>
      <c r="M365" t="s">
        <v>78</v>
      </c>
      <c r="N365" t="s">
        <v>79</v>
      </c>
      <c r="O365" t="s">
        <v>74</v>
      </c>
      <c r="P365" t="s">
        <v>74</v>
      </c>
      <c r="Q365" t="s">
        <v>74</v>
      </c>
      <c r="R365" t="s">
        <v>74</v>
      </c>
      <c r="S365" t="s">
        <v>74</v>
      </c>
      <c r="T365" t="s">
        <v>7322</v>
      </c>
      <c r="U365" t="s">
        <v>7323</v>
      </c>
      <c r="V365" t="s">
        <v>7324</v>
      </c>
      <c r="W365" t="s">
        <v>7325</v>
      </c>
      <c r="X365" t="s">
        <v>7326</v>
      </c>
      <c r="Y365" t="s">
        <v>7327</v>
      </c>
      <c r="Z365" t="s">
        <v>7328</v>
      </c>
      <c r="AA365" t="s">
        <v>7329</v>
      </c>
      <c r="AB365" t="s">
        <v>7330</v>
      </c>
      <c r="AC365" t="s">
        <v>7331</v>
      </c>
      <c r="AD365" t="s">
        <v>7332</v>
      </c>
      <c r="AE365" t="s">
        <v>7333</v>
      </c>
      <c r="AF365" t="s">
        <v>74</v>
      </c>
      <c r="AG365">
        <v>39</v>
      </c>
      <c r="AH365">
        <v>19</v>
      </c>
      <c r="AI365">
        <v>19</v>
      </c>
      <c r="AJ365">
        <v>2</v>
      </c>
      <c r="AK365">
        <v>23</v>
      </c>
      <c r="AL365" t="s">
        <v>501</v>
      </c>
      <c r="AM365" t="s">
        <v>502</v>
      </c>
      <c r="AN365" t="s">
        <v>503</v>
      </c>
      <c r="AO365" t="s">
        <v>7310</v>
      </c>
      <c r="AP365" t="s">
        <v>7311</v>
      </c>
      <c r="AQ365" t="s">
        <v>74</v>
      </c>
      <c r="AR365" t="s">
        <v>7312</v>
      </c>
      <c r="AS365" t="s">
        <v>7313</v>
      </c>
      <c r="AT365" t="s">
        <v>5678</v>
      </c>
      <c r="AU365">
        <v>2016</v>
      </c>
      <c r="AV365">
        <v>35</v>
      </c>
      <c r="AW365">
        <v>9</v>
      </c>
      <c r="AX365" t="s">
        <v>74</v>
      </c>
      <c r="AY365" t="s">
        <v>74</v>
      </c>
      <c r="AZ365" t="s">
        <v>74</v>
      </c>
      <c r="BA365" t="s">
        <v>74</v>
      </c>
      <c r="BB365">
        <v>2245</v>
      </c>
      <c r="BC365">
        <v>2251</v>
      </c>
      <c r="BD365" t="s">
        <v>74</v>
      </c>
      <c r="BE365" t="s">
        <v>7334</v>
      </c>
      <c r="BF365" t="str">
        <f>HYPERLINK("http://dx.doi.org/10.1002/etc.3382","http://dx.doi.org/10.1002/etc.3382")</f>
        <v>http://dx.doi.org/10.1002/etc.3382</v>
      </c>
      <c r="BG365" t="s">
        <v>74</v>
      </c>
      <c r="BH365" t="s">
        <v>74</v>
      </c>
      <c r="BI365">
        <v>7</v>
      </c>
      <c r="BJ365" t="s">
        <v>7315</v>
      </c>
      <c r="BK365" t="s">
        <v>156</v>
      </c>
      <c r="BL365" t="s">
        <v>7316</v>
      </c>
      <c r="BM365" t="s">
        <v>7317</v>
      </c>
      <c r="BN365">
        <v>26800986</v>
      </c>
      <c r="BO365" t="s">
        <v>74</v>
      </c>
      <c r="BP365" t="s">
        <v>74</v>
      </c>
      <c r="BQ365" t="s">
        <v>74</v>
      </c>
      <c r="BR365" t="s">
        <v>105</v>
      </c>
      <c r="BS365" t="s">
        <v>7335</v>
      </c>
      <c r="BT365" t="str">
        <f>HYPERLINK("https%3A%2F%2Fwww.webofscience.com%2Fwos%2Fwoscc%2Ffull-record%2FWOS:000382188500014","View Full Record in Web of Science")</f>
        <v>View Full Record in Web of Science</v>
      </c>
    </row>
    <row r="366" spans="1:72" x14ac:dyDescent="0.15">
      <c r="A366" t="s">
        <v>72</v>
      </c>
      <c r="B366" t="s">
        <v>7336</v>
      </c>
      <c r="C366" t="s">
        <v>74</v>
      </c>
      <c r="D366" t="s">
        <v>74</v>
      </c>
      <c r="E366" t="s">
        <v>74</v>
      </c>
      <c r="F366" t="s">
        <v>7337</v>
      </c>
      <c r="G366" t="s">
        <v>74</v>
      </c>
      <c r="H366" t="s">
        <v>74</v>
      </c>
      <c r="I366" t="s">
        <v>7338</v>
      </c>
      <c r="J366" t="s">
        <v>876</v>
      </c>
      <c r="K366" t="s">
        <v>74</v>
      </c>
      <c r="L366" t="s">
        <v>74</v>
      </c>
      <c r="M366" t="s">
        <v>78</v>
      </c>
      <c r="N366" t="s">
        <v>79</v>
      </c>
      <c r="O366" t="s">
        <v>74</v>
      </c>
      <c r="P366" t="s">
        <v>74</v>
      </c>
      <c r="Q366" t="s">
        <v>74</v>
      </c>
      <c r="R366" t="s">
        <v>74</v>
      </c>
      <c r="S366" t="s">
        <v>74</v>
      </c>
      <c r="T366" t="s">
        <v>7339</v>
      </c>
      <c r="U366" t="s">
        <v>7340</v>
      </c>
      <c r="V366" t="s">
        <v>7341</v>
      </c>
      <c r="W366" t="s">
        <v>7342</v>
      </c>
      <c r="X366" t="s">
        <v>7343</v>
      </c>
      <c r="Y366" t="s">
        <v>7344</v>
      </c>
      <c r="Z366" t="s">
        <v>74</v>
      </c>
      <c r="AA366" t="s">
        <v>74</v>
      </c>
      <c r="AB366" t="s">
        <v>74</v>
      </c>
      <c r="AC366" t="s">
        <v>7345</v>
      </c>
      <c r="AD366" t="s">
        <v>7345</v>
      </c>
      <c r="AE366" t="s">
        <v>7346</v>
      </c>
      <c r="AF366" t="s">
        <v>74</v>
      </c>
      <c r="AG366">
        <v>54</v>
      </c>
      <c r="AH366">
        <v>8</v>
      </c>
      <c r="AI366">
        <v>8</v>
      </c>
      <c r="AJ366">
        <v>1</v>
      </c>
      <c r="AK366">
        <v>3</v>
      </c>
      <c r="AL366" t="s">
        <v>303</v>
      </c>
      <c r="AM366" t="s">
        <v>304</v>
      </c>
      <c r="AN366" t="s">
        <v>305</v>
      </c>
      <c r="AO366" t="s">
        <v>889</v>
      </c>
      <c r="AP366" t="s">
        <v>890</v>
      </c>
      <c r="AQ366" t="s">
        <v>74</v>
      </c>
      <c r="AR366" t="s">
        <v>891</v>
      </c>
      <c r="AS366" t="s">
        <v>892</v>
      </c>
      <c r="AT366" t="s">
        <v>7290</v>
      </c>
      <c r="AU366">
        <v>2016</v>
      </c>
      <c r="AV366">
        <v>188</v>
      </c>
      <c r="AW366" t="s">
        <v>74</v>
      </c>
      <c r="AX366" t="s">
        <v>74</v>
      </c>
      <c r="AY366" t="s">
        <v>74</v>
      </c>
      <c r="AZ366" t="s">
        <v>74</v>
      </c>
      <c r="BA366" t="s">
        <v>74</v>
      </c>
      <c r="BB366">
        <v>106</v>
      </c>
      <c r="BC366">
        <v>124</v>
      </c>
      <c r="BD366" t="s">
        <v>74</v>
      </c>
      <c r="BE366" t="s">
        <v>7347</v>
      </c>
      <c r="BF366" t="str">
        <f>HYPERLINK("http://dx.doi.org/10.1016/j.gca.2016.05.033","http://dx.doi.org/10.1016/j.gca.2016.05.033")</f>
        <v>http://dx.doi.org/10.1016/j.gca.2016.05.033</v>
      </c>
      <c r="BG366" t="s">
        <v>74</v>
      </c>
      <c r="BH366" t="s">
        <v>74</v>
      </c>
      <c r="BI366">
        <v>19</v>
      </c>
      <c r="BJ366" t="s">
        <v>155</v>
      </c>
      <c r="BK366" t="s">
        <v>156</v>
      </c>
      <c r="BL366" t="s">
        <v>155</v>
      </c>
      <c r="BM366" t="s">
        <v>7348</v>
      </c>
      <c r="BN366" t="s">
        <v>74</v>
      </c>
      <c r="BO366" t="s">
        <v>74</v>
      </c>
      <c r="BP366" t="s">
        <v>74</v>
      </c>
      <c r="BQ366" t="s">
        <v>74</v>
      </c>
      <c r="BR366" t="s">
        <v>105</v>
      </c>
      <c r="BS366" t="s">
        <v>7349</v>
      </c>
      <c r="BT366" t="str">
        <f>HYPERLINK("https%3A%2F%2Fwww.webofscience.com%2Fwos%2Fwoscc%2Ffull-record%2FWOS:000380752700007","View Full Record in Web of Science")</f>
        <v>View Full Record in Web of Science</v>
      </c>
    </row>
    <row r="367" spans="1:72" x14ac:dyDescent="0.15">
      <c r="A367" t="s">
        <v>72</v>
      </c>
      <c r="B367" t="s">
        <v>7350</v>
      </c>
      <c r="C367" t="s">
        <v>74</v>
      </c>
      <c r="D367" t="s">
        <v>74</v>
      </c>
      <c r="E367" t="s">
        <v>74</v>
      </c>
      <c r="F367" t="s">
        <v>7351</v>
      </c>
      <c r="G367" t="s">
        <v>74</v>
      </c>
      <c r="H367" t="s">
        <v>74</v>
      </c>
      <c r="I367" t="s">
        <v>7352</v>
      </c>
      <c r="J367" t="s">
        <v>7353</v>
      </c>
      <c r="K367" t="s">
        <v>74</v>
      </c>
      <c r="L367" t="s">
        <v>74</v>
      </c>
      <c r="M367" t="s">
        <v>78</v>
      </c>
      <c r="N367" t="s">
        <v>79</v>
      </c>
      <c r="O367" t="s">
        <v>74</v>
      </c>
      <c r="P367" t="s">
        <v>74</v>
      </c>
      <c r="Q367" t="s">
        <v>74</v>
      </c>
      <c r="R367" t="s">
        <v>74</v>
      </c>
      <c r="S367" t="s">
        <v>74</v>
      </c>
      <c r="T367" t="s">
        <v>7354</v>
      </c>
      <c r="U367" t="s">
        <v>7355</v>
      </c>
      <c r="V367" t="s">
        <v>7356</v>
      </c>
      <c r="W367" t="s">
        <v>7357</v>
      </c>
      <c r="X367" t="s">
        <v>7358</v>
      </c>
      <c r="Y367" t="s">
        <v>7359</v>
      </c>
      <c r="Z367" t="s">
        <v>7360</v>
      </c>
      <c r="AA367" t="s">
        <v>7361</v>
      </c>
      <c r="AB367" t="s">
        <v>7362</v>
      </c>
      <c r="AC367" t="s">
        <v>7363</v>
      </c>
      <c r="AD367" t="s">
        <v>7363</v>
      </c>
      <c r="AE367" t="s">
        <v>7364</v>
      </c>
      <c r="AF367" t="s">
        <v>74</v>
      </c>
      <c r="AG367">
        <v>122</v>
      </c>
      <c r="AH367">
        <v>15</v>
      </c>
      <c r="AI367">
        <v>17</v>
      </c>
      <c r="AJ367">
        <v>1</v>
      </c>
      <c r="AK367">
        <v>27</v>
      </c>
      <c r="AL367" t="s">
        <v>860</v>
      </c>
      <c r="AM367" t="s">
        <v>861</v>
      </c>
      <c r="AN367" t="s">
        <v>862</v>
      </c>
      <c r="AO367" t="s">
        <v>7365</v>
      </c>
      <c r="AP367" t="s">
        <v>7366</v>
      </c>
      <c r="AQ367" t="s">
        <v>74</v>
      </c>
      <c r="AR367" t="s">
        <v>7367</v>
      </c>
      <c r="AS367" t="s">
        <v>7368</v>
      </c>
      <c r="AT367" t="s">
        <v>5678</v>
      </c>
      <c r="AU367">
        <v>2016</v>
      </c>
      <c r="AV367">
        <v>61</v>
      </c>
      <c r="AW367">
        <v>11</v>
      </c>
      <c r="AX367" t="s">
        <v>74</v>
      </c>
      <c r="AY367" t="s">
        <v>74</v>
      </c>
      <c r="AZ367" t="s">
        <v>74</v>
      </c>
      <c r="BA367" t="s">
        <v>74</v>
      </c>
      <c r="BB367">
        <v>2110</v>
      </c>
      <c r="BC367">
        <v>2132</v>
      </c>
      <c r="BD367" t="s">
        <v>74</v>
      </c>
      <c r="BE367" t="s">
        <v>7369</v>
      </c>
      <c r="BF367" t="str">
        <f>HYPERLINK("http://dx.doi.org/10.1080/02626667.2015.1085989","http://dx.doi.org/10.1080/02626667.2015.1085989")</f>
        <v>http://dx.doi.org/10.1080/02626667.2015.1085989</v>
      </c>
      <c r="BG367" t="s">
        <v>74</v>
      </c>
      <c r="BH367" t="s">
        <v>74</v>
      </c>
      <c r="BI367">
        <v>23</v>
      </c>
      <c r="BJ367" t="s">
        <v>7370</v>
      </c>
      <c r="BK367" t="s">
        <v>156</v>
      </c>
      <c r="BL367" t="s">
        <v>7370</v>
      </c>
      <c r="BM367" t="s">
        <v>7371</v>
      </c>
      <c r="BN367" t="s">
        <v>74</v>
      </c>
      <c r="BO367" t="s">
        <v>258</v>
      </c>
      <c r="BP367" t="s">
        <v>74</v>
      </c>
      <c r="BQ367" t="s">
        <v>74</v>
      </c>
      <c r="BR367" t="s">
        <v>105</v>
      </c>
      <c r="BS367" t="s">
        <v>7372</v>
      </c>
      <c r="BT367" t="str">
        <f>HYPERLINK("https%3A%2F%2Fwww.webofscience.com%2Fwos%2Fwoscc%2Ffull-record%2FWOS:000381024600011","View Full Record in Web of Science")</f>
        <v>View Full Record in Web of Science</v>
      </c>
    </row>
    <row r="368" spans="1:72" x14ac:dyDescent="0.15">
      <c r="A368" t="s">
        <v>72</v>
      </c>
      <c r="B368" t="s">
        <v>7373</v>
      </c>
      <c r="C368" t="s">
        <v>74</v>
      </c>
      <c r="D368" t="s">
        <v>74</v>
      </c>
      <c r="E368" t="s">
        <v>74</v>
      </c>
      <c r="F368" t="s">
        <v>7374</v>
      </c>
      <c r="G368" t="s">
        <v>74</v>
      </c>
      <c r="H368" t="s">
        <v>74</v>
      </c>
      <c r="I368" t="s">
        <v>7375</v>
      </c>
      <c r="J368" t="s">
        <v>4389</v>
      </c>
      <c r="K368" t="s">
        <v>74</v>
      </c>
      <c r="L368" t="s">
        <v>74</v>
      </c>
      <c r="M368" t="s">
        <v>78</v>
      </c>
      <c r="N368" t="s">
        <v>79</v>
      </c>
      <c r="O368" t="s">
        <v>74</v>
      </c>
      <c r="P368" t="s">
        <v>74</v>
      </c>
      <c r="Q368" t="s">
        <v>74</v>
      </c>
      <c r="R368" t="s">
        <v>74</v>
      </c>
      <c r="S368" t="s">
        <v>74</v>
      </c>
      <c r="T368" t="s">
        <v>7376</v>
      </c>
      <c r="U368" t="s">
        <v>7377</v>
      </c>
      <c r="V368" t="s">
        <v>7378</v>
      </c>
      <c r="W368" t="s">
        <v>7379</v>
      </c>
      <c r="X368" t="s">
        <v>7380</v>
      </c>
      <c r="Y368" t="s">
        <v>7381</v>
      </c>
      <c r="Z368" t="s">
        <v>7382</v>
      </c>
      <c r="AA368" t="s">
        <v>7383</v>
      </c>
      <c r="AB368" t="s">
        <v>7384</v>
      </c>
      <c r="AC368" t="s">
        <v>7385</v>
      </c>
      <c r="AD368" t="s">
        <v>7386</v>
      </c>
      <c r="AE368" t="s">
        <v>7387</v>
      </c>
      <c r="AF368" t="s">
        <v>74</v>
      </c>
      <c r="AG368">
        <v>113</v>
      </c>
      <c r="AH368">
        <v>27</v>
      </c>
      <c r="AI368">
        <v>28</v>
      </c>
      <c r="AJ368">
        <v>0</v>
      </c>
      <c r="AK368">
        <v>24</v>
      </c>
      <c r="AL368" t="s">
        <v>196</v>
      </c>
      <c r="AM368" t="s">
        <v>93</v>
      </c>
      <c r="AN368" t="s">
        <v>197</v>
      </c>
      <c r="AO368" t="s">
        <v>4402</v>
      </c>
      <c r="AP368" t="s">
        <v>4403</v>
      </c>
      <c r="AQ368" t="s">
        <v>74</v>
      </c>
      <c r="AR368" t="s">
        <v>4404</v>
      </c>
      <c r="AS368" t="s">
        <v>4405</v>
      </c>
      <c r="AT368" t="s">
        <v>7290</v>
      </c>
      <c r="AU368">
        <v>2016</v>
      </c>
      <c r="AV368">
        <v>457</v>
      </c>
      <c r="AW368" t="s">
        <v>74</v>
      </c>
      <c r="AX368" t="s">
        <v>74</v>
      </c>
      <c r="AY368" t="s">
        <v>74</v>
      </c>
      <c r="AZ368" t="s">
        <v>74</v>
      </c>
      <c r="BA368" t="s">
        <v>74</v>
      </c>
      <c r="BB368">
        <v>129</v>
      </c>
      <c r="BC368">
        <v>143</v>
      </c>
      <c r="BD368" t="s">
        <v>74</v>
      </c>
      <c r="BE368" t="s">
        <v>7388</v>
      </c>
      <c r="BF368" t="str">
        <f>HYPERLINK("http://dx.doi.org/10.1016/j.palaeo.2016.06.004","http://dx.doi.org/10.1016/j.palaeo.2016.06.004")</f>
        <v>http://dx.doi.org/10.1016/j.palaeo.2016.06.004</v>
      </c>
      <c r="BG368" t="s">
        <v>74</v>
      </c>
      <c r="BH368" t="s">
        <v>74</v>
      </c>
      <c r="BI368">
        <v>15</v>
      </c>
      <c r="BJ368" t="s">
        <v>4407</v>
      </c>
      <c r="BK368" t="s">
        <v>156</v>
      </c>
      <c r="BL368" t="s">
        <v>4408</v>
      </c>
      <c r="BM368" t="s">
        <v>7389</v>
      </c>
      <c r="BN368" t="s">
        <v>74</v>
      </c>
      <c r="BO368" t="s">
        <v>104</v>
      </c>
      <c r="BP368" t="s">
        <v>74</v>
      </c>
      <c r="BQ368" t="s">
        <v>74</v>
      </c>
      <c r="BR368" t="s">
        <v>105</v>
      </c>
      <c r="BS368" t="s">
        <v>7390</v>
      </c>
      <c r="BT368" t="str">
        <f>HYPERLINK("https%3A%2F%2Fwww.webofscience.com%2Fwos%2Fwoscc%2Ffull-record%2FWOS:000380598800010","View Full Record in Web of Science")</f>
        <v>View Full Record in Web of Science</v>
      </c>
    </row>
    <row r="369" spans="1:72" x14ac:dyDescent="0.15">
      <c r="A369" t="s">
        <v>72</v>
      </c>
      <c r="B369" t="s">
        <v>7391</v>
      </c>
      <c r="C369" t="s">
        <v>74</v>
      </c>
      <c r="D369" t="s">
        <v>74</v>
      </c>
      <c r="E369" t="s">
        <v>74</v>
      </c>
      <c r="F369" t="s">
        <v>7392</v>
      </c>
      <c r="G369" t="s">
        <v>74</v>
      </c>
      <c r="H369" t="s">
        <v>74</v>
      </c>
      <c r="I369" t="s">
        <v>7393</v>
      </c>
      <c r="J369" t="s">
        <v>7394</v>
      </c>
      <c r="K369" t="s">
        <v>74</v>
      </c>
      <c r="L369" t="s">
        <v>74</v>
      </c>
      <c r="M369" t="s">
        <v>78</v>
      </c>
      <c r="N369" t="s">
        <v>79</v>
      </c>
      <c r="O369" t="s">
        <v>74</v>
      </c>
      <c r="P369" t="s">
        <v>74</v>
      </c>
      <c r="Q369" t="s">
        <v>74</v>
      </c>
      <c r="R369" t="s">
        <v>74</v>
      </c>
      <c r="S369" t="s">
        <v>74</v>
      </c>
      <c r="T369" t="s">
        <v>7395</v>
      </c>
      <c r="U369" t="s">
        <v>7396</v>
      </c>
      <c r="V369" t="s">
        <v>7397</v>
      </c>
      <c r="W369" t="s">
        <v>7398</v>
      </c>
      <c r="X369" t="s">
        <v>7399</v>
      </c>
      <c r="Y369" t="s">
        <v>7400</v>
      </c>
      <c r="Z369" t="s">
        <v>7401</v>
      </c>
      <c r="AA369" t="s">
        <v>7402</v>
      </c>
      <c r="AB369" t="s">
        <v>7403</v>
      </c>
      <c r="AC369" t="s">
        <v>7404</v>
      </c>
      <c r="AD369" t="s">
        <v>7405</v>
      </c>
      <c r="AE369" t="s">
        <v>7406</v>
      </c>
      <c r="AF369" t="s">
        <v>74</v>
      </c>
      <c r="AG369">
        <v>26</v>
      </c>
      <c r="AH369">
        <v>18</v>
      </c>
      <c r="AI369">
        <v>21</v>
      </c>
      <c r="AJ369">
        <v>1</v>
      </c>
      <c r="AK369">
        <v>36</v>
      </c>
      <c r="AL369" t="s">
        <v>303</v>
      </c>
      <c r="AM369" t="s">
        <v>304</v>
      </c>
      <c r="AN369" t="s">
        <v>305</v>
      </c>
      <c r="AO369" t="s">
        <v>7407</v>
      </c>
      <c r="AP369" t="s">
        <v>7408</v>
      </c>
      <c r="AQ369" t="s">
        <v>74</v>
      </c>
      <c r="AR369" t="s">
        <v>7409</v>
      </c>
      <c r="AS369" t="s">
        <v>7410</v>
      </c>
      <c r="AT369" t="s">
        <v>5678</v>
      </c>
      <c r="AU369">
        <v>2016</v>
      </c>
      <c r="AV369">
        <v>140</v>
      </c>
      <c r="AW369" t="s">
        <v>74</v>
      </c>
      <c r="AX369" t="s">
        <v>74</v>
      </c>
      <c r="AY369" t="s">
        <v>74</v>
      </c>
      <c r="AZ369" t="s">
        <v>74</v>
      </c>
      <c r="BA369" t="s">
        <v>74</v>
      </c>
      <c r="BB369">
        <v>381</v>
      </c>
      <c r="BC369">
        <v>385</v>
      </c>
      <c r="BD369" t="s">
        <v>74</v>
      </c>
      <c r="BE369" t="s">
        <v>7411</v>
      </c>
      <c r="BF369" t="str">
        <f>HYPERLINK("http://dx.doi.org/10.1016/j.atmosenv.2016.06.010","http://dx.doi.org/10.1016/j.atmosenv.2016.06.010")</f>
        <v>http://dx.doi.org/10.1016/j.atmosenv.2016.06.010</v>
      </c>
      <c r="BG369" t="s">
        <v>74</v>
      </c>
      <c r="BH369" t="s">
        <v>74</v>
      </c>
      <c r="BI369">
        <v>5</v>
      </c>
      <c r="BJ369" t="s">
        <v>1286</v>
      </c>
      <c r="BK369" t="s">
        <v>156</v>
      </c>
      <c r="BL369" t="s">
        <v>825</v>
      </c>
      <c r="BM369" t="s">
        <v>7412</v>
      </c>
      <c r="BN369" t="s">
        <v>74</v>
      </c>
      <c r="BO369" t="s">
        <v>3229</v>
      </c>
      <c r="BP369" t="s">
        <v>74</v>
      </c>
      <c r="BQ369" t="s">
        <v>74</v>
      </c>
      <c r="BR369" t="s">
        <v>105</v>
      </c>
      <c r="BS369" t="s">
        <v>7413</v>
      </c>
      <c r="BT369" t="str">
        <f>HYPERLINK("https%3A%2F%2Fwww.webofscience.com%2Fwos%2Fwoscc%2Ffull-record%2FWOS:000380083200034","View Full Record in Web of Science")</f>
        <v>View Full Record in Web of Science</v>
      </c>
    </row>
    <row r="370" spans="1:72" x14ac:dyDescent="0.15">
      <c r="A370" t="s">
        <v>72</v>
      </c>
      <c r="B370" t="s">
        <v>7414</v>
      </c>
      <c r="C370" t="s">
        <v>74</v>
      </c>
      <c r="D370" t="s">
        <v>74</v>
      </c>
      <c r="E370" t="s">
        <v>74</v>
      </c>
      <c r="F370" t="s">
        <v>7415</v>
      </c>
      <c r="G370" t="s">
        <v>74</v>
      </c>
      <c r="H370" t="s">
        <v>74</v>
      </c>
      <c r="I370" t="s">
        <v>7416</v>
      </c>
      <c r="J370" t="s">
        <v>7417</v>
      </c>
      <c r="K370" t="s">
        <v>74</v>
      </c>
      <c r="L370" t="s">
        <v>74</v>
      </c>
      <c r="M370" t="s">
        <v>78</v>
      </c>
      <c r="N370" t="s">
        <v>79</v>
      </c>
      <c r="O370" t="s">
        <v>74</v>
      </c>
      <c r="P370" t="s">
        <v>74</v>
      </c>
      <c r="Q370" t="s">
        <v>74</v>
      </c>
      <c r="R370" t="s">
        <v>74</v>
      </c>
      <c r="S370" t="s">
        <v>74</v>
      </c>
      <c r="T370" t="s">
        <v>7418</v>
      </c>
      <c r="U370" t="s">
        <v>7419</v>
      </c>
      <c r="V370" t="s">
        <v>7420</v>
      </c>
      <c r="W370" t="s">
        <v>7421</v>
      </c>
      <c r="X370" t="s">
        <v>7422</v>
      </c>
      <c r="Y370" t="s">
        <v>7423</v>
      </c>
      <c r="Z370" t="s">
        <v>7424</v>
      </c>
      <c r="AA370" t="s">
        <v>74</v>
      </c>
      <c r="AB370" t="s">
        <v>74</v>
      </c>
      <c r="AC370" t="s">
        <v>7425</v>
      </c>
      <c r="AD370" t="s">
        <v>7426</v>
      </c>
      <c r="AE370" t="s">
        <v>7427</v>
      </c>
      <c r="AF370" t="s">
        <v>74</v>
      </c>
      <c r="AG370">
        <v>53</v>
      </c>
      <c r="AH370">
        <v>8</v>
      </c>
      <c r="AI370">
        <v>9</v>
      </c>
      <c r="AJ370">
        <v>1</v>
      </c>
      <c r="AK370">
        <v>18</v>
      </c>
      <c r="AL370" t="s">
        <v>7119</v>
      </c>
      <c r="AM370" t="s">
        <v>7120</v>
      </c>
      <c r="AN370" t="s">
        <v>7428</v>
      </c>
      <c r="AO370" t="s">
        <v>7429</v>
      </c>
      <c r="AP370" t="s">
        <v>7430</v>
      </c>
      <c r="AQ370" t="s">
        <v>74</v>
      </c>
      <c r="AR370" t="s">
        <v>7431</v>
      </c>
      <c r="AS370" t="s">
        <v>7432</v>
      </c>
      <c r="AT370" t="s">
        <v>5678</v>
      </c>
      <c r="AU370">
        <v>2016</v>
      </c>
      <c r="AV370">
        <v>34</v>
      </c>
      <c r="AW370">
        <v>5</v>
      </c>
      <c r="AX370" t="s">
        <v>74</v>
      </c>
      <c r="AY370" t="s">
        <v>74</v>
      </c>
      <c r="AZ370" t="s">
        <v>74</v>
      </c>
      <c r="BA370" t="s">
        <v>74</v>
      </c>
      <c r="BB370">
        <v>952</v>
      </c>
      <c r="BC370">
        <v>963</v>
      </c>
      <c r="BD370" t="s">
        <v>74</v>
      </c>
      <c r="BE370" t="s">
        <v>7433</v>
      </c>
      <c r="BF370" t="str">
        <f>HYPERLINK("http://dx.doi.org/10.1007/s00343-016-5132-z","http://dx.doi.org/10.1007/s00343-016-5132-z")</f>
        <v>http://dx.doi.org/10.1007/s00343-016-5132-z</v>
      </c>
      <c r="BG370" t="s">
        <v>74</v>
      </c>
      <c r="BH370" t="s">
        <v>74</v>
      </c>
      <c r="BI370">
        <v>12</v>
      </c>
      <c r="BJ370" t="s">
        <v>4051</v>
      </c>
      <c r="BK370" t="s">
        <v>156</v>
      </c>
      <c r="BL370" t="s">
        <v>2120</v>
      </c>
      <c r="BM370" t="s">
        <v>7434</v>
      </c>
      <c r="BN370" t="s">
        <v>74</v>
      </c>
      <c r="BO370" t="s">
        <v>74</v>
      </c>
      <c r="BP370" t="s">
        <v>74</v>
      </c>
      <c r="BQ370" t="s">
        <v>74</v>
      </c>
      <c r="BR370" t="s">
        <v>105</v>
      </c>
      <c r="BS370" t="s">
        <v>7435</v>
      </c>
      <c r="BT370" t="str">
        <f>HYPERLINK("https%3A%2F%2Fwww.webofscience.com%2Fwos%2Fwoscc%2Ffull-record%2FWOS:000379737000007","View Full Record in Web of Science")</f>
        <v>View Full Record in Web of Science</v>
      </c>
    </row>
    <row r="371" spans="1:72" x14ac:dyDescent="0.15">
      <c r="A371" t="s">
        <v>72</v>
      </c>
      <c r="B371" t="s">
        <v>7436</v>
      </c>
      <c r="C371" t="s">
        <v>74</v>
      </c>
      <c r="D371" t="s">
        <v>74</v>
      </c>
      <c r="E371" t="s">
        <v>74</v>
      </c>
      <c r="F371" t="s">
        <v>7437</v>
      </c>
      <c r="G371" t="s">
        <v>74</v>
      </c>
      <c r="H371" t="s">
        <v>74</v>
      </c>
      <c r="I371" t="s">
        <v>7438</v>
      </c>
      <c r="J371" t="s">
        <v>7417</v>
      </c>
      <c r="K371" t="s">
        <v>74</v>
      </c>
      <c r="L371" t="s">
        <v>74</v>
      </c>
      <c r="M371" t="s">
        <v>78</v>
      </c>
      <c r="N371" t="s">
        <v>79</v>
      </c>
      <c r="O371" t="s">
        <v>74</v>
      </c>
      <c r="P371" t="s">
        <v>74</v>
      </c>
      <c r="Q371" t="s">
        <v>74</v>
      </c>
      <c r="R371" t="s">
        <v>74</v>
      </c>
      <c r="S371" t="s">
        <v>74</v>
      </c>
      <c r="T371" t="s">
        <v>7439</v>
      </c>
      <c r="U371" t="s">
        <v>7440</v>
      </c>
      <c r="V371" t="s">
        <v>7441</v>
      </c>
      <c r="W371" t="s">
        <v>7442</v>
      </c>
      <c r="X371" t="s">
        <v>7443</v>
      </c>
      <c r="Y371" t="s">
        <v>7444</v>
      </c>
      <c r="Z371" t="s">
        <v>7445</v>
      </c>
      <c r="AA371" t="s">
        <v>7446</v>
      </c>
      <c r="AB371" t="s">
        <v>7447</v>
      </c>
      <c r="AC371" t="s">
        <v>7448</v>
      </c>
      <c r="AD371" t="s">
        <v>7449</v>
      </c>
      <c r="AE371" t="s">
        <v>7450</v>
      </c>
      <c r="AF371" t="s">
        <v>74</v>
      </c>
      <c r="AG371">
        <v>28</v>
      </c>
      <c r="AH371">
        <v>11</v>
      </c>
      <c r="AI371">
        <v>14</v>
      </c>
      <c r="AJ371">
        <v>4</v>
      </c>
      <c r="AK371">
        <v>16</v>
      </c>
      <c r="AL371" t="s">
        <v>7119</v>
      </c>
      <c r="AM371" t="s">
        <v>7120</v>
      </c>
      <c r="AN371" t="s">
        <v>7451</v>
      </c>
      <c r="AO371" t="s">
        <v>7429</v>
      </c>
      <c r="AP371" t="s">
        <v>7430</v>
      </c>
      <c r="AQ371" t="s">
        <v>74</v>
      </c>
      <c r="AR371" t="s">
        <v>7431</v>
      </c>
      <c r="AS371" t="s">
        <v>7432</v>
      </c>
      <c r="AT371" t="s">
        <v>5678</v>
      </c>
      <c r="AU371">
        <v>2016</v>
      </c>
      <c r="AV371">
        <v>34</v>
      </c>
      <c r="AW371">
        <v>5</v>
      </c>
      <c r="AX371" t="s">
        <v>74</v>
      </c>
      <c r="AY371" t="s">
        <v>74</v>
      </c>
      <c r="AZ371" t="s">
        <v>74</v>
      </c>
      <c r="BA371" t="s">
        <v>74</v>
      </c>
      <c r="BB371">
        <v>1064</v>
      </c>
      <c r="BC371">
        <v>1071</v>
      </c>
      <c r="BD371" t="s">
        <v>74</v>
      </c>
      <c r="BE371" t="s">
        <v>7452</v>
      </c>
      <c r="BF371" t="str">
        <f>HYPERLINK("http://dx.doi.org/10.1007/s00343-016-4393-x","http://dx.doi.org/10.1007/s00343-016-4393-x")</f>
        <v>http://dx.doi.org/10.1007/s00343-016-4393-x</v>
      </c>
      <c r="BG371" t="s">
        <v>74</v>
      </c>
      <c r="BH371" t="s">
        <v>74</v>
      </c>
      <c r="BI371">
        <v>8</v>
      </c>
      <c r="BJ371" t="s">
        <v>4051</v>
      </c>
      <c r="BK371" t="s">
        <v>156</v>
      </c>
      <c r="BL371" t="s">
        <v>2120</v>
      </c>
      <c r="BM371" t="s">
        <v>7434</v>
      </c>
      <c r="BN371" t="s">
        <v>74</v>
      </c>
      <c r="BO371" t="s">
        <v>74</v>
      </c>
      <c r="BP371" t="s">
        <v>74</v>
      </c>
      <c r="BQ371" t="s">
        <v>74</v>
      </c>
      <c r="BR371" t="s">
        <v>105</v>
      </c>
      <c r="BS371" t="s">
        <v>7453</v>
      </c>
      <c r="BT371" t="str">
        <f>HYPERLINK("https%3A%2F%2Fwww.webofscience.com%2Fwos%2Fwoscc%2Ffull-record%2FWOS:000379737000018","View Full Record in Web of Science")</f>
        <v>View Full Record in Web of Science</v>
      </c>
    </row>
    <row r="372" spans="1:72" x14ac:dyDescent="0.15">
      <c r="A372" t="s">
        <v>72</v>
      </c>
      <c r="B372" t="s">
        <v>7454</v>
      </c>
      <c r="C372" t="s">
        <v>74</v>
      </c>
      <c r="D372" t="s">
        <v>74</v>
      </c>
      <c r="E372" t="s">
        <v>74</v>
      </c>
      <c r="F372" t="s">
        <v>7455</v>
      </c>
      <c r="G372" t="s">
        <v>74</v>
      </c>
      <c r="H372" t="s">
        <v>74</v>
      </c>
      <c r="I372" t="s">
        <v>7456</v>
      </c>
      <c r="J372" t="s">
        <v>7457</v>
      </c>
      <c r="K372" t="s">
        <v>74</v>
      </c>
      <c r="L372" t="s">
        <v>74</v>
      </c>
      <c r="M372" t="s">
        <v>78</v>
      </c>
      <c r="N372" t="s">
        <v>79</v>
      </c>
      <c r="O372" t="s">
        <v>74</v>
      </c>
      <c r="P372" t="s">
        <v>74</v>
      </c>
      <c r="Q372" t="s">
        <v>74</v>
      </c>
      <c r="R372" t="s">
        <v>74</v>
      </c>
      <c r="S372" t="s">
        <v>74</v>
      </c>
      <c r="T372" t="s">
        <v>7458</v>
      </c>
      <c r="U372" t="s">
        <v>7459</v>
      </c>
      <c r="V372" t="s">
        <v>7460</v>
      </c>
      <c r="W372" t="s">
        <v>7461</v>
      </c>
      <c r="X372" t="s">
        <v>7462</v>
      </c>
      <c r="Y372" t="s">
        <v>7463</v>
      </c>
      <c r="Z372" t="s">
        <v>7464</v>
      </c>
      <c r="AA372" t="s">
        <v>7465</v>
      </c>
      <c r="AB372" t="s">
        <v>7466</v>
      </c>
      <c r="AC372" t="s">
        <v>7467</v>
      </c>
      <c r="AD372" t="s">
        <v>7468</v>
      </c>
      <c r="AE372" t="s">
        <v>7469</v>
      </c>
      <c r="AF372" t="s">
        <v>74</v>
      </c>
      <c r="AG372">
        <v>29</v>
      </c>
      <c r="AH372">
        <v>14</v>
      </c>
      <c r="AI372">
        <v>14</v>
      </c>
      <c r="AJ372">
        <v>0</v>
      </c>
      <c r="AK372">
        <v>7</v>
      </c>
      <c r="AL372" t="s">
        <v>7470</v>
      </c>
      <c r="AM372" t="s">
        <v>7471</v>
      </c>
      <c r="AN372" t="s">
        <v>7472</v>
      </c>
      <c r="AO372" t="s">
        <v>7473</v>
      </c>
      <c r="AP372" t="s">
        <v>7474</v>
      </c>
      <c r="AQ372" t="s">
        <v>74</v>
      </c>
      <c r="AR372" t="s">
        <v>7475</v>
      </c>
      <c r="AS372" t="s">
        <v>7476</v>
      </c>
      <c r="AT372" t="s">
        <v>5678</v>
      </c>
      <c r="AU372">
        <v>2016</v>
      </c>
      <c r="AV372">
        <v>61</v>
      </c>
      <c r="AW372">
        <v>3</v>
      </c>
      <c r="AX372" t="s">
        <v>74</v>
      </c>
      <c r="AY372" t="s">
        <v>74</v>
      </c>
      <c r="AZ372" t="s">
        <v>74</v>
      </c>
      <c r="BA372" t="s">
        <v>74</v>
      </c>
      <c r="BB372">
        <v>529</v>
      </c>
      <c r="BC372">
        <v>536</v>
      </c>
      <c r="BD372" t="s">
        <v>74</v>
      </c>
      <c r="BE372" t="s">
        <v>7477</v>
      </c>
      <c r="BF372" t="str">
        <f>HYPERLINK("http://dx.doi.org/10.1515/ap-2016-0070","http://dx.doi.org/10.1515/ap-2016-0070")</f>
        <v>http://dx.doi.org/10.1515/ap-2016-0070</v>
      </c>
      <c r="BG372" t="s">
        <v>74</v>
      </c>
      <c r="BH372" t="s">
        <v>74</v>
      </c>
      <c r="BI372">
        <v>8</v>
      </c>
      <c r="BJ372" t="s">
        <v>7478</v>
      </c>
      <c r="BK372" t="s">
        <v>156</v>
      </c>
      <c r="BL372" t="s">
        <v>7478</v>
      </c>
      <c r="BM372" t="s">
        <v>7479</v>
      </c>
      <c r="BN372">
        <v>27447216</v>
      </c>
      <c r="BO372" t="s">
        <v>74</v>
      </c>
      <c r="BP372" t="s">
        <v>74</v>
      </c>
      <c r="BQ372" t="s">
        <v>74</v>
      </c>
      <c r="BR372" t="s">
        <v>105</v>
      </c>
      <c r="BS372" t="s">
        <v>7480</v>
      </c>
      <c r="BT372" t="str">
        <f>HYPERLINK("https%3A%2F%2Fwww.webofscience.com%2Fwos%2Fwoscc%2Ffull-record%2FWOS:000387048300012","View Full Record in Web of Science")</f>
        <v>View Full Record in Web of Science</v>
      </c>
    </row>
    <row r="373" spans="1:72" x14ac:dyDescent="0.15">
      <c r="A373" t="s">
        <v>72</v>
      </c>
      <c r="B373" t="s">
        <v>7481</v>
      </c>
      <c r="C373" t="s">
        <v>74</v>
      </c>
      <c r="D373" t="s">
        <v>74</v>
      </c>
      <c r="E373" t="s">
        <v>74</v>
      </c>
      <c r="F373" t="s">
        <v>7482</v>
      </c>
      <c r="G373" t="s">
        <v>74</v>
      </c>
      <c r="H373" t="s">
        <v>74</v>
      </c>
      <c r="I373" t="s">
        <v>7483</v>
      </c>
      <c r="J373" t="s">
        <v>5745</v>
      </c>
      <c r="K373" t="s">
        <v>74</v>
      </c>
      <c r="L373" t="s">
        <v>74</v>
      </c>
      <c r="M373" t="s">
        <v>78</v>
      </c>
      <c r="N373" t="s">
        <v>79</v>
      </c>
      <c r="O373" t="s">
        <v>74</v>
      </c>
      <c r="P373" t="s">
        <v>74</v>
      </c>
      <c r="Q373" t="s">
        <v>74</v>
      </c>
      <c r="R373" t="s">
        <v>74</v>
      </c>
      <c r="S373" t="s">
        <v>74</v>
      </c>
      <c r="T373" t="s">
        <v>7484</v>
      </c>
      <c r="U373" t="s">
        <v>7485</v>
      </c>
      <c r="V373" t="s">
        <v>7486</v>
      </c>
      <c r="W373" t="s">
        <v>7487</v>
      </c>
      <c r="X373" t="s">
        <v>7488</v>
      </c>
      <c r="Y373" t="s">
        <v>7489</v>
      </c>
      <c r="Z373" t="s">
        <v>7490</v>
      </c>
      <c r="AA373" t="s">
        <v>7491</v>
      </c>
      <c r="AB373" t="s">
        <v>7492</v>
      </c>
      <c r="AC373" t="s">
        <v>7493</v>
      </c>
      <c r="AD373" t="s">
        <v>7494</v>
      </c>
      <c r="AE373" t="s">
        <v>7495</v>
      </c>
      <c r="AF373" t="s">
        <v>74</v>
      </c>
      <c r="AG373">
        <v>30</v>
      </c>
      <c r="AH373">
        <v>36</v>
      </c>
      <c r="AI373">
        <v>39</v>
      </c>
      <c r="AJ373">
        <v>1</v>
      </c>
      <c r="AK373">
        <v>18</v>
      </c>
      <c r="AL373" t="s">
        <v>2670</v>
      </c>
      <c r="AM373" t="s">
        <v>2026</v>
      </c>
      <c r="AN373" t="s">
        <v>2671</v>
      </c>
      <c r="AO373" t="s">
        <v>5757</v>
      </c>
      <c r="AP373" t="s">
        <v>5758</v>
      </c>
      <c r="AQ373" t="s">
        <v>74</v>
      </c>
      <c r="AR373" t="s">
        <v>5759</v>
      </c>
      <c r="AS373" t="s">
        <v>5760</v>
      </c>
      <c r="AT373" t="s">
        <v>5678</v>
      </c>
      <c r="AU373">
        <v>2016</v>
      </c>
      <c r="AV373">
        <v>57</v>
      </c>
      <c r="AW373">
        <v>73</v>
      </c>
      <c r="AX373" t="s">
        <v>74</v>
      </c>
      <c r="AY373" t="s">
        <v>74</v>
      </c>
      <c r="AZ373" t="s">
        <v>74</v>
      </c>
      <c r="BA373" t="s">
        <v>74</v>
      </c>
      <c r="BB373">
        <v>1</v>
      </c>
      <c r="BC373">
        <v>9</v>
      </c>
      <c r="BD373" t="s">
        <v>74</v>
      </c>
      <c r="BE373" t="s">
        <v>7496</v>
      </c>
      <c r="BF373" t="str">
        <f>HYPERLINK("http://dx.doi.org/10.1017/aog.2016.13","http://dx.doi.org/10.1017/aog.2016.13")</f>
        <v>http://dx.doi.org/10.1017/aog.2016.13</v>
      </c>
      <c r="BG373" t="s">
        <v>74</v>
      </c>
      <c r="BH373" t="s">
        <v>74</v>
      </c>
      <c r="BI373">
        <v>9</v>
      </c>
      <c r="BJ373" t="s">
        <v>203</v>
      </c>
      <c r="BK373" t="s">
        <v>156</v>
      </c>
      <c r="BL373" t="s">
        <v>204</v>
      </c>
      <c r="BM373" t="s">
        <v>5762</v>
      </c>
      <c r="BN373" t="s">
        <v>74</v>
      </c>
      <c r="BO373" t="s">
        <v>133</v>
      </c>
      <c r="BP373" t="s">
        <v>74</v>
      </c>
      <c r="BQ373" t="s">
        <v>74</v>
      </c>
      <c r="BR373" t="s">
        <v>105</v>
      </c>
      <c r="BS373" t="s">
        <v>7497</v>
      </c>
      <c r="BT373" t="str">
        <f>HYPERLINK("https%3A%2F%2Fwww.webofscience.com%2Fwos%2Fwoscc%2Ffull-record%2FWOS:000388953800002","View Full Record in Web of Science")</f>
        <v>View Full Record in Web of Science</v>
      </c>
    </row>
    <row r="374" spans="1:72" x14ac:dyDescent="0.15">
      <c r="A374" t="s">
        <v>72</v>
      </c>
      <c r="B374" t="s">
        <v>7498</v>
      </c>
      <c r="C374" t="s">
        <v>74</v>
      </c>
      <c r="D374" t="s">
        <v>74</v>
      </c>
      <c r="E374" t="s">
        <v>74</v>
      </c>
      <c r="F374" t="s">
        <v>7499</v>
      </c>
      <c r="G374" t="s">
        <v>74</v>
      </c>
      <c r="H374" t="s">
        <v>74</v>
      </c>
      <c r="I374" t="s">
        <v>7500</v>
      </c>
      <c r="J374" t="s">
        <v>5745</v>
      </c>
      <c r="K374" t="s">
        <v>74</v>
      </c>
      <c r="L374" t="s">
        <v>74</v>
      </c>
      <c r="M374" t="s">
        <v>78</v>
      </c>
      <c r="N374" t="s">
        <v>79</v>
      </c>
      <c r="O374" t="s">
        <v>74</v>
      </c>
      <c r="P374" t="s">
        <v>74</v>
      </c>
      <c r="Q374" t="s">
        <v>74</v>
      </c>
      <c r="R374" t="s">
        <v>74</v>
      </c>
      <c r="S374" t="s">
        <v>74</v>
      </c>
      <c r="T374" t="s">
        <v>7501</v>
      </c>
      <c r="U374" t="s">
        <v>7502</v>
      </c>
      <c r="V374" t="s">
        <v>7503</v>
      </c>
      <c r="W374" t="s">
        <v>7504</v>
      </c>
      <c r="X374" t="s">
        <v>7505</v>
      </c>
      <c r="Y374" t="s">
        <v>7506</v>
      </c>
      <c r="Z374" t="s">
        <v>7507</v>
      </c>
      <c r="AA374" t="s">
        <v>7508</v>
      </c>
      <c r="AB374" t="s">
        <v>7509</v>
      </c>
      <c r="AC374" t="s">
        <v>7510</v>
      </c>
      <c r="AD374" t="s">
        <v>7511</v>
      </c>
      <c r="AE374" t="s">
        <v>7512</v>
      </c>
      <c r="AF374" t="s">
        <v>74</v>
      </c>
      <c r="AG374">
        <v>36</v>
      </c>
      <c r="AH374">
        <v>29</v>
      </c>
      <c r="AI374">
        <v>31</v>
      </c>
      <c r="AJ374">
        <v>0</v>
      </c>
      <c r="AK374">
        <v>19</v>
      </c>
      <c r="AL374" t="s">
        <v>2670</v>
      </c>
      <c r="AM374" t="s">
        <v>2026</v>
      </c>
      <c r="AN374" t="s">
        <v>2671</v>
      </c>
      <c r="AO374" t="s">
        <v>5757</v>
      </c>
      <c r="AP374" t="s">
        <v>5758</v>
      </c>
      <c r="AQ374" t="s">
        <v>74</v>
      </c>
      <c r="AR374" t="s">
        <v>5759</v>
      </c>
      <c r="AS374" t="s">
        <v>5760</v>
      </c>
      <c r="AT374" t="s">
        <v>5678</v>
      </c>
      <c r="AU374">
        <v>2016</v>
      </c>
      <c r="AV374">
        <v>57</v>
      </c>
      <c r="AW374">
        <v>73</v>
      </c>
      <c r="AX374" t="s">
        <v>74</v>
      </c>
      <c r="AY374" t="s">
        <v>74</v>
      </c>
      <c r="AZ374" t="s">
        <v>74</v>
      </c>
      <c r="BA374" t="s">
        <v>74</v>
      </c>
      <c r="BB374">
        <v>19</v>
      </c>
      <c r="BC374">
        <v>24</v>
      </c>
      <c r="BD374" t="s">
        <v>74</v>
      </c>
      <c r="BE374" t="s">
        <v>7513</v>
      </c>
      <c r="BF374" t="str">
        <f>HYPERLINK("http://dx.doi.org/10.1017/aog.2016.17","http://dx.doi.org/10.1017/aog.2016.17")</f>
        <v>http://dx.doi.org/10.1017/aog.2016.17</v>
      </c>
      <c r="BG374" t="s">
        <v>74</v>
      </c>
      <c r="BH374" t="s">
        <v>74</v>
      </c>
      <c r="BI374">
        <v>6</v>
      </c>
      <c r="BJ374" t="s">
        <v>203</v>
      </c>
      <c r="BK374" t="s">
        <v>156</v>
      </c>
      <c r="BL374" t="s">
        <v>204</v>
      </c>
      <c r="BM374" t="s">
        <v>5762</v>
      </c>
      <c r="BN374" t="s">
        <v>74</v>
      </c>
      <c r="BO374" t="s">
        <v>1916</v>
      </c>
      <c r="BP374" t="s">
        <v>74</v>
      </c>
      <c r="BQ374" t="s">
        <v>74</v>
      </c>
      <c r="BR374" t="s">
        <v>105</v>
      </c>
      <c r="BS374" t="s">
        <v>7514</v>
      </c>
      <c r="BT374" t="str">
        <f>HYPERLINK("https%3A%2F%2Fwww.webofscience.com%2Fwos%2Fwoscc%2Ffull-record%2FWOS:000388953800004","View Full Record in Web of Science")</f>
        <v>View Full Record in Web of Science</v>
      </c>
    </row>
    <row r="375" spans="1:72" x14ac:dyDescent="0.15">
      <c r="A375" t="s">
        <v>72</v>
      </c>
      <c r="B375" t="s">
        <v>7515</v>
      </c>
      <c r="C375" t="s">
        <v>74</v>
      </c>
      <c r="D375" t="s">
        <v>74</v>
      </c>
      <c r="E375" t="s">
        <v>74</v>
      </c>
      <c r="F375" t="s">
        <v>7516</v>
      </c>
      <c r="G375" t="s">
        <v>74</v>
      </c>
      <c r="H375" t="s">
        <v>74</v>
      </c>
      <c r="I375" t="s">
        <v>7517</v>
      </c>
      <c r="J375" t="s">
        <v>5745</v>
      </c>
      <c r="K375" t="s">
        <v>74</v>
      </c>
      <c r="L375" t="s">
        <v>74</v>
      </c>
      <c r="M375" t="s">
        <v>78</v>
      </c>
      <c r="N375" t="s">
        <v>79</v>
      </c>
      <c r="O375" t="s">
        <v>74</v>
      </c>
      <c r="P375" t="s">
        <v>74</v>
      </c>
      <c r="Q375" t="s">
        <v>74</v>
      </c>
      <c r="R375" t="s">
        <v>74</v>
      </c>
      <c r="S375" t="s">
        <v>74</v>
      </c>
      <c r="T375" t="s">
        <v>7518</v>
      </c>
      <c r="U375" t="s">
        <v>7519</v>
      </c>
      <c r="V375" t="s">
        <v>7520</v>
      </c>
      <c r="W375" t="s">
        <v>7521</v>
      </c>
      <c r="X375" t="s">
        <v>7522</v>
      </c>
      <c r="Y375" t="s">
        <v>7523</v>
      </c>
      <c r="Z375" t="s">
        <v>7524</v>
      </c>
      <c r="AA375" t="s">
        <v>7525</v>
      </c>
      <c r="AB375" t="s">
        <v>7526</v>
      </c>
      <c r="AC375" t="s">
        <v>7527</v>
      </c>
      <c r="AD375" t="s">
        <v>7528</v>
      </c>
      <c r="AE375" t="s">
        <v>7529</v>
      </c>
      <c r="AF375" t="s">
        <v>74</v>
      </c>
      <c r="AG375">
        <v>39</v>
      </c>
      <c r="AH375">
        <v>14</v>
      </c>
      <c r="AI375">
        <v>17</v>
      </c>
      <c r="AJ375">
        <v>2</v>
      </c>
      <c r="AK375">
        <v>18</v>
      </c>
      <c r="AL375" t="s">
        <v>2670</v>
      </c>
      <c r="AM375" t="s">
        <v>2026</v>
      </c>
      <c r="AN375" t="s">
        <v>2671</v>
      </c>
      <c r="AO375" t="s">
        <v>5757</v>
      </c>
      <c r="AP375" t="s">
        <v>5758</v>
      </c>
      <c r="AQ375" t="s">
        <v>74</v>
      </c>
      <c r="AR375" t="s">
        <v>5759</v>
      </c>
      <c r="AS375" t="s">
        <v>5760</v>
      </c>
      <c r="AT375" t="s">
        <v>5678</v>
      </c>
      <c r="AU375">
        <v>2016</v>
      </c>
      <c r="AV375">
        <v>57</v>
      </c>
      <c r="AW375">
        <v>73</v>
      </c>
      <c r="AX375" t="s">
        <v>74</v>
      </c>
      <c r="AY375" t="s">
        <v>74</v>
      </c>
      <c r="AZ375" t="s">
        <v>74</v>
      </c>
      <c r="BA375" t="s">
        <v>74</v>
      </c>
      <c r="BB375">
        <v>79</v>
      </c>
      <c r="BC375">
        <v>86</v>
      </c>
      <c r="BD375" t="s">
        <v>74</v>
      </c>
      <c r="BE375" t="s">
        <v>7530</v>
      </c>
      <c r="BF375" t="str">
        <f>HYPERLINK("http://dx.doi.org/10.1017/aog.2016.27","http://dx.doi.org/10.1017/aog.2016.27")</f>
        <v>http://dx.doi.org/10.1017/aog.2016.27</v>
      </c>
      <c r="BG375" t="s">
        <v>74</v>
      </c>
      <c r="BH375" t="s">
        <v>74</v>
      </c>
      <c r="BI375">
        <v>8</v>
      </c>
      <c r="BJ375" t="s">
        <v>203</v>
      </c>
      <c r="BK375" t="s">
        <v>156</v>
      </c>
      <c r="BL375" t="s">
        <v>204</v>
      </c>
      <c r="BM375" t="s">
        <v>5762</v>
      </c>
      <c r="BN375" t="s">
        <v>74</v>
      </c>
      <c r="BO375" t="s">
        <v>3942</v>
      </c>
      <c r="BP375" t="s">
        <v>74</v>
      </c>
      <c r="BQ375" t="s">
        <v>74</v>
      </c>
      <c r="BR375" t="s">
        <v>105</v>
      </c>
      <c r="BS375" t="s">
        <v>7531</v>
      </c>
      <c r="BT375" t="str">
        <f>HYPERLINK("https%3A%2F%2Fwww.webofscience.com%2Fwos%2Fwoscc%2Ffull-record%2FWOS:000388953800010","View Full Record in Web of Science")</f>
        <v>View Full Record in Web of Science</v>
      </c>
    </row>
    <row r="376" spans="1:72" x14ac:dyDescent="0.15">
      <c r="A376" t="s">
        <v>72</v>
      </c>
      <c r="B376" t="s">
        <v>7532</v>
      </c>
      <c r="C376" t="s">
        <v>74</v>
      </c>
      <c r="D376" t="s">
        <v>74</v>
      </c>
      <c r="E376" t="s">
        <v>74</v>
      </c>
      <c r="F376" t="s">
        <v>7533</v>
      </c>
      <c r="G376" t="s">
        <v>74</v>
      </c>
      <c r="H376" t="s">
        <v>74</v>
      </c>
      <c r="I376" t="s">
        <v>7534</v>
      </c>
      <c r="J376" t="s">
        <v>5852</v>
      </c>
      <c r="K376" t="s">
        <v>74</v>
      </c>
      <c r="L376" t="s">
        <v>74</v>
      </c>
      <c r="M376" t="s">
        <v>78</v>
      </c>
      <c r="N376" t="s">
        <v>2730</v>
      </c>
      <c r="O376" t="s">
        <v>6783</v>
      </c>
      <c r="P376" t="s">
        <v>4458</v>
      </c>
      <c r="Q376" t="s">
        <v>6784</v>
      </c>
      <c r="R376" t="s">
        <v>74</v>
      </c>
      <c r="S376" t="s">
        <v>74</v>
      </c>
      <c r="T376" t="s">
        <v>74</v>
      </c>
      <c r="U376" t="s">
        <v>7535</v>
      </c>
      <c r="V376" t="s">
        <v>7536</v>
      </c>
      <c r="W376" t="s">
        <v>7537</v>
      </c>
      <c r="X376" t="s">
        <v>7538</v>
      </c>
      <c r="Y376" t="s">
        <v>7539</v>
      </c>
      <c r="Z376" t="s">
        <v>74</v>
      </c>
      <c r="AA376" t="s">
        <v>7540</v>
      </c>
      <c r="AB376" t="s">
        <v>7541</v>
      </c>
      <c r="AC376" t="s">
        <v>74</v>
      </c>
      <c r="AD376" t="s">
        <v>74</v>
      </c>
      <c r="AE376" t="s">
        <v>74</v>
      </c>
      <c r="AF376" t="s">
        <v>74</v>
      </c>
      <c r="AG376">
        <v>94</v>
      </c>
      <c r="AH376">
        <v>17</v>
      </c>
      <c r="AI376">
        <v>18</v>
      </c>
      <c r="AJ376">
        <v>0</v>
      </c>
      <c r="AK376">
        <v>44</v>
      </c>
      <c r="AL376" t="s">
        <v>501</v>
      </c>
      <c r="AM376" t="s">
        <v>502</v>
      </c>
      <c r="AN376" t="s">
        <v>503</v>
      </c>
      <c r="AO376" t="s">
        <v>5862</v>
      </c>
      <c r="AP376" t="s">
        <v>5863</v>
      </c>
      <c r="AQ376" t="s">
        <v>74</v>
      </c>
      <c r="AR376" t="s">
        <v>5864</v>
      </c>
      <c r="AS376" t="s">
        <v>5865</v>
      </c>
      <c r="AT376" t="s">
        <v>5678</v>
      </c>
      <c r="AU376">
        <v>2016</v>
      </c>
      <c r="AV376">
        <v>26</v>
      </c>
      <c r="AW376" t="s">
        <v>74</v>
      </c>
      <c r="AX376" t="s">
        <v>74</v>
      </c>
      <c r="AY376">
        <v>2</v>
      </c>
      <c r="AZ376" t="s">
        <v>74</v>
      </c>
      <c r="BA376" t="s">
        <v>74</v>
      </c>
      <c r="BB376">
        <v>61</v>
      </c>
      <c r="BC376">
        <v>84</v>
      </c>
      <c r="BD376" t="s">
        <v>74</v>
      </c>
      <c r="BE376" t="s">
        <v>7542</v>
      </c>
      <c r="BF376" t="str">
        <f>HYPERLINK("http://dx.doi.org/10.1002/aqc.2649","http://dx.doi.org/10.1002/aqc.2649")</f>
        <v>http://dx.doi.org/10.1002/aqc.2649</v>
      </c>
      <c r="BG376" t="s">
        <v>74</v>
      </c>
      <c r="BH376" t="s">
        <v>74</v>
      </c>
      <c r="BI376">
        <v>24</v>
      </c>
      <c r="BJ376" t="s">
        <v>5867</v>
      </c>
      <c r="BK376" t="s">
        <v>7543</v>
      </c>
      <c r="BL376" t="s">
        <v>5868</v>
      </c>
      <c r="BM376" t="s">
        <v>6795</v>
      </c>
      <c r="BN376" t="s">
        <v>74</v>
      </c>
      <c r="BO376" t="s">
        <v>258</v>
      </c>
      <c r="BP376" t="s">
        <v>74</v>
      </c>
      <c r="BQ376" t="s">
        <v>74</v>
      </c>
      <c r="BR376" t="s">
        <v>105</v>
      </c>
      <c r="BS376" t="s">
        <v>7544</v>
      </c>
      <c r="BT376" t="str">
        <f>HYPERLINK("https%3A%2F%2Fwww.webofscience.com%2Fwos%2Fwoscc%2Ffull-record%2FWOS:000383668500007","View Full Record in Web of Science")</f>
        <v>View Full Record in Web of Science</v>
      </c>
    </row>
    <row r="377" spans="1:72" x14ac:dyDescent="0.15">
      <c r="A377" t="s">
        <v>72</v>
      </c>
      <c r="B377" t="s">
        <v>7545</v>
      </c>
      <c r="C377" t="s">
        <v>74</v>
      </c>
      <c r="D377" t="s">
        <v>74</v>
      </c>
      <c r="E377" t="s">
        <v>74</v>
      </c>
      <c r="F377" t="s">
        <v>7546</v>
      </c>
      <c r="G377" t="s">
        <v>74</v>
      </c>
      <c r="H377" t="s">
        <v>74</v>
      </c>
      <c r="I377" t="s">
        <v>7547</v>
      </c>
      <c r="J377" t="s">
        <v>5852</v>
      </c>
      <c r="K377" t="s">
        <v>74</v>
      </c>
      <c r="L377" t="s">
        <v>74</v>
      </c>
      <c r="M377" t="s">
        <v>78</v>
      </c>
      <c r="N377" t="s">
        <v>2730</v>
      </c>
      <c r="O377" t="s">
        <v>6783</v>
      </c>
      <c r="P377" t="s">
        <v>4458</v>
      </c>
      <c r="Q377" t="s">
        <v>6784</v>
      </c>
      <c r="R377" t="s">
        <v>74</v>
      </c>
      <c r="S377" t="s">
        <v>74</v>
      </c>
      <c r="T377" t="s">
        <v>7548</v>
      </c>
      <c r="U377" t="s">
        <v>7549</v>
      </c>
      <c r="V377" t="s">
        <v>7550</v>
      </c>
      <c r="W377" t="s">
        <v>7551</v>
      </c>
      <c r="X377" t="s">
        <v>7552</v>
      </c>
      <c r="Y377" t="s">
        <v>7553</v>
      </c>
      <c r="Z377" t="s">
        <v>7554</v>
      </c>
      <c r="AA377" t="s">
        <v>7555</v>
      </c>
      <c r="AB377" t="s">
        <v>74</v>
      </c>
      <c r="AC377" t="s">
        <v>74</v>
      </c>
      <c r="AD377" t="s">
        <v>74</v>
      </c>
      <c r="AE377" t="s">
        <v>74</v>
      </c>
      <c r="AF377" t="s">
        <v>74</v>
      </c>
      <c r="AG377">
        <v>84</v>
      </c>
      <c r="AH377">
        <v>8</v>
      </c>
      <c r="AI377">
        <v>9</v>
      </c>
      <c r="AJ377">
        <v>2</v>
      </c>
      <c r="AK377">
        <v>37</v>
      </c>
      <c r="AL377" t="s">
        <v>2541</v>
      </c>
      <c r="AM377" t="s">
        <v>502</v>
      </c>
      <c r="AN377" t="s">
        <v>503</v>
      </c>
      <c r="AO377" t="s">
        <v>5862</v>
      </c>
      <c r="AP377" t="s">
        <v>5863</v>
      </c>
      <c r="AQ377" t="s">
        <v>74</v>
      </c>
      <c r="AR377" t="s">
        <v>5864</v>
      </c>
      <c r="AS377" t="s">
        <v>5865</v>
      </c>
      <c r="AT377" t="s">
        <v>5678</v>
      </c>
      <c r="AU377">
        <v>2016</v>
      </c>
      <c r="AV377">
        <v>26</v>
      </c>
      <c r="AW377" t="s">
        <v>74</v>
      </c>
      <c r="AX377" t="s">
        <v>74</v>
      </c>
      <c r="AY377">
        <v>2</v>
      </c>
      <c r="AZ377" t="s">
        <v>74</v>
      </c>
      <c r="BA377" t="s">
        <v>74</v>
      </c>
      <c r="BB377">
        <v>142</v>
      </c>
      <c r="BC377">
        <v>164</v>
      </c>
      <c r="BD377" t="s">
        <v>74</v>
      </c>
      <c r="BE377" t="s">
        <v>7556</v>
      </c>
      <c r="BF377" t="str">
        <f>HYPERLINK("http://dx.doi.org/10.1002/aqc.2678","http://dx.doi.org/10.1002/aqc.2678")</f>
        <v>http://dx.doi.org/10.1002/aqc.2678</v>
      </c>
      <c r="BG377" t="s">
        <v>74</v>
      </c>
      <c r="BH377" t="s">
        <v>74</v>
      </c>
      <c r="BI377">
        <v>23</v>
      </c>
      <c r="BJ377" t="s">
        <v>5867</v>
      </c>
      <c r="BK377" t="s">
        <v>7543</v>
      </c>
      <c r="BL377" t="s">
        <v>5868</v>
      </c>
      <c r="BM377" t="s">
        <v>6795</v>
      </c>
      <c r="BN377" t="s">
        <v>74</v>
      </c>
      <c r="BO377" t="s">
        <v>258</v>
      </c>
      <c r="BP377" t="s">
        <v>74</v>
      </c>
      <c r="BQ377" t="s">
        <v>74</v>
      </c>
      <c r="BR377" t="s">
        <v>105</v>
      </c>
      <c r="BS377" t="s">
        <v>7557</v>
      </c>
      <c r="BT377" t="str">
        <f>HYPERLINK("https%3A%2F%2Fwww.webofscience.com%2Fwos%2Fwoscc%2Ffull-record%2FWOS:000383668500011","View Full Record in Web of Science")</f>
        <v>View Full Record in Web of Science</v>
      </c>
    </row>
    <row r="378" spans="1:72" x14ac:dyDescent="0.15">
      <c r="A378" t="s">
        <v>72</v>
      </c>
      <c r="B378" t="s">
        <v>7558</v>
      </c>
      <c r="C378" t="s">
        <v>74</v>
      </c>
      <c r="D378" t="s">
        <v>74</v>
      </c>
      <c r="E378" t="s">
        <v>74</v>
      </c>
      <c r="F378" t="s">
        <v>7559</v>
      </c>
      <c r="G378" t="s">
        <v>74</v>
      </c>
      <c r="H378" t="s">
        <v>74</v>
      </c>
      <c r="I378" t="s">
        <v>7560</v>
      </c>
      <c r="J378" t="s">
        <v>7561</v>
      </c>
      <c r="K378" t="s">
        <v>74</v>
      </c>
      <c r="L378" t="s">
        <v>74</v>
      </c>
      <c r="M378" t="s">
        <v>78</v>
      </c>
      <c r="N378" t="s">
        <v>79</v>
      </c>
      <c r="O378" t="s">
        <v>74</v>
      </c>
      <c r="P378" t="s">
        <v>74</v>
      </c>
      <c r="Q378" t="s">
        <v>74</v>
      </c>
      <c r="R378" t="s">
        <v>74</v>
      </c>
      <c r="S378" t="s">
        <v>74</v>
      </c>
      <c r="T378" t="s">
        <v>7562</v>
      </c>
      <c r="U378" t="s">
        <v>7563</v>
      </c>
      <c r="V378" t="s">
        <v>7564</v>
      </c>
      <c r="W378" t="s">
        <v>7565</v>
      </c>
      <c r="X378" t="s">
        <v>7566</v>
      </c>
      <c r="Y378" t="s">
        <v>7567</v>
      </c>
      <c r="Z378" t="s">
        <v>7568</v>
      </c>
      <c r="AA378" t="s">
        <v>74</v>
      </c>
      <c r="AB378" t="s">
        <v>7569</v>
      </c>
      <c r="AC378" t="s">
        <v>7570</v>
      </c>
      <c r="AD378" t="s">
        <v>7570</v>
      </c>
      <c r="AE378" t="s">
        <v>7571</v>
      </c>
      <c r="AF378" t="s">
        <v>74</v>
      </c>
      <c r="AG378">
        <v>33</v>
      </c>
      <c r="AH378">
        <v>2</v>
      </c>
      <c r="AI378">
        <v>2</v>
      </c>
      <c r="AJ378">
        <v>0</v>
      </c>
      <c r="AK378">
        <v>9</v>
      </c>
      <c r="AL378" t="s">
        <v>7572</v>
      </c>
      <c r="AM378" t="s">
        <v>6266</v>
      </c>
      <c r="AN378" t="s">
        <v>7573</v>
      </c>
      <c r="AO378" t="s">
        <v>7574</v>
      </c>
      <c r="AP378" t="s">
        <v>7575</v>
      </c>
      <c r="AQ378" t="s">
        <v>74</v>
      </c>
      <c r="AR378" t="s">
        <v>7576</v>
      </c>
      <c r="AS378" t="s">
        <v>7577</v>
      </c>
      <c r="AT378" t="s">
        <v>5678</v>
      </c>
      <c r="AU378">
        <v>2016</v>
      </c>
      <c r="AV378">
        <v>63</v>
      </c>
      <c r="AW378">
        <v>2</v>
      </c>
      <c r="AX378" t="s">
        <v>74</v>
      </c>
      <c r="AY378" t="s">
        <v>74</v>
      </c>
      <c r="AZ378" t="s">
        <v>74</v>
      </c>
      <c r="BA378" t="s">
        <v>74</v>
      </c>
      <c r="BB378">
        <v>375</v>
      </c>
      <c r="BC378">
        <v>382</v>
      </c>
      <c r="BD378" t="s">
        <v>74</v>
      </c>
      <c r="BE378" t="s">
        <v>7578</v>
      </c>
      <c r="BF378" t="str">
        <f>HYPERLINK("http://dx.doi.org/10.13157/arla.63.2.2016.sc4","http://dx.doi.org/10.13157/arla.63.2.2016.sc4")</f>
        <v>http://dx.doi.org/10.13157/arla.63.2.2016.sc4</v>
      </c>
      <c r="BG378" t="s">
        <v>74</v>
      </c>
      <c r="BH378" t="s">
        <v>74</v>
      </c>
      <c r="BI378">
        <v>8</v>
      </c>
      <c r="BJ378" t="s">
        <v>3988</v>
      </c>
      <c r="BK378" t="s">
        <v>156</v>
      </c>
      <c r="BL378" t="s">
        <v>3306</v>
      </c>
      <c r="BM378" t="s">
        <v>7579</v>
      </c>
      <c r="BN378" t="s">
        <v>74</v>
      </c>
      <c r="BO378" t="s">
        <v>74</v>
      </c>
      <c r="BP378" t="s">
        <v>74</v>
      </c>
      <c r="BQ378" t="s">
        <v>74</v>
      </c>
      <c r="BR378" t="s">
        <v>105</v>
      </c>
      <c r="BS378" t="s">
        <v>7580</v>
      </c>
      <c r="BT378" t="str">
        <f>HYPERLINK("https%3A%2F%2Fwww.webofscience.com%2Fwos%2Fwoscc%2Ffull-record%2FWOS:000384573300012","View Full Record in Web of Science")</f>
        <v>View Full Record in Web of Science</v>
      </c>
    </row>
    <row r="379" spans="1:72" x14ac:dyDescent="0.15">
      <c r="A379" t="s">
        <v>72</v>
      </c>
      <c r="B379" t="s">
        <v>7581</v>
      </c>
      <c r="C379" t="s">
        <v>74</v>
      </c>
      <c r="D379" t="s">
        <v>74</v>
      </c>
      <c r="E379" t="s">
        <v>74</v>
      </c>
      <c r="F379" t="s">
        <v>7582</v>
      </c>
      <c r="G379" t="s">
        <v>74</v>
      </c>
      <c r="H379" t="s">
        <v>74</v>
      </c>
      <c r="I379" t="s">
        <v>7583</v>
      </c>
      <c r="J379" t="s">
        <v>7584</v>
      </c>
      <c r="K379" t="s">
        <v>74</v>
      </c>
      <c r="L379" t="s">
        <v>74</v>
      </c>
      <c r="M379" t="s">
        <v>78</v>
      </c>
      <c r="N379" t="s">
        <v>7585</v>
      </c>
      <c r="O379" t="s">
        <v>74</v>
      </c>
      <c r="P379" t="s">
        <v>74</v>
      </c>
      <c r="Q379" t="s">
        <v>74</v>
      </c>
      <c r="R379" t="s">
        <v>74</v>
      </c>
      <c r="S379" t="s">
        <v>74</v>
      </c>
      <c r="T379" t="s">
        <v>74</v>
      </c>
      <c r="U379" t="s">
        <v>74</v>
      </c>
      <c r="V379" t="s">
        <v>74</v>
      </c>
      <c r="W379" t="s">
        <v>7586</v>
      </c>
      <c r="X379" t="s">
        <v>3254</v>
      </c>
      <c r="Y379" t="s">
        <v>7587</v>
      </c>
      <c r="Z379" t="s">
        <v>74</v>
      </c>
      <c r="AA379" t="s">
        <v>7588</v>
      </c>
      <c r="AB379" t="s">
        <v>7589</v>
      </c>
      <c r="AC379" t="s">
        <v>74</v>
      </c>
      <c r="AD379" t="s">
        <v>74</v>
      </c>
      <c r="AE379" t="s">
        <v>74</v>
      </c>
      <c r="AF379" t="s">
        <v>74</v>
      </c>
      <c r="AG379">
        <v>9</v>
      </c>
      <c r="AH379">
        <v>0</v>
      </c>
      <c r="AI379">
        <v>0</v>
      </c>
      <c r="AJ379">
        <v>0</v>
      </c>
      <c r="AK379">
        <v>1</v>
      </c>
      <c r="AL379" t="s">
        <v>7590</v>
      </c>
      <c r="AM379" t="s">
        <v>7591</v>
      </c>
      <c r="AN379" t="s">
        <v>7592</v>
      </c>
      <c r="AO379" t="s">
        <v>7593</v>
      </c>
      <c r="AP379" t="s">
        <v>7594</v>
      </c>
      <c r="AQ379" t="s">
        <v>74</v>
      </c>
      <c r="AR379" t="s">
        <v>7595</v>
      </c>
      <c r="AS379" t="s">
        <v>7596</v>
      </c>
      <c r="AT379" t="s">
        <v>5678</v>
      </c>
      <c r="AU379">
        <v>2016</v>
      </c>
      <c r="AV379">
        <v>19</v>
      </c>
      <c r="AW379">
        <v>1</v>
      </c>
      <c r="AX379" t="s">
        <v>74</v>
      </c>
      <c r="AY379" t="s">
        <v>74</v>
      </c>
      <c r="AZ379" t="s">
        <v>74</v>
      </c>
      <c r="BA379" t="s">
        <v>74</v>
      </c>
      <c r="BB379">
        <v>158</v>
      </c>
      <c r="BC379">
        <v>161</v>
      </c>
      <c r="BD379" t="s">
        <v>74</v>
      </c>
      <c r="BE379" t="s">
        <v>7597</v>
      </c>
      <c r="BF379" t="str">
        <f>HYPERLINK("http://dx.doi.org/10.4337/apjel.2016.01.10","http://dx.doi.org/10.4337/apjel.2016.01.10")</f>
        <v>http://dx.doi.org/10.4337/apjel.2016.01.10</v>
      </c>
      <c r="BG379" t="s">
        <v>74</v>
      </c>
      <c r="BH379" t="s">
        <v>74</v>
      </c>
      <c r="BI379">
        <v>4</v>
      </c>
      <c r="BJ379" t="s">
        <v>7598</v>
      </c>
      <c r="BK379" t="s">
        <v>131</v>
      </c>
      <c r="BL379" t="s">
        <v>7599</v>
      </c>
      <c r="BM379" t="s">
        <v>7600</v>
      </c>
      <c r="BN379" t="s">
        <v>74</v>
      </c>
      <c r="BO379" t="s">
        <v>74</v>
      </c>
      <c r="BP379" t="s">
        <v>74</v>
      </c>
      <c r="BQ379" t="s">
        <v>74</v>
      </c>
      <c r="BR379" t="s">
        <v>105</v>
      </c>
      <c r="BS379" t="s">
        <v>7601</v>
      </c>
      <c r="BT379" t="str">
        <f>HYPERLINK("https%3A%2F%2Fwww.webofscience.com%2Fwos%2Fwoscc%2Ffull-record%2FWOS:000453948100011","View Full Record in Web of Science")</f>
        <v>View Full Record in Web of Science</v>
      </c>
    </row>
    <row r="380" spans="1:72" x14ac:dyDescent="0.15">
      <c r="A380" t="s">
        <v>72</v>
      </c>
      <c r="B380" t="s">
        <v>7602</v>
      </c>
      <c r="C380" t="s">
        <v>74</v>
      </c>
      <c r="D380" t="s">
        <v>74</v>
      </c>
      <c r="E380" t="s">
        <v>74</v>
      </c>
      <c r="F380" t="s">
        <v>7603</v>
      </c>
      <c r="G380" t="s">
        <v>74</v>
      </c>
      <c r="H380" t="s">
        <v>74</v>
      </c>
      <c r="I380" t="s">
        <v>7604</v>
      </c>
      <c r="J380" t="s">
        <v>3443</v>
      </c>
      <c r="K380" t="s">
        <v>74</v>
      </c>
      <c r="L380" t="s">
        <v>74</v>
      </c>
      <c r="M380" t="s">
        <v>78</v>
      </c>
      <c r="N380" t="s">
        <v>317</v>
      </c>
      <c r="O380" t="s">
        <v>74</v>
      </c>
      <c r="P380" t="s">
        <v>74</v>
      </c>
      <c r="Q380" t="s">
        <v>74</v>
      </c>
      <c r="R380" t="s">
        <v>74</v>
      </c>
      <c r="S380" t="s">
        <v>74</v>
      </c>
      <c r="T380" t="s">
        <v>7605</v>
      </c>
      <c r="U380" t="s">
        <v>7606</v>
      </c>
      <c r="V380" t="s">
        <v>7607</v>
      </c>
      <c r="W380" t="s">
        <v>7608</v>
      </c>
      <c r="X380" t="s">
        <v>7609</v>
      </c>
      <c r="Y380" t="s">
        <v>7610</v>
      </c>
      <c r="Z380" t="s">
        <v>7611</v>
      </c>
      <c r="AA380" t="s">
        <v>7612</v>
      </c>
      <c r="AB380" t="s">
        <v>7613</v>
      </c>
      <c r="AC380" t="s">
        <v>7614</v>
      </c>
      <c r="AD380" t="s">
        <v>525</v>
      </c>
      <c r="AE380" t="s">
        <v>74</v>
      </c>
      <c r="AF380" t="s">
        <v>74</v>
      </c>
      <c r="AG380">
        <v>179</v>
      </c>
      <c r="AH380">
        <v>149</v>
      </c>
      <c r="AI380">
        <v>154</v>
      </c>
      <c r="AJ380">
        <v>3</v>
      </c>
      <c r="AK380">
        <v>128</v>
      </c>
      <c r="AL380" t="s">
        <v>474</v>
      </c>
      <c r="AM380" t="s">
        <v>304</v>
      </c>
      <c r="AN380" t="s">
        <v>475</v>
      </c>
      <c r="AO380" t="s">
        <v>3455</v>
      </c>
      <c r="AP380" t="s">
        <v>3456</v>
      </c>
      <c r="AQ380" t="s">
        <v>74</v>
      </c>
      <c r="AR380" t="s">
        <v>3457</v>
      </c>
      <c r="AS380" t="s">
        <v>3458</v>
      </c>
      <c r="AT380" t="s">
        <v>5678</v>
      </c>
      <c r="AU380">
        <v>2016</v>
      </c>
      <c r="AV380">
        <v>201</v>
      </c>
      <c r="AW380" t="s">
        <v>74</v>
      </c>
      <c r="AX380" t="s">
        <v>74</v>
      </c>
      <c r="AY380" t="s">
        <v>74</v>
      </c>
      <c r="AZ380" t="s">
        <v>74</v>
      </c>
      <c r="BA380" t="s">
        <v>74</v>
      </c>
      <c r="BB380">
        <v>169</v>
      </c>
      <c r="BC380">
        <v>183</v>
      </c>
      <c r="BD380" t="s">
        <v>74</v>
      </c>
      <c r="BE380" t="s">
        <v>7615</v>
      </c>
      <c r="BF380" t="str">
        <f>HYPERLINK("http://dx.doi.org/10.1016/j.biocon.2016.06.017","http://dx.doi.org/10.1016/j.biocon.2016.06.017")</f>
        <v>http://dx.doi.org/10.1016/j.biocon.2016.06.017</v>
      </c>
      <c r="BG380" t="s">
        <v>74</v>
      </c>
      <c r="BH380" t="s">
        <v>74</v>
      </c>
      <c r="BI380">
        <v>15</v>
      </c>
      <c r="BJ380" t="s">
        <v>3460</v>
      </c>
      <c r="BK380" t="s">
        <v>156</v>
      </c>
      <c r="BL380" t="s">
        <v>653</v>
      </c>
      <c r="BM380" t="s">
        <v>7616</v>
      </c>
      <c r="BN380" t="s">
        <v>74</v>
      </c>
      <c r="BO380" t="s">
        <v>2822</v>
      </c>
      <c r="BP380" t="s">
        <v>74</v>
      </c>
      <c r="BQ380" t="s">
        <v>74</v>
      </c>
      <c r="BR380" t="s">
        <v>105</v>
      </c>
      <c r="BS380" t="s">
        <v>7617</v>
      </c>
      <c r="BT380" t="str">
        <f>HYPERLINK("https%3A%2F%2Fwww.webofscience.com%2Fwos%2Fwoscc%2Ffull-record%2FWOS:000384782800019","View Full Record in Web of Science")</f>
        <v>View Full Record in Web of Science</v>
      </c>
    </row>
    <row r="381" spans="1:72" x14ac:dyDescent="0.15">
      <c r="A381" t="s">
        <v>72</v>
      </c>
      <c r="B381" t="s">
        <v>7618</v>
      </c>
      <c r="C381" t="s">
        <v>74</v>
      </c>
      <c r="D381" t="s">
        <v>74</v>
      </c>
      <c r="E381" t="s">
        <v>74</v>
      </c>
      <c r="F381" t="s">
        <v>7619</v>
      </c>
      <c r="G381" t="s">
        <v>74</v>
      </c>
      <c r="H381" t="s">
        <v>74</v>
      </c>
      <c r="I381" t="s">
        <v>7620</v>
      </c>
      <c r="J381" t="s">
        <v>5979</v>
      </c>
      <c r="K381" t="s">
        <v>74</v>
      </c>
      <c r="L381" t="s">
        <v>74</v>
      </c>
      <c r="M381" t="s">
        <v>78</v>
      </c>
      <c r="N381" t="s">
        <v>79</v>
      </c>
      <c r="O381" t="s">
        <v>74</v>
      </c>
      <c r="P381" t="s">
        <v>74</v>
      </c>
      <c r="Q381" t="s">
        <v>74</v>
      </c>
      <c r="R381" t="s">
        <v>74</v>
      </c>
      <c r="S381" t="s">
        <v>74</v>
      </c>
      <c r="T381" t="s">
        <v>7621</v>
      </c>
      <c r="U381" t="s">
        <v>7622</v>
      </c>
      <c r="V381" t="s">
        <v>7623</v>
      </c>
      <c r="W381" t="s">
        <v>7624</v>
      </c>
      <c r="X381" t="s">
        <v>7625</v>
      </c>
      <c r="Y381" t="s">
        <v>7626</v>
      </c>
      <c r="Z381" t="s">
        <v>7627</v>
      </c>
      <c r="AA381" t="s">
        <v>7628</v>
      </c>
      <c r="AB381" t="s">
        <v>7629</v>
      </c>
      <c r="AC381" t="s">
        <v>7630</v>
      </c>
      <c r="AD381" t="s">
        <v>7631</v>
      </c>
      <c r="AE381" t="s">
        <v>7632</v>
      </c>
      <c r="AF381" t="s">
        <v>74</v>
      </c>
      <c r="AG381">
        <v>50</v>
      </c>
      <c r="AH381">
        <v>20</v>
      </c>
      <c r="AI381">
        <v>22</v>
      </c>
      <c r="AJ381">
        <v>0</v>
      </c>
      <c r="AK381">
        <v>14</v>
      </c>
      <c r="AL381" t="s">
        <v>2501</v>
      </c>
      <c r="AM381" t="s">
        <v>304</v>
      </c>
      <c r="AN381" t="s">
        <v>2502</v>
      </c>
      <c r="AO381" t="s">
        <v>5992</v>
      </c>
      <c r="AP381" t="s">
        <v>5993</v>
      </c>
      <c r="AQ381" t="s">
        <v>74</v>
      </c>
      <c r="AR381" t="s">
        <v>5994</v>
      </c>
      <c r="AS381" t="s">
        <v>5995</v>
      </c>
      <c r="AT381" t="s">
        <v>5678</v>
      </c>
      <c r="AU381">
        <v>2016</v>
      </c>
      <c r="AV381">
        <v>119</v>
      </c>
      <c r="AW381">
        <v>1</v>
      </c>
      <c r="AX381" t="s">
        <v>74</v>
      </c>
      <c r="AY381" t="s">
        <v>74</v>
      </c>
      <c r="AZ381" t="s">
        <v>74</v>
      </c>
      <c r="BA381" t="s">
        <v>74</v>
      </c>
      <c r="BB381">
        <v>166</v>
      </c>
      <c r="BC381">
        <v>178</v>
      </c>
      <c r="BD381" t="s">
        <v>74</v>
      </c>
      <c r="BE381" t="s">
        <v>7633</v>
      </c>
      <c r="BF381" t="str">
        <f>HYPERLINK("http://dx.doi.org/10.1111/bij.12796","http://dx.doi.org/10.1111/bij.12796")</f>
        <v>http://dx.doi.org/10.1111/bij.12796</v>
      </c>
      <c r="BG381" t="s">
        <v>74</v>
      </c>
      <c r="BH381" t="s">
        <v>74</v>
      </c>
      <c r="BI381">
        <v>13</v>
      </c>
      <c r="BJ381" t="s">
        <v>5997</v>
      </c>
      <c r="BK381" t="s">
        <v>156</v>
      </c>
      <c r="BL381" t="s">
        <v>5997</v>
      </c>
      <c r="BM381" t="s">
        <v>5998</v>
      </c>
      <c r="BN381" t="s">
        <v>74</v>
      </c>
      <c r="BO381" t="s">
        <v>534</v>
      </c>
      <c r="BP381" t="s">
        <v>74</v>
      </c>
      <c r="BQ381" t="s">
        <v>74</v>
      </c>
      <c r="BR381" t="s">
        <v>105</v>
      </c>
      <c r="BS381" t="s">
        <v>7634</v>
      </c>
      <c r="BT381" t="str">
        <f>HYPERLINK("https%3A%2F%2Fwww.webofscience.com%2Fwos%2Fwoscc%2Ffull-record%2FWOS:000386918500013","View Full Record in Web of Science")</f>
        <v>View Full Record in Web of Science</v>
      </c>
    </row>
    <row r="382" spans="1:72" x14ac:dyDescent="0.15">
      <c r="A382" t="s">
        <v>72</v>
      </c>
      <c r="B382" t="s">
        <v>7635</v>
      </c>
      <c r="C382" t="s">
        <v>74</v>
      </c>
      <c r="D382" t="s">
        <v>74</v>
      </c>
      <c r="E382" t="s">
        <v>74</v>
      </c>
      <c r="F382" t="s">
        <v>7636</v>
      </c>
      <c r="G382" t="s">
        <v>74</v>
      </c>
      <c r="H382" t="s">
        <v>74</v>
      </c>
      <c r="I382" t="s">
        <v>7637</v>
      </c>
      <c r="J382" t="s">
        <v>3100</v>
      </c>
      <c r="K382" t="s">
        <v>74</v>
      </c>
      <c r="L382" t="s">
        <v>74</v>
      </c>
      <c r="M382" t="s">
        <v>78</v>
      </c>
      <c r="N382" t="s">
        <v>79</v>
      </c>
      <c r="O382" t="s">
        <v>74</v>
      </c>
      <c r="P382" t="s">
        <v>74</v>
      </c>
      <c r="Q382" t="s">
        <v>74</v>
      </c>
      <c r="R382" t="s">
        <v>74</v>
      </c>
      <c r="S382" t="s">
        <v>74</v>
      </c>
      <c r="T382" t="s">
        <v>7638</v>
      </c>
      <c r="U382" t="s">
        <v>7639</v>
      </c>
      <c r="V382" t="s">
        <v>7640</v>
      </c>
      <c r="W382" t="s">
        <v>7641</v>
      </c>
      <c r="X382" t="s">
        <v>7642</v>
      </c>
      <c r="Y382" t="s">
        <v>7643</v>
      </c>
      <c r="Z382" t="s">
        <v>7644</v>
      </c>
      <c r="AA382" t="s">
        <v>7645</v>
      </c>
      <c r="AB382" t="s">
        <v>7646</v>
      </c>
      <c r="AC382" t="s">
        <v>7647</v>
      </c>
      <c r="AD382" t="s">
        <v>7648</v>
      </c>
      <c r="AE382" t="s">
        <v>7649</v>
      </c>
      <c r="AF382" t="s">
        <v>74</v>
      </c>
      <c r="AG382">
        <v>81</v>
      </c>
      <c r="AH382">
        <v>94</v>
      </c>
      <c r="AI382">
        <v>106</v>
      </c>
      <c r="AJ382">
        <v>3</v>
      </c>
      <c r="AK382">
        <v>53</v>
      </c>
      <c r="AL382" t="s">
        <v>644</v>
      </c>
      <c r="AM382" t="s">
        <v>594</v>
      </c>
      <c r="AN382" t="s">
        <v>3025</v>
      </c>
      <c r="AO382" t="s">
        <v>3113</v>
      </c>
      <c r="AP382" t="s">
        <v>3114</v>
      </c>
      <c r="AQ382" t="s">
        <v>74</v>
      </c>
      <c r="AR382" t="s">
        <v>3115</v>
      </c>
      <c r="AS382" t="s">
        <v>3116</v>
      </c>
      <c r="AT382" t="s">
        <v>5678</v>
      </c>
      <c r="AU382">
        <v>2016</v>
      </c>
      <c r="AV382">
        <v>47</v>
      </c>
      <c r="AW382" t="s">
        <v>7143</v>
      </c>
      <c r="AX382" t="s">
        <v>74</v>
      </c>
      <c r="AY382" t="s">
        <v>74</v>
      </c>
      <c r="AZ382" t="s">
        <v>74</v>
      </c>
      <c r="BA382" t="s">
        <v>74</v>
      </c>
      <c r="BB382">
        <v>1367</v>
      </c>
      <c r="BC382">
        <v>1381</v>
      </c>
      <c r="BD382" t="s">
        <v>74</v>
      </c>
      <c r="BE382" t="s">
        <v>7650</v>
      </c>
      <c r="BF382" t="str">
        <f>HYPERLINK("http://dx.doi.org/10.1007/s00382-015-2907-4","http://dx.doi.org/10.1007/s00382-015-2907-4")</f>
        <v>http://dx.doi.org/10.1007/s00382-015-2907-4</v>
      </c>
      <c r="BG382" t="s">
        <v>74</v>
      </c>
      <c r="BH382" t="s">
        <v>74</v>
      </c>
      <c r="BI382">
        <v>15</v>
      </c>
      <c r="BJ382" t="s">
        <v>2482</v>
      </c>
      <c r="BK382" t="s">
        <v>156</v>
      </c>
      <c r="BL382" t="s">
        <v>2482</v>
      </c>
      <c r="BM382" t="s">
        <v>7145</v>
      </c>
      <c r="BN382" t="s">
        <v>74</v>
      </c>
      <c r="BO382" t="s">
        <v>7651</v>
      </c>
      <c r="BP382" t="s">
        <v>74</v>
      </c>
      <c r="BQ382" t="s">
        <v>74</v>
      </c>
      <c r="BR382" t="s">
        <v>105</v>
      </c>
      <c r="BS382" t="s">
        <v>7652</v>
      </c>
      <c r="BT382" t="str">
        <f>HYPERLINK("https%3A%2F%2Fwww.webofscience.com%2Fwos%2Fwoscc%2Ffull-record%2FWOS:000382112000002","View Full Record in Web of Science")</f>
        <v>View Full Record in Web of Science</v>
      </c>
    </row>
    <row r="383" spans="1:72" x14ac:dyDescent="0.15">
      <c r="A383" t="s">
        <v>72</v>
      </c>
      <c r="B383" t="s">
        <v>7653</v>
      </c>
      <c r="C383" t="s">
        <v>74</v>
      </c>
      <c r="D383" t="s">
        <v>74</v>
      </c>
      <c r="E383" t="s">
        <v>74</v>
      </c>
      <c r="F383" t="s">
        <v>7654</v>
      </c>
      <c r="G383" t="s">
        <v>74</v>
      </c>
      <c r="H383" t="s">
        <v>74</v>
      </c>
      <c r="I383" t="s">
        <v>7655</v>
      </c>
      <c r="J383" t="s">
        <v>7656</v>
      </c>
      <c r="K383" t="s">
        <v>74</v>
      </c>
      <c r="L383" t="s">
        <v>74</v>
      </c>
      <c r="M383" t="s">
        <v>78</v>
      </c>
      <c r="N383" t="s">
        <v>79</v>
      </c>
      <c r="O383" t="s">
        <v>74</v>
      </c>
      <c r="P383" t="s">
        <v>74</v>
      </c>
      <c r="Q383" t="s">
        <v>74</v>
      </c>
      <c r="R383" t="s">
        <v>74</v>
      </c>
      <c r="S383" t="s">
        <v>74</v>
      </c>
      <c r="T383" t="s">
        <v>7657</v>
      </c>
      <c r="U383" t="s">
        <v>7658</v>
      </c>
      <c r="V383" t="s">
        <v>7659</v>
      </c>
      <c r="W383" t="s">
        <v>7660</v>
      </c>
      <c r="X383" t="s">
        <v>7661</v>
      </c>
      <c r="Y383" t="s">
        <v>7662</v>
      </c>
      <c r="Z383" t="s">
        <v>7663</v>
      </c>
      <c r="AA383" t="s">
        <v>7664</v>
      </c>
      <c r="AB383" t="s">
        <v>7665</v>
      </c>
      <c r="AC383" t="s">
        <v>7666</v>
      </c>
      <c r="AD383" t="s">
        <v>7667</v>
      </c>
      <c r="AE383" t="s">
        <v>7668</v>
      </c>
      <c r="AF383" t="s">
        <v>74</v>
      </c>
      <c r="AG383">
        <v>74</v>
      </c>
      <c r="AH383">
        <v>5</v>
      </c>
      <c r="AI383">
        <v>6</v>
      </c>
      <c r="AJ383">
        <v>0</v>
      </c>
      <c r="AK383">
        <v>2</v>
      </c>
      <c r="AL383" t="s">
        <v>449</v>
      </c>
      <c r="AM383" t="s">
        <v>450</v>
      </c>
      <c r="AN383" t="s">
        <v>451</v>
      </c>
      <c r="AO383" t="s">
        <v>7669</v>
      </c>
      <c r="AP383" t="s">
        <v>74</v>
      </c>
      <c r="AQ383" t="s">
        <v>74</v>
      </c>
      <c r="AR383" t="s">
        <v>7670</v>
      </c>
      <c r="AS383" t="s">
        <v>7671</v>
      </c>
      <c r="AT383" t="s">
        <v>5678</v>
      </c>
      <c r="AU383">
        <v>2016</v>
      </c>
      <c r="AV383">
        <v>2</v>
      </c>
      <c r="AW383">
        <v>3</v>
      </c>
      <c r="AX383" t="s">
        <v>74</v>
      </c>
      <c r="AY383" t="s">
        <v>74</v>
      </c>
      <c r="AZ383" t="s">
        <v>74</v>
      </c>
      <c r="BA383" t="s">
        <v>74</v>
      </c>
      <c r="BB383">
        <v>127</v>
      </c>
      <c r="BC383">
        <v>134</v>
      </c>
      <c r="BD383" t="s">
        <v>74</v>
      </c>
      <c r="BE383" t="s">
        <v>7672</v>
      </c>
      <c r="BF383" t="str">
        <f>HYPERLINK("http://dx.doi.org/10.1007/s40641-016-0037-7","http://dx.doi.org/10.1007/s40641-016-0037-7")</f>
        <v>http://dx.doi.org/10.1007/s40641-016-0037-7</v>
      </c>
      <c r="BG383" t="s">
        <v>74</v>
      </c>
      <c r="BH383" t="s">
        <v>74</v>
      </c>
      <c r="BI383">
        <v>8</v>
      </c>
      <c r="BJ383" t="s">
        <v>2482</v>
      </c>
      <c r="BK383" t="s">
        <v>156</v>
      </c>
      <c r="BL383" t="s">
        <v>2482</v>
      </c>
      <c r="BM383" t="s">
        <v>7673</v>
      </c>
      <c r="BN383" t="s">
        <v>74</v>
      </c>
      <c r="BO383" t="s">
        <v>1124</v>
      </c>
      <c r="BP383" t="s">
        <v>74</v>
      </c>
      <c r="BQ383" t="s">
        <v>74</v>
      </c>
      <c r="BR383" t="s">
        <v>105</v>
      </c>
      <c r="BS383" t="s">
        <v>7674</v>
      </c>
      <c r="BT383" t="str">
        <f>HYPERLINK("https%3A%2F%2Fwww.webofscience.com%2Fwos%2Fwoscc%2Ffull-record%2FWOS:000463899100005","View Full Record in Web of Science")</f>
        <v>View Full Record in Web of Science</v>
      </c>
    </row>
    <row r="384" spans="1:72" x14ac:dyDescent="0.15">
      <c r="A384" t="s">
        <v>72</v>
      </c>
      <c r="B384" t="s">
        <v>7675</v>
      </c>
      <c r="C384" t="s">
        <v>74</v>
      </c>
      <c r="D384" t="s">
        <v>74</v>
      </c>
      <c r="E384" t="s">
        <v>74</v>
      </c>
      <c r="F384" t="s">
        <v>7676</v>
      </c>
      <c r="G384" t="s">
        <v>74</v>
      </c>
      <c r="H384" t="s">
        <v>74</v>
      </c>
      <c r="I384" t="s">
        <v>7677</v>
      </c>
      <c r="J384" t="s">
        <v>6003</v>
      </c>
      <c r="K384" t="s">
        <v>74</v>
      </c>
      <c r="L384" t="s">
        <v>74</v>
      </c>
      <c r="M384" t="s">
        <v>78</v>
      </c>
      <c r="N384" t="s">
        <v>79</v>
      </c>
      <c r="O384" t="s">
        <v>74</v>
      </c>
      <c r="P384" t="s">
        <v>74</v>
      </c>
      <c r="Q384" t="s">
        <v>74</v>
      </c>
      <c r="R384" t="s">
        <v>74</v>
      </c>
      <c r="S384" t="s">
        <v>74</v>
      </c>
      <c r="T384" t="s">
        <v>7678</v>
      </c>
      <c r="U384" t="s">
        <v>7679</v>
      </c>
      <c r="V384" t="s">
        <v>7680</v>
      </c>
      <c r="W384" t="s">
        <v>7681</v>
      </c>
      <c r="X384" t="s">
        <v>7682</v>
      </c>
      <c r="Y384" t="s">
        <v>7683</v>
      </c>
      <c r="Z384" t="s">
        <v>7684</v>
      </c>
      <c r="AA384" t="s">
        <v>7685</v>
      </c>
      <c r="AB384" t="s">
        <v>7686</v>
      </c>
      <c r="AC384" t="s">
        <v>7687</v>
      </c>
      <c r="AD384" t="s">
        <v>7688</v>
      </c>
      <c r="AE384" t="s">
        <v>7689</v>
      </c>
      <c r="AF384" t="s">
        <v>74</v>
      </c>
      <c r="AG384">
        <v>107</v>
      </c>
      <c r="AH384">
        <v>39</v>
      </c>
      <c r="AI384">
        <v>43</v>
      </c>
      <c r="AJ384">
        <v>0</v>
      </c>
      <c r="AK384">
        <v>26</v>
      </c>
      <c r="AL384" t="s">
        <v>303</v>
      </c>
      <c r="AM384" t="s">
        <v>304</v>
      </c>
      <c r="AN384" t="s">
        <v>305</v>
      </c>
      <c r="AO384" t="s">
        <v>6016</v>
      </c>
      <c r="AP384" t="s">
        <v>6017</v>
      </c>
      <c r="AQ384" t="s">
        <v>74</v>
      </c>
      <c r="AR384" t="s">
        <v>6018</v>
      </c>
      <c r="AS384" t="s">
        <v>6019</v>
      </c>
      <c r="AT384" t="s">
        <v>5678</v>
      </c>
      <c r="AU384">
        <v>2016</v>
      </c>
      <c r="AV384">
        <v>115</v>
      </c>
      <c r="AW384" t="s">
        <v>74</v>
      </c>
      <c r="AX384" t="s">
        <v>74</v>
      </c>
      <c r="AY384" t="s">
        <v>74</v>
      </c>
      <c r="AZ384" t="s">
        <v>74</v>
      </c>
      <c r="BA384" t="s">
        <v>74</v>
      </c>
      <c r="BB384">
        <v>22</v>
      </c>
      <c r="BC384">
        <v>35</v>
      </c>
      <c r="BD384" t="s">
        <v>74</v>
      </c>
      <c r="BE384" t="s">
        <v>7690</v>
      </c>
      <c r="BF384" t="str">
        <f>HYPERLINK("http://dx.doi.org/10.1016/j.dsr.2016.05.002","http://dx.doi.org/10.1016/j.dsr.2016.05.002")</f>
        <v>http://dx.doi.org/10.1016/j.dsr.2016.05.002</v>
      </c>
      <c r="BG384" t="s">
        <v>74</v>
      </c>
      <c r="BH384" t="s">
        <v>74</v>
      </c>
      <c r="BI384">
        <v>14</v>
      </c>
      <c r="BJ384" t="s">
        <v>405</v>
      </c>
      <c r="BK384" t="s">
        <v>156</v>
      </c>
      <c r="BL384" t="s">
        <v>405</v>
      </c>
      <c r="BM384" t="s">
        <v>6021</v>
      </c>
      <c r="BN384" t="s">
        <v>74</v>
      </c>
      <c r="BO384" t="s">
        <v>7691</v>
      </c>
      <c r="BP384" t="s">
        <v>74</v>
      </c>
      <c r="BQ384" t="s">
        <v>74</v>
      </c>
      <c r="BR384" t="s">
        <v>105</v>
      </c>
      <c r="BS384" t="s">
        <v>7692</v>
      </c>
      <c r="BT384" t="str">
        <f>HYPERLINK("https%3A%2F%2Fwww.webofscience.com%2Fwos%2Fwoscc%2Ffull-record%2FWOS:000386984200003","View Full Record in Web of Science")</f>
        <v>View Full Record in Web of Science</v>
      </c>
    </row>
    <row r="385" spans="1:72" x14ac:dyDescent="0.15">
      <c r="A385" t="s">
        <v>72</v>
      </c>
      <c r="B385" t="s">
        <v>7693</v>
      </c>
      <c r="C385" t="s">
        <v>74</v>
      </c>
      <c r="D385" t="s">
        <v>74</v>
      </c>
      <c r="E385" t="s">
        <v>74</v>
      </c>
      <c r="F385" t="s">
        <v>7694</v>
      </c>
      <c r="G385" t="s">
        <v>74</v>
      </c>
      <c r="H385" t="s">
        <v>74</v>
      </c>
      <c r="I385" t="s">
        <v>7695</v>
      </c>
      <c r="J385" t="s">
        <v>6822</v>
      </c>
      <c r="K385" t="s">
        <v>74</v>
      </c>
      <c r="L385" t="s">
        <v>74</v>
      </c>
      <c r="M385" t="s">
        <v>78</v>
      </c>
      <c r="N385" t="s">
        <v>587</v>
      </c>
      <c r="O385" t="s">
        <v>74</v>
      </c>
      <c r="P385" t="s">
        <v>74</v>
      </c>
      <c r="Q385" t="s">
        <v>74</v>
      </c>
      <c r="R385" t="s">
        <v>74</v>
      </c>
      <c r="S385" t="s">
        <v>74</v>
      </c>
      <c r="T385" t="s">
        <v>74</v>
      </c>
      <c r="U385" t="s">
        <v>7696</v>
      </c>
      <c r="V385" t="s">
        <v>74</v>
      </c>
      <c r="W385" t="s">
        <v>7697</v>
      </c>
      <c r="X385" t="s">
        <v>7698</v>
      </c>
      <c r="Y385" t="s">
        <v>7699</v>
      </c>
      <c r="Z385" t="s">
        <v>7700</v>
      </c>
      <c r="AA385" t="s">
        <v>7701</v>
      </c>
      <c r="AB385" t="s">
        <v>7702</v>
      </c>
      <c r="AC385" t="s">
        <v>7703</v>
      </c>
      <c r="AD385" t="s">
        <v>7704</v>
      </c>
      <c r="AE385" t="s">
        <v>74</v>
      </c>
      <c r="AF385" t="s">
        <v>74</v>
      </c>
      <c r="AG385">
        <v>69</v>
      </c>
      <c r="AH385">
        <v>12</v>
      </c>
      <c r="AI385">
        <v>12</v>
      </c>
      <c r="AJ385">
        <v>0</v>
      </c>
      <c r="AK385">
        <v>11</v>
      </c>
      <c r="AL385" t="s">
        <v>303</v>
      </c>
      <c r="AM385" t="s">
        <v>304</v>
      </c>
      <c r="AN385" t="s">
        <v>305</v>
      </c>
      <c r="AO385" t="s">
        <v>6834</v>
      </c>
      <c r="AP385" t="s">
        <v>6835</v>
      </c>
      <c r="AQ385" t="s">
        <v>74</v>
      </c>
      <c r="AR385" t="s">
        <v>6836</v>
      </c>
      <c r="AS385" t="s">
        <v>6837</v>
      </c>
      <c r="AT385" t="s">
        <v>5678</v>
      </c>
      <c r="AU385">
        <v>2016</v>
      </c>
      <c r="AV385">
        <v>131</v>
      </c>
      <c r="AW385" t="s">
        <v>74</v>
      </c>
      <c r="AX385" t="s">
        <v>74</v>
      </c>
      <c r="AY385" t="s">
        <v>74</v>
      </c>
      <c r="AZ385" t="s">
        <v>650</v>
      </c>
      <c r="BA385" t="s">
        <v>74</v>
      </c>
      <c r="BB385">
        <v>1</v>
      </c>
      <c r="BC385">
        <v>6</v>
      </c>
      <c r="BD385" t="s">
        <v>74</v>
      </c>
      <c r="BE385" t="s">
        <v>7705</v>
      </c>
      <c r="BF385" t="str">
        <f>HYPERLINK("http://dx.doi.org/10.1016/j.dsr2.2016.06.010","http://dx.doi.org/10.1016/j.dsr2.2016.06.010")</f>
        <v>http://dx.doi.org/10.1016/j.dsr2.2016.06.010</v>
      </c>
      <c r="BG385" t="s">
        <v>74</v>
      </c>
      <c r="BH385" t="s">
        <v>74</v>
      </c>
      <c r="BI385">
        <v>6</v>
      </c>
      <c r="BJ385" t="s">
        <v>405</v>
      </c>
      <c r="BK385" t="s">
        <v>156</v>
      </c>
      <c r="BL385" t="s">
        <v>405</v>
      </c>
      <c r="BM385" t="s">
        <v>6839</v>
      </c>
      <c r="BN385" t="s">
        <v>74</v>
      </c>
      <c r="BO385" t="s">
        <v>805</v>
      </c>
      <c r="BP385" t="s">
        <v>74</v>
      </c>
      <c r="BQ385" t="s">
        <v>74</v>
      </c>
      <c r="BR385" t="s">
        <v>105</v>
      </c>
      <c r="BS385" t="s">
        <v>7706</v>
      </c>
      <c r="BT385" t="str">
        <f>HYPERLINK("https%3A%2F%2Fwww.webofscience.com%2Fwos%2Fwoscc%2Ffull-record%2FWOS:000383942700001","View Full Record in Web of Science")</f>
        <v>View Full Record in Web of Science</v>
      </c>
    </row>
    <row r="386" spans="1:72" x14ac:dyDescent="0.15">
      <c r="A386" t="s">
        <v>72</v>
      </c>
      <c r="B386" t="s">
        <v>7707</v>
      </c>
      <c r="C386" t="s">
        <v>74</v>
      </c>
      <c r="D386" t="s">
        <v>74</v>
      </c>
      <c r="E386" t="s">
        <v>74</v>
      </c>
      <c r="F386" t="s">
        <v>7708</v>
      </c>
      <c r="G386" t="s">
        <v>74</v>
      </c>
      <c r="H386" t="s">
        <v>74</v>
      </c>
      <c r="I386" t="s">
        <v>7709</v>
      </c>
      <c r="J386" t="s">
        <v>6822</v>
      </c>
      <c r="K386" t="s">
        <v>74</v>
      </c>
      <c r="L386" t="s">
        <v>74</v>
      </c>
      <c r="M386" t="s">
        <v>78</v>
      </c>
      <c r="N386" t="s">
        <v>79</v>
      </c>
      <c r="O386" t="s">
        <v>74</v>
      </c>
      <c r="P386" t="s">
        <v>74</v>
      </c>
      <c r="Q386" t="s">
        <v>74</v>
      </c>
      <c r="R386" t="s">
        <v>74</v>
      </c>
      <c r="S386" t="s">
        <v>74</v>
      </c>
      <c r="T386" t="s">
        <v>7710</v>
      </c>
      <c r="U386" t="s">
        <v>7711</v>
      </c>
      <c r="V386" t="s">
        <v>7712</v>
      </c>
      <c r="W386" t="s">
        <v>7713</v>
      </c>
      <c r="X386" t="s">
        <v>7714</v>
      </c>
      <c r="Y386" t="s">
        <v>7715</v>
      </c>
      <c r="Z386" t="s">
        <v>7716</v>
      </c>
      <c r="AA386" t="s">
        <v>7717</v>
      </c>
      <c r="AB386" t="s">
        <v>7718</v>
      </c>
      <c r="AC386" t="s">
        <v>7719</v>
      </c>
      <c r="AD386" t="s">
        <v>7720</v>
      </c>
      <c r="AE386" t="s">
        <v>7721</v>
      </c>
      <c r="AF386" t="s">
        <v>74</v>
      </c>
      <c r="AG386">
        <v>62</v>
      </c>
      <c r="AH386">
        <v>6</v>
      </c>
      <c r="AI386">
        <v>6</v>
      </c>
      <c r="AJ386">
        <v>0</v>
      </c>
      <c r="AK386">
        <v>10</v>
      </c>
      <c r="AL386" t="s">
        <v>303</v>
      </c>
      <c r="AM386" t="s">
        <v>304</v>
      </c>
      <c r="AN386" t="s">
        <v>305</v>
      </c>
      <c r="AO386" t="s">
        <v>6834</v>
      </c>
      <c r="AP386" t="s">
        <v>6835</v>
      </c>
      <c r="AQ386" t="s">
        <v>74</v>
      </c>
      <c r="AR386" t="s">
        <v>6836</v>
      </c>
      <c r="AS386" t="s">
        <v>6837</v>
      </c>
      <c r="AT386" t="s">
        <v>5678</v>
      </c>
      <c r="AU386">
        <v>2016</v>
      </c>
      <c r="AV386">
        <v>131</v>
      </c>
      <c r="AW386" t="s">
        <v>74</v>
      </c>
      <c r="AX386" t="s">
        <v>74</v>
      </c>
      <c r="AY386" t="s">
        <v>74</v>
      </c>
      <c r="AZ386" t="s">
        <v>650</v>
      </c>
      <c r="BA386" t="s">
        <v>74</v>
      </c>
      <c r="BB386">
        <v>7</v>
      </c>
      <c r="BC386">
        <v>21</v>
      </c>
      <c r="BD386" t="s">
        <v>74</v>
      </c>
      <c r="BE386" t="s">
        <v>7722</v>
      </c>
      <c r="BF386" t="str">
        <f>HYPERLINK("http://dx.doi.org/10.1016/j.dsr2.2016.06.015","http://dx.doi.org/10.1016/j.dsr2.2016.06.015")</f>
        <v>http://dx.doi.org/10.1016/j.dsr2.2016.06.015</v>
      </c>
      <c r="BG386" t="s">
        <v>74</v>
      </c>
      <c r="BH386" t="s">
        <v>74</v>
      </c>
      <c r="BI386">
        <v>15</v>
      </c>
      <c r="BJ386" t="s">
        <v>405</v>
      </c>
      <c r="BK386" t="s">
        <v>156</v>
      </c>
      <c r="BL386" t="s">
        <v>405</v>
      </c>
      <c r="BM386" t="s">
        <v>6839</v>
      </c>
      <c r="BN386" t="s">
        <v>74</v>
      </c>
      <c r="BO386" t="s">
        <v>104</v>
      </c>
      <c r="BP386" t="s">
        <v>74</v>
      </c>
      <c r="BQ386" t="s">
        <v>74</v>
      </c>
      <c r="BR386" t="s">
        <v>105</v>
      </c>
      <c r="BS386" t="s">
        <v>7723</v>
      </c>
      <c r="BT386" t="str">
        <f>HYPERLINK("https%3A%2F%2Fwww.webofscience.com%2Fwos%2Fwoscc%2Ffull-record%2FWOS:000383942700002","View Full Record in Web of Science")</f>
        <v>View Full Record in Web of Science</v>
      </c>
    </row>
    <row r="387" spans="1:72" x14ac:dyDescent="0.15">
      <c r="A387" t="s">
        <v>72</v>
      </c>
      <c r="B387" t="s">
        <v>7724</v>
      </c>
      <c r="C387" t="s">
        <v>74</v>
      </c>
      <c r="D387" t="s">
        <v>74</v>
      </c>
      <c r="E387" t="s">
        <v>74</v>
      </c>
      <c r="F387" t="s">
        <v>7725</v>
      </c>
      <c r="G387" t="s">
        <v>74</v>
      </c>
      <c r="H387" t="s">
        <v>74</v>
      </c>
      <c r="I387" t="s">
        <v>7726</v>
      </c>
      <c r="J387" t="s">
        <v>6822</v>
      </c>
      <c r="K387" t="s">
        <v>74</v>
      </c>
      <c r="L387" t="s">
        <v>74</v>
      </c>
      <c r="M387" t="s">
        <v>78</v>
      </c>
      <c r="N387" t="s">
        <v>79</v>
      </c>
      <c r="O387" t="s">
        <v>74</v>
      </c>
      <c r="P387" t="s">
        <v>74</v>
      </c>
      <c r="Q387" t="s">
        <v>74</v>
      </c>
      <c r="R387" t="s">
        <v>74</v>
      </c>
      <c r="S387" t="s">
        <v>74</v>
      </c>
      <c r="T387" t="s">
        <v>7727</v>
      </c>
      <c r="U387" t="s">
        <v>7728</v>
      </c>
      <c r="V387" t="s">
        <v>7729</v>
      </c>
      <c r="W387" t="s">
        <v>7730</v>
      </c>
      <c r="X387" t="s">
        <v>7731</v>
      </c>
      <c r="Y387" t="s">
        <v>7732</v>
      </c>
      <c r="Z387" t="s">
        <v>7733</v>
      </c>
      <c r="AA387" t="s">
        <v>7734</v>
      </c>
      <c r="AB387" t="s">
        <v>7735</v>
      </c>
      <c r="AC387" t="s">
        <v>7736</v>
      </c>
      <c r="AD387" t="s">
        <v>7737</v>
      </c>
      <c r="AE387" t="s">
        <v>7738</v>
      </c>
      <c r="AF387" t="s">
        <v>74</v>
      </c>
      <c r="AG387">
        <v>35</v>
      </c>
      <c r="AH387">
        <v>3</v>
      </c>
      <c r="AI387">
        <v>4</v>
      </c>
      <c r="AJ387">
        <v>1</v>
      </c>
      <c r="AK387">
        <v>10</v>
      </c>
      <c r="AL387" t="s">
        <v>303</v>
      </c>
      <c r="AM387" t="s">
        <v>304</v>
      </c>
      <c r="AN387" t="s">
        <v>305</v>
      </c>
      <c r="AO387" t="s">
        <v>6834</v>
      </c>
      <c r="AP387" t="s">
        <v>6835</v>
      </c>
      <c r="AQ387" t="s">
        <v>74</v>
      </c>
      <c r="AR387" t="s">
        <v>6836</v>
      </c>
      <c r="AS387" t="s">
        <v>6837</v>
      </c>
      <c r="AT387" t="s">
        <v>5678</v>
      </c>
      <c r="AU387">
        <v>2016</v>
      </c>
      <c r="AV387">
        <v>131</v>
      </c>
      <c r="AW387" t="s">
        <v>74</v>
      </c>
      <c r="AX387" t="s">
        <v>74</v>
      </c>
      <c r="AY387" t="s">
        <v>74</v>
      </c>
      <c r="AZ387" t="s">
        <v>650</v>
      </c>
      <c r="BA387" t="s">
        <v>74</v>
      </c>
      <c r="BB387">
        <v>41</v>
      </c>
      <c r="BC387">
        <v>52</v>
      </c>
      <c r="BD387" t="s">
        <v>74</v>
      </c>
      <c r="BE387" t="s">
        <v>7739</v>
      </c>
      <c r="BF387" t="str">
        <f>HYPERLINK("http://dx.doi.org/10.1016/j.dsr2.2016.04.025","http://dx.doi.org/10.1016/j.dsr2.2016.04.025")</f>
        <v>http://dx.doi.org/10.1016/j.dsr2.2016.04.025</v>
      </c>
      <c r="BG387" t="s">
        <v>74</v>
      </c>
      <c r="BH387" t="s">
        <v>74</v>
      </c>
      <c r="BI387">
        <v>12</v>
      </c>
      <c r="BJ387" t="s">
        <v>405</v>
      </c>
      <c r="BK387" t="s">
        <v>156</v>
      </c>
      <c r="BL387" t="s">
        <v>405</v>
      </c>
      <c r="BM387" t="s">
        <v>6839</v>
      </c>
      <c r="BN387" t="s">
        <v>74</v>
      </c>
      <c r="BO387" t="s">
        <v>74</v>
      </c>
      <c r="BP387" t="s">
        <v>74</v>
      </c>
      <c r="BQ387" t="s">
        <v>74</v>
      </c>
      <c r="BR387" t="s">
        <v>105</v>
      </c>
      <c r="BS387" t="s">
        <v>7740</v>
      </c>
      <c r="BT387" t="str">
        <f>HYPERLINK("https%3A%2F%2Fwww.webofscience.com%2Fwos%2Fwoscc%2Ffull-record%2FWOS:000383942700005","View Full Record in Web of Science")</f>
        <v>View Full Record in Web of Science</v>
      </c>
    </row>
    <row r="388" spans="1:72" x14ac:dyDescent="0.15">
      <c r="A388" t="s">
        <v>72</v>
      </c>
      <c r="B388" t="s">
        <v>7741</v>
      </c>
      <c r="C388" t="s">
        <v>74</v>
      </c>
      <c r="D388" t="s">
        <v>74</v>
      </c>
      <c r="E388" t="s">
        <v>74</v>
      </c>
      <c r="F388" t="s">
        <v>7742</v>
      </c>
      <c r="G388" t="s">
        <v>74</v>
      </c>
      <c r="H388" t="s">
        <v>74</v>
      </c>
      <c r="I388" t="s">
        <v>7743</v>
      </c>
      <c r="J388" t="s">
        <v>6822</v>
      </c>
      <c r="K388" t="s">
        <v>74</v>
      </c>
      <c r="L388" t="s">
        <v>74</v>
      </c>
      <c r="M388" t="s">
        <v>78</v>
      </c>
      <c r="N388" t="s">
        <v>79</v>
      </c>
      <c r="O388" t="s">
        <v>74</v>
      </c>
      <c r="P388" t="s">
        <v>74</v>
      </c>
      <c r="Q388" t="s">
        <v>74</v>
      </c>
      <c r="R388" t="s">
        <v>74</v>
      </c>
      <c r="S388" t="s">
        <v>74</v>
      </c>
      <c r="T388" t="s">
        <v>7744</v>
      </c>
      <c r="U388" t="s">
        <v>7745</v>
      </c>
      <c r="V388" t="s">
        <v>7746</v>
      </c>
      <c r="W388" t="s">
        <v>7747</v>
      </c>
      <c r="X388" t="s">
        <v>7748</v>
      </c>
      <c r="Y388" t="s">
        <v>6849</v>
      </c>
      <c r="Z388" t="s">
        <v>7749</v>
      </c>
      <c r="AA388" t="s">
        <v>6850</v>
      </c>
      <c r="AB388" t="s">
        <v>7750</v>
      </c>
      <c r="AC388" t="s">
        <v>7751</v>
      </c>
      <c r="AD388" t="s">
        <v>7752</v>
      </c>
      <c r="AE388" t="s">
        <v>7753</v>
      </c>
      <c r="AF388" t="s">
        <v>74</v>
      </c>
      <c r="AG388">
        <v>52</v>
      </c>
      <c r="AH388">
        <v>12</v>
      </c>
      <c r="AI388">
        <v>12</v>
      </c>
      <c r="AJ388">
        <v>0</v>
      </c>
      <c r="AK388">
        <v>5</v>
      </c>
      <c r="AL388" t="s">
        <v>303</v>
      </c>
      <c r="AM388" t="s">
        <v>304</v>
      </c>
      <c r="AN388" t="s">
        <v>305</v>
      </c>
      <c r="AO388" t="s">
        <v>6834</v>
      </c>
      <c r="AP388" t="s">
        <v>6835</v>
      </c>
      <c r="AQ388" t="s">
        <v>74</v>
      </c>
      <c r="AR388" t="s">
        <v>6836</v>
      </c>
      <c r="AS388" t="s">
        <v>6837</v>
      </c>
      <c r="AT388" t="s">
        <v>5678</v>
      </c>
      <c r="AU388">
        <v>2016</v>
      </c>
      <c r="AV388">
        <v>131</v>
      </c>
      <c r="AW388" t="s">
        <v>74</v>
      </c>
      <c r="AX388" t="s">
        <v>74</v>
      </c>
      <c r="AY388" t="s">
        <v>74</v>
      </c>
      <c r="AZ388" t="s">
        <v>650</v>
      </c>
      <c r="BA388" t="s">
        <v>74</v>
      </c>
      <c r="BB388">
        <v>53</v>
      </c>
      <c r="BC388">
        <v>67</v>
      </c>
      <c r="BD388" t="s">
        <v>74</v>
      </c>
      <c r="BE388" t="s">
        <v>7754</v>
      </c>
      <c r="BF388" t="str">
        <f>HYPERLINK("http://dx.doi.org/10.1016/j.dsr2.2016.02.003","http://dx.doi.org/10.1016/j.dsr2.2016.02.003")</f>
        <v>http://dx.doi.org/10.1016/j.dsr2.2016.02.003</v>
      </c>
      <c r="BG388" t="s">
        <v>74</v>
      </c>
      <c r="BH388" t="s">
        <v>74</v>
      </c>
      <c r="BI388">
        <v>15</v>
      </c>
      <c r="BJ388" t="s">
        <v>405</v>
      </c>
      <c r="BK388" t="s">
        <v>156</v>
      </c>
      <c r="BL388" t="s">
        <v>405</v>
      </c>
      <c r="BM388" t="s">
        <v>6839</v>
      </c>
      <c r="BN388" t="s">
        <v>74</v>
      </c>
      <c r="BO388" t="s">
        <v>4859</v>
      </c>
      <c r="BP388" t="s">
        <v>74</v>
      </c>
      <c r="BQ388" t="s">
        <v>74</v>
      </c>
      <c r="BR388" t="s">
        <v>105</v>
      </c>
      <c r="BS388" t="s">
        <v>7755</v>
      </c>
      <c r="BT388" t="str">
        <f>HYPERLINK("https%3A%2F%2Fwww.webofscience.com%2Fwos%2Fwoscc%2Ffull-record%2FWOS:000383942700006","View Full Record in Web of Science")</f>
        <v>View Full Record in Web of Science</v>
      </c>
    </row>
    <row r="389" spans="1:72" x14ac:dyDescent="0.15">
      <c r="A389" t="s">
        <v>72</v>
      </c>
      <c r="B389" t="s">
        <v>7756</v>
      </c>
      <c r="C389" t="s">
        <v>74</v>
      </c>
      <c r="D389" t="s">
        <v>74</v>
      </c>
      <c r="E389" t="s">
        <v>74</v>
      </c>
      <c r="F389" t="s">
        <v>7757</v>
      </c>
      <c r="G389" t="s">
        <v>74</v>
      </c>
      <c r="H389" t="s">
        <v>74</v>
      </c>
      <c r="I389" t="s">
        <v>7758</v>
      </c>
      <c r="J389" t="s">
        <v>6822</v>
      </c>
      <c r="K389" t="s">
        <v>74</v>
      </c>
      <c r="L389" t="s">
        <v>74</v>
      </c>
      <c r="M389" t="s">
        <v>78</v>
      </c>
      <c r="N389" t="s">
        <v>79</v>
      </c>
      <c r="O389" t="s">
        <v>74</v>
      </c>
      <c r="P389" t="s">
        <v>74</v>
      </c>
      <c r="Q389" t="s">
        <v>74</v>
      </c>
      <c r="R389" t="s">
        <v>74</v>
      </c>
      <c r="S389" t="s">
        <v>74</v>
      </c>
      <c r="T389" t="s">
        <v>7759</v>
      </c>
      <c r="U389" t="s">
        <v>7760</v>
      </c>
      <c r="V389" t="s">
        <v>7761</v>
      </c>
      <c r="W389" t="s">
        <v>7762</v>
      </c>
      <c r="X389" t="s">
        <v>7763</v>
      </c>
      <c r="Y389" t="s">
        <v>7764</v>
      </c>
      <c r="Z389" t="s">
        <v>7765</v>
      </c>
      <c r="AA389" t="s">
        <v>7766</v>
      </c>
      <c r="AB389" t="s">
        <v>7767</v>
      </c>
      <c r="AC389" t="s">
        <v>7768</v>
      </c>
      <c r="AD389" t="s">
        <v>7769</v>
      </c>
      <c r="AE389" t="s">
        <v>7770</v>
      </c>
      <c r="AF389" t="s">
        <v>74</v>
      </c>
      <c r="AG389">
        <v>44</v>
      </c>
      <c r="AH389">
        <v>19</v>
      </c>
      <c r="AI389">
        <v>21</v>
      </c>
      <c r="AJ389">
        <v>4</v>
      </c>
      <c r="AK389">
        <v>43</v>
      </c>
      <c r="AL389" t="s">
        <v>303</v>
      </c>
      <c r="AM389" t="s">
        <v>304</v>
      </c>
      <c r="AN389" t="s">
        <v>305</v>
      </c>
      <c r="AO389" t="s">
        <v>6834</v>
      </c>
      <c r="AP389" t="s">
        <v>6835</v>
      </c>
      <c r="AQ389" t="s">
        <v>74</v>
      </c>
      <c r="AR389" t="s">
        <v>6836</v>
      </c>
      <c r="AS389" t="s">
        <v>6837</v>
      </c>
      <c r="AT389" t="s">
        <v>5678</v>
      </c>
      <c r="AU389">
        <v>2016</v>
      </c>
      <c r="AV389">
        <v>131</v>
      </c>
      <c r="AW389" t="s">
        <v>74</v>
      </c>
      <c r="AX389" t="s">
        <v>74</v>
      </c>
      <c r="AY389" t="s">
        <v>74</v>
      </c>
      <c r="AZ389" t="s">
        <v>650</v>
      </c>
      <c r="BA389" t="s">
        <v>74</v>
      </c>
      <c r="BB389">
        <v>170</v>
      </c>
      <c r="BC389">
        <v>181</v>
      </c>
      <c r="BD389" t="s">
        <v>74</v>
      </c>
      <c r="BE389" t="s">
        <v>7771</v>
      </c>
      <c r="BF389" t="str">
        <f>HYPERLINK("http://dx.doi.org/10.1016/j.dsr2.2015.10.002","http://dx.doi.org/10.1016/j.dsr2.2015.10.002")</f>
        <v>http://dx.doi.org/10.1016/j.dsr2.2015.10.002</v>
      </c>
      <c r="BG389" t="s">
        <v>74</v>
      </c>
      <c r="BH389" t="s">
        <v>74</v>
      </c>
      <c r="BI389">
        <v>12</v>
      </c>
      <c r="BJ389" t="s">
        <v>405</v>
      </c>
      <c r="BK389" t="s">
        <v>156</v>
      </c>
      <c r="BL389" t="s">
        <v>405</v>
      </c>
      <c r="BM389" t="s">
        <v>6839</v>
      </c>
      <c r="BN389" t="s">
        <v>74</v>
      </c>
      <c r="BO389" t="s">
        <v>74</v>
      </c>
      <c r="BP389" t="s">
        <v>74</v>
      </c>
      <c r="BQ389" t="s">
        <v>74</v>
      </c>
      <c r="BR389" t="s">
        <v>105</v>
      </c>
      <c r="BS389" t="s">
        <v>7772</v>
      </c>
      <c r="BT389" t="str">
        <f>HYPERLINK("https%3A%2F%2Fwww.webofscience.com%2Fwos%2Fwoscc%2Ffull-record%2FWOS:000383942700016","View Full Record in Web of Science")</f>
        <v>View Full Record in Web of Science</v>
      </c>
    </row>
    <row r="390" spans="1:72" x14ac:dyDescent="0.15">
      <c r="A390" t="s">
        <v>72</v>
      </c>
      <c r="B390" t="s">
        <v>7773</v>
      </c>
      <c r="C390" t="s">
        <v>74</v>
      </c>
      <c r="D390" t="s">
        <v>74</v>
      </c>
      <c r="E390" t="s">
        <v>74</v>
      </c>
      <c r="F390" t="s">
        <v>7774</v>
      </c>
      <c r="G390" t="s">
        <v>74</v>
      </c>
      <c r="H390" t="s">
        <v>74</v>
      </c>
      <c r="I390" t="s">
        <v>7775</v>
      </c>
      <c r="J390" t="s">
        <v>7776</v>
      </c>
      <c r="K390" t="s">
        <v>74</v>
      </c>
      <c r="L390" t="s">
        <v>74</v>
      </c>
      <c r="M390" t="s">
        <v>78</v>
      </c>
      <c r="N390" t="s">
        <v>79</v>
      </c>
      <c r="O390" t="s">
        <v>74</v>
      </c>
      <c r="P390" t="s">
        <v>74</v>
      </c>
      <c r="Q390" t="s">
        <v>74</v>
      </c>
      <c r="R390" t="s">
        <v>74</v>
      </c>
      <c r="S390" t="s">
        <v>74</v>
      </c>
      <c r="T390" t="s">
        <v>7777</v>
      </c>
      <c r="U390" t="s">
        <v>7778</v>
      </c>
      <c r="V390" t="s">
        <v>7779</v>
      </c>
      <c r="W390" t="s">
        <v>7780</v>
      </c>
      <c r="X390" t="s">
        <v>7781</v>
      </c>
      <c r="Y390" t="s">
        <v>7782</v>
      </c>
      <c r="Z390" t="s">
        <v>7783</v>
      </c>
      <c r="AA390" t="s">
        <v>7784</v>
      </c>
      <c r="AB390" t="s">
        <v>7785</v>
      </c>
      <c r="AC390" t="s">
        <v>7786</v>
      </c>
      <c r="AD390" t="s">
        <v>7787</v>
      </c>
      <c r="AE390" t="s">
        <v>7788</v>
      </c>
      <c r="AF390" t="s">
        <v>74</v>
      </c>
      <c r="AG390">
        <v>56</v>
      </c>
      <c r="AH390">
        <v>82</v>
      </c>
      <c r="AI390">
        <v>87</v>
      </c>
      <c r="AJ390">
        <v>7</v>
      </c>
      <c r="AK390">
        <v>203</v>
      </c>
      <c r="AL390" t="s">
        <v>303</v>
      </c>
      <c r="AM390" t="s">
        <v>304</v>
      </c>
      <c r="AN390" t="s">
        <v>305</v>
      </c>
      <c r="AO390" t="s">
        <v>7789</v>
      </c>
      <c r="AP390" t="s">
        <v>7790</v>
      </c>
      <c r="AQ390" t="s">
        <v>74</v>
      </c>
      <c r="AR390" t="s">
        <v>7791</v>
      </c>
      <c r="AS390" t="s">
        <v>7792</v>
      </c>
      <c r="AT390" t="s">
        <v>5678</v>
      </c>
      <c r="AU390">
        <v>2016</v>
      </c>
      <c r="AV390">
        <v>94</v>
      </c>
      <c r="AW390" t="s">
        <v>74</v>
      </c>
      <c r="AX390" t="s">
        <v>74</v>
      </c>
      <c r="AY390" t="s">
        <v>74</v>
      </c>
      <c r="AZ390" t="s">
        <v>74</v>
      </c>
      <c r="BA390" t="s">
        <v>74</v>
      </c>
      <c r="BB390">
        <v>408</v>
      </c>
      <c r="BC390">
        <v>414</v>
      </c>
      <c r="BD390" t="s">
        <v>74</v>
      </c>
      <c r="BE390" t="s">
        <v>7793</v>
      </c>
      <c r="BF390" t="str">
        <f>HYPERLINK("http://dx.doi.org/10.1016/j.envint.2016.05.005","http://dx.doi.org/10.1016/j.envint.2016.05.005")</f>
        <v>http://dx.doi.org/10.1016/j.envint.2016.05.005</v>
      </c>
      <c r="BG390" t="s">
        <v>74</v>
      </c>
      <c r="BH390" t="s">
        <v>74</v>
      </c>
      <c r="BI390">
        <v>7</v>
      </c>
      <c r="BJ390" t="s">
        <v>846</v>
      </c>
      <c r="BK390" t="s">
        <v>156</v>
      </c>
      <c r="BL390" t="s">
        <v>532</v>
      </c>
      <c r="BM390" t="s">
        <v>7794</v>
      </c>
      <c r="BN390">
        <v>27453093</v>
      </c>
      <c r="BO390" t="s">
        <v>74</v>
      </c>
      <c r="BP390" t="s">
        <v>74</v>
      </c>
      <c r="BQ390" t="s">
        <v>74</v>
      </c>
      <c r="BR390" t="s">
        <v>105</v>
      </c>
      <c r="BS390" t="s">
        <v>7795</v>
      </c>
      <c r="BT390" t="str">
        <f>HYPERLINK("https%3A%2F%2Fwww.webofscience.com%2Fwos%2Fwoscc%2Ffull-record%2FWOS:000382339000044","View Full Record in Web of Science")</f>
        <v>View Full Record in Web of Science</v>
      </c>
    </row>
    <row r="391" spans="1:72" x14ac:dyDescent="0.15">
      <c r="A391" t="s">
        <v>72</v>
      </c>
      <c r="B391" t="s">
        <v>7796</v>
      </c>
      <c r="C391" t="s">
        <v>74</v>
      </c>
      <c r="D391" t="s">
        <v>74</v>
      </c>
      <c r="E391" t="s">
        <v>74</v>
      </c>
      <c r="F391" t="s">
        <v>7797</v>
      </c>
      <c r="G391" t="s">
        <v>74</v>
      </c>
      <c r="H391" t="s">
        <v>74</v>
      </c>
      <c r="I391" t="s">
        <v>7798</v>
      </c>
      <c r="J391" t="s">
        <v>3536</v>
      </c>
      <c r="K391" t="s">
        <v>74</v>
      </c>
      <c r="L391" t="s">
        <v>74</v>
      </c>
      <c r="M391" t="s">
        <v>78</v>
      </c>
      <c r="N391" t="s">
        <v>79</v>
      </c>
      <c r="O391" t="s">
        <v>74</v>
      </c>
      <c r="P391" t="s">
        <v>74</v>
      </c>
      <c r="Q391" t="s">
        <v>74</v>
      </c>
      <c r="R391" t="s">
        <v>74</v>
      </c>
      <c r="S391" t="s">
        <v>74</v>
      </c>
      <c r="T391" t="s">
        <v>7799</v>
      </c>
      <c r="U391" t="s">
        <v>7800</v>
      </c>
      <c r="V391" t="s">
        <v>7801</v>
      </c>
      <c r="W391" t="s">
        <v>7802</v>
      </c>
      <c r="X391" t="s">
        <v>7803</v>
      </c>
      <c r="Y391" t="s">
        <v>7804</v>
      </c>
      <c r="Z391" t="s">
        <v>7805</v>
      </c>
      <c r="AA391" t="s">
        <v>7806</v>
      </c>
      <c r="AB391" t="s">
        <v>7807</v>
      </c>
      <c r="AC391" t="s">
        <v>7808</v>
      </c>
      <c r="AD391" t="s">
        <v>7809</v>
      </c>
      <c r="AE391" t="s">
        <v>7810</v>
      </c>
      <c r="AF391" t="s">
        <v>74</v>
      </c>
      <c r="AG391">
        <v>104</v>
      </c>
      <c r="AH391">
        <v>42</v>
      </c>
      <c r="AI391">
        <v>43</v>
      </c>
      <c r="AJ391">
        <v>5</v>
      </c>
      <c r="AK391">
        <v>84</v>
      </c>
      <c r="AL391" t="s">
        <v>474</v>
      </c>
      <c r="AM391" t="s">
        <v>304</v>
      </c>
      <c r="AN391" t="s">
        <v>475</v>
      </c>
      <c r="AO391" t="s">
        <v>3549</v>
      </c>
      <c r="AP391" t="s">
        <v>3550</v>
      </c>
      <c r="AQ391" t="s">
        <v>74</v>
      </c>
      <c r="AR391" t="s">
        <v>3551</v>
      </c>
      <c r="AS391" t="s">
        <v>3552</v>
      </c>
      <c r="AT391" t="s">
        <v>5678</v>
      </c>
      <c r="AU391">
        <v>2016</v>
      </c>
      <c r="AV391">
        <v>216</v>
      </c>
      <c r="AW391" t="s">
        <v>74</v>
      </c>
      <c r="AX391" t="s">
        <v>74</v>
      </c>
      <c r="AY391" t="s">
        <v>74</v>
      </c>
      <c r="AZ391" t="s">
        <v>74</v>
      </c>
      <c r="BA391" t="s">
        <v>74</v>
      </c>
      <c r="BB391">
        <v>253</v>
      </c>
      <c r="BC391">
        <v>263</v>
      </c>
      <c r="BD391" t="s">
        <v>74</v>
      </c>
      <c r="BE391" t="s">
        <v>7811</v>
      </c>
      <c r="BF391" t="str">
        <f>HYPERLINK("http://dx.doi.org/10.1016/j.envpol.2016.05.061","http://dx.doi.org/10.1016/j.envpol.2016.05.061")</f>
        <v>http://dx.doi.org/10.1016/j.envpol.2016.05.061</v>
      </c>
      <c r="BG391" t="s">
        <v>74</v>
      </c>
      <c r="BH391" t="s">
        <v>74</v>
      </c>
      <c r="BI391">
        <v>11</v>
      </c>
      <c r="BJ391" t="s">
        <v>846</v>
      </c>
      <c r="BK391" t="s">
        <v>156</v>
      </c>
      <c r="BL391" t="s">
        <v>532</v>
      </c>
      <c r="BM391" t="s">
        <v>6531</v>
      </c>
      <c r="BN391">
        <v>27267741</v>
      </c>
      <c r="BO391" t="s">
        <v>74</v>
      </c>
      <c r="BP391" t="s">
        <v>74</v>
      </c>
      <c r="BQ391" t="s">
        <v>74</v>
      </c>
      <c r="BR391" t="s">
        <v>105</v>
      </c>
      <c r="BS391" t="s">
        <v>7812</v>
      </c>
      <c r="BT391" t="str">
        <f>HYPERLINK("https%3A%2F%2Fwww.webofscience.com%2Fwos%2Fwoscc%2Ffull-record%2FWOS:000383930500028","View Full Record in Web of Science")</f>
        <v>View Full Record in Web of Science</v>
      </c>
    </row>
    <row r="392" spans="1:72" x14ac:dyDescent="0.15">
      <c r="A392" t="s">
        <v>72</v>
      </c>
      <c r="B392" t="s">
        <v>7813</v>
      </c>
      <c r="C392" t="s">
        <v>74</v>
      </c>
      <c r="D392" t="s">
        <v>74</v>
      </c>
      <c r="E392" t="s">
        <v>74</v>
      </c>
      <c r="F392" t="s">
        <v>7814</v>
      </c>
      <c r="G392" t="s">
        <v>74</v>
      </c>
      <c r="H392" t="s">
        <v>74</v>
      </c>
      <c r="I392" t="s">
        <v>7815</v>
      </c>
      <c r="J392" t="s">
        <v>3536</v>
      </c>
      <c r="K392" t="s">
        <v>74</v>
      </c>
      <c r="L392" t="s">
        <v>74</v>
      </c>
      <c r="M392" t="s">
        <v>78</v>
      </c>
      <c r="N392" t="s">
        <v>79</v>
      </c>
      <c r="O392" t="s">
        <v>74</v>
      </c>
      <c r="P392" t="s">
        <v>74</v>
      </c>
      <c r="Q392" t="s">
        <v>74</v>
      </c>
      <c r="R392" t="s">
        <v>74</v>
      </c>
      <c r="S392" t="s">
        <v>74</v>
      </c>
      <c r="T392" t="s">
        <v>7816</v>
      </c>
      <c r="U392" t="s">
        <v>7817</v>
      </c>
      <c r="V392" t="s">
        <v>7818</v>
      </c>
      <c r="W392" t="s">
        <v>7819</v>
      </c>
      <c r="X392" t="s">
        <v>7820</v>
      </c>
      <c r="Y392" t="s">
        <v>7821</v>
      </c>
      <c r="Z392" t="s">
        <v>7822</v>
      </c>
      <c r="AA392" t="s">
        <v>7823</v>
      </c>
      <c r="AB392" t="s">
        <v>7824</v>
      </c>
      <c r="AC392" t="s">
        <v>7825</v>
      </c>
      <c r="AD392" t="s">
        <v>7826</v>
      </c>
      <c r="AE392" t="s">
        <v>7827</v>
      </c>
      <c r="AF392" t="s">
        <v>74</v>
      </c>
      <c r="AG392">
        <v>86</v>
      </c>
      <c r="AH392">
        <v>58</v>
      </c>
      <c r="AI392">
        <v>59</v>
      </c>
      <c r="AJ392">
        <v>5</v>
      </c>
      <c r="AK392">
        <v>144</v>
      </c>
      <c r="AL392" t="s">
        <v>474</v>
      </c>
      <c r="AM392" t="s">
        <v>304</v>
      </c>
      <c r="AN392" t="s">
        <v>475</v>
      </c>
      <c r="AO392" t="s">
        <v>3549</v>
      </c>
      <c r="AP392" t="s">
        <v>3550</v>
      </c>
      <c r="AQ392" t="s">
        <v>74</v>
      </c>
      <c r="AR392" t="s">
        <v>3551</v>
      </c>
      <c r="AS392" t="s">
        <v>3552</v>
      </c>
      <c r="AT392" t="s">
        <v>5678</v>
      </c>
      <c r="AU392">
        <v>2016</v>
      </c>
      <c r="AV392">
        <v>216</v>
      </c>
      <c r="AW392" t="s">
        <v>74</v>
      </c>
      <c r="AX392" t="s">
        <v>74</v>
      </c>
      <c r="AY392" t="s">
        <v>74</v>
      </c>
      <c r="AZ392" t="s">
        <v>74</v>
      </c>
      <c r="BA392" t="s">
        <v>74</v>
      </c>
      <c r="BB392">
        <v>924</v>
      </c>
      <c r="BC392">
        <v>934</v>
      </c>
      <c r="BD392" t="s">
        <v>74</v>
      </c>
      <c r="BE392" t="s">
        <v>7828</v>
      </c>
      <c r="BF392" t="str">
        <f>HYPERLINK("http://dx.doi.org/10.1016/j.envpol.2016.07.001","http://dx.doi.org/10.1016/j.envpol.2016.07.001")</f>
        <v>http://dx.doi.org/10.1016/j.envpol.2016.07.001</v>
      </c>
      <c r="BG392" t="s">
        <v>74</v>
      </c>
      <c r="BH392" t="s">
        <v>74</v>
      </c>
      <c r="BI392">
        <v>11</v>
      </c>
      <c r="BJ392" t="s">
        <v>846</v>
      </c>
      <c r="BK392" t="s">
        <v>156</v>
      </c>
      <c r="BL392" t="s">
        <v>532</v>
      </c>
      <c r="BM392" t="s">
        <v>6531</v>
      </c>
      <c r="BN392">
        <v>27400905</v>
      </c>
      <c r="BO392" t="s">
        <v>74</v>
      </c>
      <c r="BP392" t="s">
        <v>74</v>
      </c>
      <c r="BQ392" t="s">
        <v>74</v>
      </c>
      <c r="BR392" t="s">
        <v>105</v>
      </c>
      <c r="BS392" t="s">
        <v>7829</v>
      </c>
      <c r="BT392" t="str">
        <f>HYPERLINK("https%3A%2F%2Fwww.webofscience.com%2Fwos%2Fwoscc%2Ffull-record%2FWOS:000383930500101","View Full Record in Web of Science")</f>
        <v>View Full Record in Web of Science</v>
      </c>
    </row>
    <row r="393" spans="1:72" x14ac:dyDescent="0.15">
      <c r="A393" t="s">
        <v>72</v>
      </c>
      <c r="B393" t="s">
        <v>7830</v>
      </c>
      <c r="C393" t="s">
        <v>74</v>
      </c>
      <c r="D393" t="s">
        <v>74</v>
      </c>
      <c r="E393" t="s">
        <v>74</v>
      </c>
      <c r="F393" t="s">
        <v>7831</v>
      </c>
      <c r="G393" t="s">
        <v>74</v>
      </c>
      <c r="H393" t="s">
        <v>74</v>
      </c>
      <c r="I393" t="s">
        <v>7832</v>
      </c>
      <c r="J393" t="s">
        <v>7833</v>
      </c>
      <c r="K393" t="s">
        <v>74</v>
      </c>
      <c r="L393" t="s">
        <v>74</v>
      </c>
      <c r="M393" t="s">
        <v>78</v>
      </c>
      <c r="N393" t="s">
        <v>79</v>
      </c>
      <c r="O393" t="s">
        <v>74</v>
      </c>
      <c r="P393" t="s">
        <v>74</v>
      </c>
      <c r="Q393" t="s">
        <v>74</v>
      </c>
      <c r="R393" t="s">
        <v>74</v>
      </c>
      <c r="S393" t="s">
        <v>74</v>
      </c>
      <c r="T393" t="s">
        <v>7834</v>
      </c>
      <c r="U393" t="s">
        <v>7835</v>
      </c>
      <c r="V393" t="s">
        <v>7836</v>
      </c>
      <c r="W393" t="s">
        <v>7837</v>
      </c>
      <c r="X393" t="s">
        <v>7838</v>
      </c>
      <c r="Y393" t="s">
        <v>7839</v>
      </c>
      <c r="Z393" t="s">
        <v>7840</v>
      </c>
      <c r="AA393" t="s">
        <v>7841</v>
      </c>
      <c r="AB393" t="s">
        <v>7842</v>
      </c>
      <c r="AC393" t="s">
        <v>7843</v>
      </c>
      <c r="AD393" t="s">
        <v>7843</v>
      </c>
      <c r="AE393" t="s">
        <v>7844</v>
      </c>
      <c r="AF393" t="s">
        <v>74</v>
      </c>
      <c r="AG393">
        <v>92</v>
      </c>
      <c r="AH393">
        <v>37</v>
      </c>
      <c r="AI393">
        <v>42</v>
      </c>
      <c r="AJ393">
        <v>1</v>
      </c>
      <c r="AK393">
        <v>2</v>
      </c>
      <c r="AL393" t="s">
        <v>644</v>
      </c>
      <c r="AM393" t="s">
        <v>594</v>
      </c>
      <c r="AN393" t="s">
        <v>645</v>
      </c>
      <c r="AO393" t="s">
        <v>7845</v>
      </c>
      <c r="AP393" t="s">
        <v>7846</v>
      </c>
      <c r="AQ393" t="s">
        <v>74</v>
      </c>
      <c r="AR393" t="s">
        <v>7847</v>
      </c>
      <c r="AS393" t="s">
        <v>7848</v>
      </c>
      <c r="AT393" t="s">
        <v>5678</v>
      </c>
      <c r="AU393">
        <v>2016</v>
      </c>
      <c r="AV393">
        <v>39</v>
      </c>
      <c r="AW393">
        <v>5</v>
      </c>
      <c r="AX393" t="s">
        <v>74</v>
      </c>
      <c r="AY393" t="s">
        <v>74</v>
      </c>
      <c r="AZ393" t="s">
        <v>74</v>
      </c>
      <c r="BA393" t="s">
        <v>74</v>
      </c>
      <c r="BB393">
        <v>1403</v>
      </c>
      <c r="BC393">
        <v>1421</v>
      </c>
      <c r="BD393" t="s">
        <v>74</v>
      </c>
      <c r="BE393" t="s">
        <v>7849</v>
      </c>
      <c r="BF393" t="str">
        <f>HYPERLINK("http://dx.doi.org/10.1007/s12237-016-0087-z","http://dx.doi.org/10.1007/s12237-016-0087-z")</f>
        <v>http://dx.doi.org/10.1007/s12237-016-0087-z</v>
      </c>
      <c r="BG393" t="s">
        <v>74</v>
      </c>
      <c r="BH393" t="s">
        <v>74</v>
      </c>
      <c r="BI393">
        <v>19</v>
      </c>
      <c r="BJ393" t="s">
        <v>1721</v>
      </c>
      <c r="BK393" t="s">
        <v>156</v>
      </c>
      <c r="BL393" t="s">
        <v>694</v>
      </c>
      <c r="BM393" t="s">
        <v>7850</v>
      </c>
      <c r="BN393" t="s">
        <v>74</v>
      </c>
      <c r="BO393" t="s">
        <v>104</v>
      </c>
      <c r="BP393" t="s">
        <v>74</v>
      </c>
      <c r="BQ393" t="s">
        <v>74</v>
      </c>
      <c r="BR393" t="s">
        <v>105</v>
      </c>
      <c r="BS393" t="s">
        <v>7851</v>
      </c>
      <c r="BT393" t="str">
        <f>HYPERLINK("https%3A%2F%2Fwww.webofscience.com%2Fwos%2Fwoscc%2Ffull-record%2FWOS:000380268400008","View Full Record in Web of Science")</f>
        <v>View Full Record in Web of Science</v>
      </c>
    </row>
    <row r="394" spans="1:72" x14ac:dyDescent="0.15">
      <c r="A394" t="s">
        <v>72</v>
      </c>
      <c r="B394" t="s">
        <v>7852</v>
      </c>
      <c r="C394" t="s">
        <v>74</v>
      </c>
      <c r="D394" t="s">
        <v>74</v>
      </c>
      <c r="E394" t="s">
        <v>74</v>
      </c>
      <c r="F394" t="s">
        <v>7853</v>
      </c>
      <c r="G394" t="s">
        <v>74</v>
      </c>
      <c r="H394" t="s">
        <v>74</v>
      </c>
      <c r="I394" t="s">
        <v>7854</v>
      </c>
      <c r="J394" t="s">
        <v>7855</v>
      </c>
      <c r="K394" t="s">
        <v>74</v>
      </c>
      <c r="L394" t="s">
        <v>74</v>
      </c>
      <c r="M394" t="s">
        <v>78</v>
      </c>
      <c r="N394" t="s">
        <v>79</v>
      </c>
      <c r="O394" t="s">
        <v>74</v>
      </c>
      <c r="P394" t="s">
        <v>74</v>
      </c>
      <c r="Q394" t="s">
        <v>74</v>
      </c>
      <c r="R394" t="s">
        <v>74</v>
      </c>
      <c r="S394" t="s">
        <v>74</v>
      </c>
      <c r="T394" t="s">
        <v>7856</v>
      </c>
      <c r="U394" t="s">
        <v>7857</v>
      </c>
      <c r="V394" t="s">
        <v>7858</v>
      </c>
      <c r="W394" t="s">
        <v>7859</v>
      </c>
      <c r="X394" t="s">
        <v>7860</v>
      </c>
      <c r="Y394" t="s">
        <v>7861</v>
      </c>
      <c r="Z394" t="s">
        <v>7862</v>
      </c>
      <c r="AA394" t="s">
        <v>7863</v>
      </c>
      <c r="AB394" t="s">
        <v>7864</v>
      </c>
      <c r="AC394" t="s">
        <v>7865</v>
      </c>
      <c r="AD394" t="s">
        <v>7866</v>
      </c>
      <c r="AE394" t="s">
        <v>7867</v>
      </c>
      <c r="AF394" t="s">
        <v>74</v>
      </c>
      <c r="AG394">
        <v>44</v>
      </c>
      <c r="AH394">
        <v>12</v>
      </c>
      <c r="AI394">
        <v>15</v>
      </c>
      <c r="AJ394">
        <v>0</v>
      </c>
      <c r="AK394">
        <v>23</v>
      </c>
      <c r="AL394" t="s">
        <v>7868</v>
      </c>
      <c r="AM394" t="s">
        <v>6459</v>
      </c>
      <c r="AN394" t="s">
        <v>7869</v>
      </c>
      <c r="AO394" t="s">
        <v>7870</v>
      </c>
      <c r="AP394" t="s">
        <v>7871</v>
      </c>
      <c r="AQ394" t="s">
        <v>74</v>
      </c>
      <c r="AR394" t="s">
        <v>7855</v>
      </c>
      <c r="AS394" t="s">
        <v>7872</v>
      </c>
      <c r="AT394" t="s">
        <v>5678</v>
      </c>
      <c r="AU394">
        <v>2016</v>
      </c>
      <c r="AV394">
        <v>20</v>
      </c>
      <c r="AW394">
        <v>5</v>
      </c>
      <c r="AX394" t="s">
        <v>74</v>
      </c>
      <c r="AY394" t="s">
        <v>74</v>
      </c>
      <c r="AZ394" t="s">
        <v>74</v>
      </c>
      <c r="BA394" t="s">
        <v>74</v>
      </c>
      <c r="BB394">
        <v>579</v>
      </c>
      <c r="BC394">
        <v>588</v>
      </c>
      <c r="BD394" t="s">
        <v>74</v>
      </c>
      <c r="BE394" t="s">
        <v>7873</v>
      </c>
      <c r="BF394" t="str">
        <f>HYPERLINK("http://dx.doi.org/10.1007/s00792-016-0844-8","http://dx.doi.org/10.1007/s00792-016-0844-8")</f>
        <v>http://dx.doi.org/10.1007/s00792-016-0844-8</v>
      </c>
      <c r="BG394" t="s">
        <v>74</v>
      </c>
      <c r="BH394" t="s">
        <v>74</v>
      </c>
      <c r="BI394">
        <v>10</v>
      </c>
      <c r="BJ394" t="s">
        <v>7874</v>
      </c>
      <c r="BK394" t="s">
        <v>156</v>
      </c>
      <c r="BL394" t="s">
        <v>7874</v>
      </c>
      <c r="BM394" t="s">
        <v>7875</v>
      </c>
      <c r="BN394">
        <v>27315166</v>
      </c>
      <c r="BO394" t="s">
        <v>74</v>
      </c>
      <c r="BP394" t="s">
        <v>74</v>
      </c>
      <c r="BQ394" t="s">
        <v>74</v>
      </c>
      <c r="BR394" t="s">
        <v>105</v>
      </c>
      <c r="BS394" t="s">
        <v>7876</v>
      </c>
      <c r="BT394" t="str">
        <f>HYPERLINK("https%3A%2F%2Fwww.webofscience.com%2Fwos%2Fwoscc%2Ffull-record%2FWOS:000382142400001","View Full Record in Web of Science")</f>
        <v>View Full Record in Web of Science</v>
      </c>
    </row>
    <row r="395" spans="1:72" x14ac:dyDescent="0.15">
      <c r="A395" t="s">
        <v>72</v>
      </c>
      <c r="B395" t="s">
        <v>7877</v>
      </c>
      <c r="C395" t="s">
        <v>74</v>
      </c>
      <c r="D395" t="s">
        <v>74</v>
      </c>
      <c r="E395" t="s">
        <v>74</v>
      </c>
      <c r="F395" t="s">
        <v>7878</v>
      </c>
      <c r="G395" t="s">
        <v>74</v>
      </c>
      <c r="H395" t="s">
        <v>74</v>
      </c>
      <c r="I395" t="s">
        <v>7879</v>
      </c>
      <c r="J395" t="s">
        <v>7855</v>
      </c>
      <c r="K395" t="s">
        <v>74</v>
      </c>
      <c r="L395" t="s">
        <v>74</v>
      </c>
      <c r="M395" t="s">
        <v>78</v>
      </c>
      <c r="N395" t="s">
        <v>79</v>
      </c>
      <c r="O395" t="s">
        <v>74</v>
      </c>
      <c r="P395" t="s">
        <v>74</v>
      </c>
      <c r="Q395" t="s">
        <v>74</v>
      </c>
      <c r="R395" t="s">
        <v>74</v>
      </c>
      <c r="S395" t="s">
        <v>74</v>
      </c>
      <c r="T395" t="s">
        <v>7880</v>
      </c>
      <c r="U395" t="s">
        <v>7881</v>
      </c>
      <c r="V395" t="s">
        <v>7882</v>
      </c>
      <c r="W395" t="s">
        <v>7883</v>
      </c>
      <c r="X395" t="s">
        <v>7884</v>
      </c>
      <c r="Y395" t="s">
        <v>7885</v>
      </c>
      <c r="Z395" t="s">
        <v>7886</v>
      </c>
      <c r="AA395" t="s">
        <v>7887</v>
      </c>
      <c r="AB395" t="s">
        <v>7888</v>
      </c>
      <c r="AC395" t="s">
        <v>7889</v>
      </c>
      <c r="AD395" t="s">
        <v>7890</v>
      </c>
      <c r="AE395" t="s">
        <v>7891</v>
      </c>
      <c r="AF395" t="s">
        <v>74</v>
      </c>
      <c r="AG395">
        <v>46</v>
      </c>
      <c r="AH395">
        <v>36</v>
      </c>
      <c r="AI395">
        <v>41</v>
      </c>
      <c r="AJ395">
        <v>0</v>
      </c>
      <c r="AK395">
        <v>31</v>
      </c>
      <c r="AL395" t="s">
        <v>7868</v>
      </c>
      <c r="AM395" t="s">
        <v>6459</v>
      </c>
      <c r="AN395" t="s">
        <v>7892</v>
      </c>
      <c r="AO395" t="s">
        <v>7870</v>
      </c>
      <c r="AP395" t="s">
        <v>7871</v>
      </c>
      <c r="AQ395" t="s">
        <v>74</v>
      </c>
      <c r="AR395" t="s">
        <v>7855</v>
      </c>
      <c r="AS395" t="s">
        <v>7872</v>
      </c>
      <c r="AT395" t="s">
        <v>5678</v>
      </c>
      <c r="AU395">
        <v>2016</v>
      </c>
      <c r="AV395">
        <v>20</v>
      </c>
      <c r="AW395">
        <v>5</v>
      </c>
      <c r="AX395" t="s">
        <v>74</v>
      </c>
      <c r="AY395" t="s">
        <v>74</v>
      </c>
      <c r="AZ395" t="s">
        <v>74</v>
      </c>
      <c r="BA395" t="s">
        <v>74</v>
      </c>
      <c r="BB395">
        <v>759</v>
      </c>
      <c r="BC395">
        <v>769</v>
      </c>
      <c r="BD395" t="s">
        <v>74</v>
      </c>
      <c r="BE395" t="s">
        <v>7893</v>
      </c>
      <c r="BF395" t="str">
        <f>HYPERLINK("http://dx.doi.org/10.1007/s00792-016-0865-3","http://dx.doi.org/10.1007/s00792-016-0865-3")</f>
        <v>http://dx.doi.org/10.1007/s00792-016-0865-3</v>
      </c>
      <c r="BG395" t="s">
        <v>74</v>
      </c>
      <c r="BH395" t="s">
        <v>74</v>
      </c>
      <c r="BI395">
        <v>11</v>
      </c>
      <c r="BJ395" t="s">
        <v>7874</v>
      </c>
      <c r="BK395" t="s">
        <v>156</v>
      </c>
      <c r="BL395" t="s">
        <v>7874</v>
      </c>
      <c r="BM395" t="s">
        <v>7875</v>
      </c>
      <c r="BN395">
        <v>27469174</v>
      </c>
      <c r="BO395" t="s">
        <v>74</v>
      </c>
      <c r="BP395" t="s">
        <v>74</v>
      </c>
      <c r="BQ395" t="s">
        <v>74</v>
      </c>
      <c r="BR395" t="s">
        <v>105</v>
      </c>
      <c r="BS395" t="s">
        <v>7894</v>
      </c>
      <c r="BT395" t="str">
        <f>HYPERLINK("https%3A%2F%2Fwww.webofscience.com%2Fwos%2Fwoscc%2Ffull-record%2FWOS:000382142400016","View Full Record in Web of Science")</f>
        <v>View Full Record in Web of Science</v>
      </c>
    </row>
    <row r="396" spans="1:72" x14ac:dyDescent="0.15">
      <c r="A396" t="s">
        <v>72</v>
      </c>
      <c r="B396" t="s">
        <v>7895</v>
      </c>
      <c r="C396" t="s">
        <v>74</v>
      </c>
      <c r="D396" t="s">
        <v>74</v>
      </c>
      <c r="E396" t="s">
        <v>74</v>
      </c>
      <c r="F396" t="s">
        <v>7896</v>
      </c>
      <c r="G396" t="s">
        <v>74</v>
      </c>
      <c r="H396" t="s">
        <v>74</v>
      </c>
      <c r="I396" t="s">
        <v>7897</v>
      </c>
      <c r="J396" t="s">
        <v>3559</v>
      </c>
      <c r="K396" t="s">
        <v>74</v>
      </c>
      <c r="L396" t="s">
        <v>74</v>
      </c>
      <c r="M396" t="s">
        <v>78</v>
      </c>
      <c r="N396" t="s">
        <v>79</v>
      </c>
      <c r="O396" t="s">
        <v>74</v>
      </c>
      <c r="P396" t="s">
        <v>74</v>
      </c>
      <c r="Q396" t="s">
        <v>74</v>
      </c>
      <c r="R396" t="s">
        <v>74</v>
      </c>
      <c r="S396" t="s">
        <v>74</v>
      </c>
      <c r="T396" t="s">
        <v>7898</v>
      </c>
      <c r="U396" t="s">
        <v>7899</v>
      </c>
      <c r="V396" t="s">
        <v>7900</v>
      </c>
      <c r="W396" t="s">
        <v>7901</v>
      </c>
      <c r="X396" t="s">
        <v>7902</v>
      </c>
      <c r="Y396" t="s">
        <v>7903</v>
      </c>
      <c r="Z396" t="s">
        <v>7904</v>
      </c>
      <c r="AA396" t="s">
        <v>7905</v>
      </c>
      <c r="AB396" t="s">
        <v>7906</v>
      </c>
      <c r="AC396" t="s">
        <v>7907</v>
      </c>
      <c r="AD396" t="s">
        <v>7908</v>
      </c>
      <c r="AE396" t="s">
        <v>7909</v>
      </c>
      <c r="AF396" t="s">
        <v>74</v>
      </c>
      <c r="AG396">
        <v>93</v>
      </c>
      <c r="AH396">
        <v>45</v>
      </c>
      <c r="AI396">
        <v>48</v>
      </c>
      <c r="AJ396">
        <v>3</v>
      </c>
      <c r="AK396">
        <v>49</v>
      </c>
      <c r="AL396" t="s">
        <v>2501</v>
      </c>
      <c r="AM396" t="s">
        <v>304</v>
      </c>
      <c r="AN396" t="s">
        <v>2502</v>
      </c>
      <c r="AO396" t="s">
        <v>3572</v>
      </c>
      <c r="AP396" t="s">
        <v>3573</v>
      </c>
      <c r="AQ396" t="s">
        <v>74</v>
      </c>
      <c r="AR396" t="s">
        <v>3574</v>
      </c>
      <c r="AS396" t="s">
        <v>3575</v>
      </c>
      <c r="AT396" t="s">
        <v>5678</v>
      </c>
      <c r="AU396">
        <v>2016</v>
      </c>
      <c r="AV396">
        <v>92</v>
      </c>
      <c r="AW396">
        <v>9</v>
      </c>
      <c r="AX396" t="s">
        <v>74</v>
      </c>
      <c r="AY396" t="s">
        <v>74</v>
      </c>
      <c r="AZ396" t="s">
        <v>74</v>
      </c>
      <c r="BA396" t="s">
        <v>74</v>
      </c>
      <c r="BB396" t="s">
        <v>74</v>
      </c>
      <c r="BC396" t="s">
        <v>74</v>
      </c>
      <c r="BD396" t="s">
        <v>7910</v>
      </c>
      <c r="BE396" t="s">
        <v>7911</v>
      </c>
      <c r="BF396" t="str">
        <f>HYPERLINK("http://dx.doi.org/10.1093/femsec/fiw126","http://dx.doi.org/10.1093/femsec/fiw126")</f>
        <v>http://dx.doi.org/10.1093/femsec/fiw126</v>
      </c>
      <c r="BG396" t="s">
        <v>74</v>
      </c>
      <c r="BH396" t="s">
        <v>74</v>
      </c>
      <c r="BI396">
        <v>13</v>
      </c>
      <c r="BJ396" t="s">
        <v>130</v>
      </c>
      <c r="BK396" t="s">
        <v>156</v>
      </c>
      <c r="BL396" t="s">
        <v>130</v>
      </c>
      <c r="BM396" t="s">
        <v>7912</v>
      </c>
      <c r="BN396">
        <v>27402710</v>
      </c>
      <c r="BO396" t="s">
        <v>258</v>
      </c>
      <c r="BP396" t="s">
        <v>74</v>
      </c>
      <c r="BQ396" t="s">
        <v>74</v>
      </c>
      <c r="BR396" t="s">
        <v>105</v>
      </c>
      <c r="BS396" t="s">
        <v>7913</v>
      </c>
      <c r="BT396" t="str">
        <f>HYPERLINK("https%3A%2F%2Fwww.webofscience.com%2Fwos%2Fwoscc%2Ffull-record%2FWOS:000383898400002","View Full Record in Web of Science")</f>
        <v>View Full Record in Web of Science</v>
      </c>
    </row>
    <row r="397" spans="1:72" x14ac:dyDescent="0.15">
      <c r="A397" t="s">
        <v>72</v>
      </c>
      <c r="B397" t="s">
        <v>7914</v>
      </c>
      <c r="C397" t="s">
        <v>74</v>
      </c>
      <c r="D397" t="s">
        <v>74</v>
      </c>
      <c r="E397" t="s">
        <v>74</v>
      </c>
      <c r="F397" t="s">
        <v>7915</v>
      </c>
      <c r="G397" t="s">
        <v>74</v>
      </c>
      <c r="H397" t="s">
        <v>74</v>
      </c>
      <c r="I397" t="s">
        <v>7916</v>
      </c>
      <c r="J397" t="s">
        <v>7917</v>
      </c>
      <c r="K397" t="s">
        <v>74</v>
      </c>
      <c r="L397" t="s">
        <v>74</v>
      </c>
      <c r="M397" t="s">
        <v>78</v>
      </c>
      <c r="N397" t="s">
        <v>79</v>
      </c>
      <c r="O397" t="s">
        <v>74</v>
      </c>
      <c r="P397" t="s">
        <v>74</v>
      </c>
      <c r="Q397" t="s">
        <v>74</v>
      </c>
      <c r="R397" t="s">
        <v>74</v>
      </c>
      <c r="S397" t="s">
        <v>74</v>
      </c>
      <c r="T397" t="s">
        <v>7918</v>
      </c>
      <c r="U397" t="s">
        <v>7919</v>
      </c>
      <c r="V397" t="s">
        <v>7920</v>
      </c>
      <c r="W397" t="s">
        <v>7921</v>
      </c>
      <c r="X397" t="s">
        <v>7922</v>
      </c>
      <c r="Y397" t="s">
        <v>7923</v>
      </c>
      <c r="Z397" t="s">
        <v>7924</v>
      </c>
      <c r="AA397" t="s">
        <v>7925</v>
      </c>
      <c r="AB397" t="s">
        <v>7926</v>
      </c>
      <c r="AC397" t="s">
        <v>7927</v>
      </c>
      <c r="AD397" t="s">
        <v>7928</v>
      </c>
      <c r="AE397" t="s">
        <v>7929</v>
      </c>
      <c r="AF397" t="s">
        <v>74</v>
      </c>
      <c r="AG397">
        <v>48</v>
      </c>
      <c r="AH397">
        <v>65</v>
      </c>
      <c r="AI397">
        <v>68</v>
      </c>
      <c r="AJ397">
        <v>3</v>
      </c>
      <c r="AK397">
        <v>54</v>
      </c>
      <c r="AL397" t="s">
        <v>501</v>
      </c>
      <c r="AM397" t="s">
        <v>502</v>
      </c>
      <c r="AN397" t="s">
        <v>503</v>
      </c>
      <c r="AO397" t="s">
        <v>7930</v>
      </c>
      <c r="AP397" t="s">
        <v>7931</v>
      </c>
      <c r="AQ397" t="s">
        <v>74</v>
      </c>
      <c r="AR397" t="s">
        <v>7932</v>
      </c>
      <c r="AS397" t="s">
        <v>7933</v>
      </c>
      <c r="AT397" t="s">
        <v>5678</v>
      </c>
      <c r="AU397">
        <v>2016</v>
      </c>
      <c r="AV397">
        <v>17</v>
      </c>
      <c r="AW397">
        <v>3</v>
      </c>
      <c r="AX397" t="s">
        <v>74</v>
      </c>
      <c r="AY397" t="s">
        <v>74</v>
      </c>
      <c r="AZ397" t="s">
        <v>74</v>
      </c>
      <c r="BA397" t="s">
        <v>74</v>
      </c>
      <c r="BB397">
        <v>585</v>
      </c>
      <c r="BC397">
        <v>595</v>
      </c>
      <c r="BD397" t="s">
        <v>74</v>
      </c>
      <c r="BE397" t="s">
        <v>7934</v>
      </c>
      <c r="BF397" t="str">
        <f>HYPERLINK("http://dx.doi.org/10.1111/faf.12129","http://dx.doi.org/10.1111/faf.12129")</f>
        <v>http://dx.doi.org/10.1111/faf.12129</v>
      </c>
      <c r="BG397" t="s">
        <v>74</v>
      </c>
      <c r="BH397" t="s">
        <v>74</v>
      </c>
      <c r="BI397">
        <v>11</v>
      </c>
      <c r="BJ397" t="s">
        <v>101</v>
      </c>
      <c r="BK397" t="s">
        <v>102</v>
      </c>
      <c r="BL397" t="s">
        <v>101</v>
      </c>
      <c r="BM397" t="s">
        <v>7935</v>
      </c>
      <c r="BN397" t="s">
        <v>74</v>
      </c>
      <c r="BO397" t="s">
        <v>2822</v>
      </c>
      <c r="BP397" t="s">
        <v>74</v>
      </c>
      <c r="BQ397" t="s">
        <v>74</v>
      </c>
      <c r="BR397" t="s">
        <v>105</v>
      </c>
      <c r="BS397" t="s">
        <v>7936</v>
      </c>
      <c r="BT397" t="str">
        <f>HYPERLINK("https%3A%2F%2Fwww.webofscience.com%2Fwos%2Fwoscc%2Ffull-record%2FWOS:000382494600003","View Full Record in Web of Science")</f>
        <v>View Full Record in Web of Science</v>
      </c>
    </row>
    <row r="398" spans="1:72" x14ac:dyDescent="0.15">
      <c r="A398" t="s">
        <v>72</v>
      </c>
      <c r="B398" t="s">
        <v>7937</v>
      </c>
      <c r="C398" t="s">
        <v>74</v>
      </c>
      <c r="D398" t="s">
        <v>74</v>
      </c>
      <c r="E398" t="s">
        <v>74</v>
      </c>
      <c r="F398" t="s">
        <v>7938</v>
      </c>
      <c r="G398" t="s">
        <v>74</v>
      </c>
      <c r="H398" t="s">
        <v>74</v>
      </c>
      <c r="I398" t="s">
        <v>7939</v>
      </c>
      <c r="J398" t="s">
        <v>7940</v>
      </c>
      <c r="K398" t="s">
        <v>74</v>
      </c>
      <c r="L398" t="s">
        <v>74</v>
      </c>
      <c r="M398" t="s">
        <v>78</v>
      </c>
      <c r="N398" t="s">
        <v>79</v>
      </c>
      <c r="O398" t="s">
        <v>74</v>
      </c>
      <c r="P398" t="s">
        <v>74</v>
      </c>
      <c r="Q398" t="s">
        <v>74</v>
      </c>
      <c r="R398" t="s">
        <v>74</v>
      </c>
      <c r="S398" t="s">
        <v>74</v>
      </c>
      <c r="T398" t="s">
        <v>7941</v>
      </c>
      <c r="U398" t="s">
        <v>7942</v>
      </c>
      <c r="V398" t="s">
        <v>7943</v>
      </c>
      <c r="W398" t="s">
        <v>7944</v>
      </c>
      <c r="X398" t="s">
        <v>7945</v>
      </c>
      <c r="Y398" t="s">
        <v>7946</v>
      </c>
      <c r="Z398" t="s">
        <v>7947</v>
      </c>
      <c r="AA398" t="s">
        <v>7948</v>
      </c>
      <c r="AB398" t="s">
        <v>7949</v>
      </c>
      <c r="AC398" t="s">
        <v>7950</v>
      </c>
      <c r="AD398" t="s">
        <v>7951</v>
      </c>
      <c r="AE398" t="s">
        <v>7952</v>
      </c>
      <c r="AF398" t="s">
        <v>74</v>
      </c>
      <c r="AG398">
        <v>46</v>
      </c>
      <c r="AH398">
        <v>8</v>
      </c>
      <c r="AI398">
        <v>8</v>
      </c>
      <c r="AJ398">
        <v>0</v>
      </c>
      <c r="AK398">
        <v>0</v>
      </c>
      <c r="AL398" t="s">
        <v>2566</v>
      </c>
      <c r="AM398" t="s">
        <v>2567</v>
      </c>
      <c r="AN398" t="s">
        <v>2568</v>
      </c>
      <c r="AO398" t="s">
        <v>7953</v>
      </c>
      <c r="AP398" t="s">
        <v>74</v>
      </c>
      <c r="AQ398" t="s">
        <v>74</v>
      </c>
      <c r="AR398" t="s">
        <v>7940</v>
      </c>
      <c r="AS398" t="s">
        <v>7954</v>
      </c>
      <c r="AT398" t="s">
        <v>5678</v>
      </c>
      <c r="AU398">
        <v>2016</v>
      </c>
      <c r="AV398">
        <v>1</v>
      </c>
      <c r="AW398">
        <v>3</v>
      </c>
      <c r="AX398" t="s">
        <v>74</v>
      </c>
      <c r="AY398" t="s">
        <v>74</v>
      </c>
      <c r="AZ398" t="s">
        <v>74</v>
      </c>
      <c r="BA398" t="s">
        <v>74</v>
      </c>
      <c r="BB398" t="s">
        <v>74</v>
      </c>
      <c r="BC398" t="s">
        <v>74</v>
      </c>
      <c r="BD398">
        <v>27</v>
      </c>
      <c r="BE398" t="s">
        <v>7955</v>
      </c>
      <c r="BF398" t="str">
        <f>HYPERLINK("http://dx.doi.org/10.3390/fluids1030027","http://dx.doi.org/10.3390/fluids1030027")</f>
        <v>http://dx.doi.org/10.3390/fluids1030027</v>
      </c>
      <c r="BG398" t="s">
        <v>74</v>
      </c>
      <c r="BH398" t="s">
        <v>74</v>
      </c>
      <c r="BI398">
        <v>20</v>
      </c>
      <c r="BJ398" t="s">
        <v>7956</v>
      </c>
      <c r="BK398" t="s">
        <v>131</v>
      </c>
      <c r="BL398" t="s">
        <v>7957</v>
      </c>
      <c r="BM398" t="s">
        <v>7958</v>
      </c>
      <c r="BN398" t="s">
        <v>74</v>
      </c>
      <c r="BO398" t="s">
        <v>1339</v>
      </c>
      <c r="BP398" t="s">
        <v>74</v>
      </c>
      <c r="BQ398" t="s">
        <v>74</v>
      </c>
      <c r="BR398" t="s">
        <v>105</v>
      </c>
      <c r="BS398" t="s">
        <v>7959</v>
      </c>
      <c r="BT398" t="str">
        <f>HYPERLINK("https%3A%2F%2Fwww.webofscience.com%2Fwos%2Fwoscc%2Ffull-record%2FWOS:000418747400008","View Full Record in Web of Science")</f>
        <v>View Full Record in Web of Science</v>
      </c>
    </row>
    <row r="399" spans="1:72" x14ac:dyDescent="0.15">
      <c r="A399" t="s">
        <v>72</v>
      </c>
      <c r="B399" t="s">
        <v>7960</v>
      </c>
      <c r="C399" t="s">
        <v>74</v>
      </c>
      <c r="D399" t="s">
        <v>74</v>
      </c>
      <c r="E399" t="s">
        <v>74</v>
      </c>
      <c r="F399" t="s">
        <v>7961</v>
      </c>
      <c r="G399" t="s">
        <v>74</v>
      </c>
      <c r="H399" t="s">
        <v>74</v>
      </c>
      <c r="I399" t="s">
        <v>7962</v>
      </c>
      <c r="J399" t="s">
        <v>7963</v>
      </c>
      <c r="K399" t="s">
        <v>74</v>
      </c>
      <c r="L399" t="s">
        <v>74</v>
      </c>
      <c r="M399" t="s">
        <v>78</v>
      </c>
      <c r="N399" t="s">
        <v>79</v>
      </c>
      <c r="O399" t="s">
        <v>74</v>
      </c>
      <c r="P399" t="s">
        <v>74</v>
      </c>
      <c r="Q399" t="s">
        <v>74</v>
      </c>
      <c r="R399" t="s">
        <v>74</v>
      </c>
      <c r="S399" t="s">
        <v>74</v>
      </c>
      <c r="T399" t="s">
        <v>7964</v>
      </c>
      <c r="U399" t="s">
        <v>7965</v>
      </c>
      <c r="V399" t="s">
        <v>7966</v>
      </c>
      <c r="W399" t="s">
        <v>7967</v>
      </c>
      <c r="X399" t="s">
        <v>7968</v>
      </c>
      <c r="Y399" t="s">
        <v>7969</v>
      </c>
      <c r="Z399" t="s">
        <v>7970</v>
      </c>
      <c r="AA399" t="s">
        <v>7971</v>
      </c>
      <c r="AB399" t="s">
        <v>7972</v>
      </c>
      <c r="AC399" t="s">
        <v>7973</v>
      </c>
      <c r="AD399" t="s">
        <v>7974</v>
      </c>
      <c r="AE399" t="s">
        <v>7975</v>
      </c>
      <c r="AF399" t="s">
        <v>74</v>
      </c>
      <c r="AG399">
        <v>87</v>
      </c>
      <c r="AH399">
        <v>117</v>
      </c>
      <c r="AI399">
        <v>132</v>
      </c>
      <c r="AJ399">
        <v>0</v>
      </c>
      <c r="AK399">
        <v>44</v>
      </c>
      <c r="AL399" t="s">
        <v>644</v>
      </c>
      <c r="AM399" t="s">
        <v>594</v>
      </c>
      <c r="AN399" t="s">
        <v>645</v>
      </c>
      <c r="AO399" t="s">
        <v>7976</v>
      </c>
      <c r="AP399" t="s">
        <v>7977</v>
      </c>
      <c r="AQ399" t="s">
        <v>74</v>
      </c>
      <c r="AR399" t="s">
        <v>7978</v>
      </c>
      <c r="AS399" t="s">
        <v>7979</v>
      </c>
      <c r="AT399" t="s">
        <v>5678</v>
      </c>
      <c r="AU399">
        <v>2016</v>
      </c>
      <c r="AV399">
        <v>80</v>
      </c>
      <c r="AW399">
        <v>1</v>
      </c>
      <c r="AX399" t="s">
        <v>74</v>
      </c>
      <c r="AY399" t="s">
        <v>74</v>
      </c>
      <c r="AZ399" t="s">
        <v>74</v>
      </c>
      <c r="BA399" t="s">
        <v>74</v>
      </c>
      <c r="BB399">
        <v>343</v>
      </c>
      <c r="BC399">
        <v>373</v>
      </c>
      <c r="BD399" t="s">
        <v>74</v>
      </c>
      <c r="BE399" t="s">
        <v>7980</v>
      </c>
      <c r="BF399" t="str">
        <f>HYPERLINK("http://dx.doi.org/10.1007/s13225-016-0364-y","http://dx.doi.org/10.1007/s13225-016-0364-y")</f>
        <v>http://dx.doi.org/10.1007/s13225-016-0364-y</v>
      </c>
      <c r="BG399" t="s">
        <v>74</v>
      </c>
      <c r="BH399" t="s">
        <v>74</v>
      </c>
      <c r="BI399">
        <v>31</v>
      </c>
      <c r="BJ399" t="s">
        <v>7981</v>
      </c>
      <c r="BK399" t="s">
        <v>156</v>
      </c>
      <c r="BL399" t="s">
        <v>7981</v>
      </c>
      <c r="BM399" t="s">
        <v>7982</v>
      </c>
      <c r="BN399" t="s">
        <v>74</v>
      </c>
      <c r="BO399" t="s">
        <v>74</v>
      </c>
      <c r="BP399" t="s">
        <v>74</v>
      </c>
      <c r="BQ399" t="s">
        <v>74</v>
      </c>
      <c r="BR399" t="s">
        <v>105</v>
      </c>
      <c r="BS399" t="s">
        <v>7983</v>
      </c>
      <c r="BT399" t="str">
        <f>HYPERLINK("https%3A%2F%2Fwww.webofscience.com%2Fwos%2Fwoscc%2Ffull-record%2FWOS:000386665700005","View Full Record in Web of Science")</f>
        <v>View Full Record in Web of Science</v>
      </c>
    </row>
    <row r="400" spans="1:72" x14ac:dyDescent="0.15">
      <c r="A400" t="s">
        <v>72</v>
      </c>
      <c r="B400" t="s">
        <v>7984</v>
      </c>
      <c r="C400" t="s">
        <v>74</v>
      </c>
      <c r="D400" t="s">
        <v>74</v>
      </c>
      <c r="E400" t="s">
        <v>74</v>
      </c>
      <c r="F400" t="s">
        <v>7985</v>
      </c>
      <c r="G400" t="s">
        <v>74</v>
      </c>
      <c r="H400" t="s">
        <v>74</v>
      </c>
      <c r="I400" t="s">
        <v>7986</v>
      </c>
      <c r="J400" t="s">
        <v>7987</v>
      </c>
      <c r="K400" t="s">
        <v>74</v>
      </c>
      <c r="L400" t="s">
        <v>74</v>
      </c>
      <c r="M400" t="s">
        <v>78</v>
      </c>
      <c r="N400" t="s">
        <v>79</v>
      </c>
      <c r="O400" t="s">
        <v>74</v>
      </c>
      <c r="P400" t="s">
        <v>74</v>
      </c>
      <c r="Q400" t="s">
        <v>74</v>
      </c>
      <c r="R400" t="s">
        <v>74</v>
      </c>
      <c r="S400" t="s">
        <v>74</v>
      </c>
      <c r="T400" t="s">
        <v>7988</v>
      </c>
      <c r="U400" t="s">
        <v>7989</v>
      </c>
      <c r="V400" t="s">
        <v>7990</v>
      </c>
      <c r="W400" t="s">
        <v>7991</v>
      </c>
      <c r="X400" t="s">
        <v>7992</v>
      </c>
      <c r="Y400" t="s">
        <v>7993</v>
      </c>
      <c r="Z400" t="s">
        <v>7627</v>
      </c>
      <c r="AA400" t="s">
        <v>7994</v>
      </c>
      <c r="AB400" t="s">
        <v>7995</v>
      </c>
      <c r="AC400" t="s">
        <v>74</v>
      </c>
      <c r="AD400" t="s">
        <v>74</v>
      </c>
      <c r="AE400" t="s">
        <v>74</v>
      </c>
      <c r="AF400" t="s">
        <v>74</v>
      </c>
      <c r="AG400">
        <v>59</v>
      </c>
      <c r="AH400">
        <v>10</v>
      </c>
      <c r="AI400">
        <v>10</v>
      </c>
      <c r="AJ400">
        <v>1</v>
      </c>
      <c r="AK400">
        <v>19</v>
      </c>
      <c r="AL400" t="s">
        <v>3262</v>
      </c>
      <c r="AM400" t="s">
        <v>3263</v>
      </c>
      <c r="AN400" t="s">
        <v>3264</v>
      </c>
      <c r="AO400" t="s">
        <v>7996</v>
      </c>
      <c r="AP400" t="s">
        <v>7997</v>
      </c>
      <c r="AQ400" t="s">
        <v>74</v>
      </c>
      <c r="AR400" t="s">
        <v>7987</v>
      </c>
      <c r="AS400" t="s">
        <v>7998</v>
      </c>
      <c r="AT400" t="s">
        <v>5678</v>
      </c>
      <c r="AU400">
        <v>2016</v>
      </c>
      <c r="AV400">
        <v>59</v>
      </c>
      <c r="AW400">
        <v>9</v>
      </c>
      <c r="AX400" t="s">
        <v>74</v>
      </c>
      <c r="AY400" t="s">
        <v>74</v>
      </c>
      <c r="AZ400" t="s">
        <v>74</v>
      </c>
      <c r="BA400" t="s">
        <v>74</v>
      </c>
      <c r="BB400">
        <v>762</v>
      </c>
      <c r="BC400">
        <v>770</v>
      </c>
      <c r="BD400" t="s">
        <v>74</v>
      </c>
      <c r="BE400" t="s">
        <v>7999</v>
      </c>
      <c r="BF400" t="str">
        <f>HYPERLINK("http://dx.doi.org/10.1139/gen-2015-0194","http://dx.doi.org/10.1139/gen-2015-0194")</f>
        <v>http://dx.doi.org/10.1139/gen-2015-0194</v>
      </c>
      <c r="BG400" t="s">
        <v>74</v>
      </c>
      <c r="BH400" t="s">
        <v>74</v>
      </c>
      <c r="BI400">
        <v>9</v>
      </c>
      <c r="BJ400" t="s">
        <v>6296</v>
      </c>
      <c r="BK400" t="s">
        <v>156</v>
      </c>
      <c r="BL400" t="s">
        <v>6296</v>
      </c>
      <c r="BM400" t="s">
        <v>8000</v>
      </c>
      <c r="BN400">
        <v>27463035</v>
      </c>
      <c r="BO400" t="s">
        <v>895</v>
      </c>
      <c r="BP400" t="s">
        <v>74</v>
      </c>
      <c r="BQ400" t="s">
        <v>74</v>
      </c>
      <c r="BR400" t="s">
        <v>105</v>
      </c>
      <c r="BS400" t="s">
        <v>8001</v>
      </c>
      <c r="BT400" t="str">
        <f>HYPERLINK("https%3A%2F%2Fwww.webofscience.com%2Fwos%2Fwoscc%2Ffull-record%2FWOS:000383782500012","View Full Record in Web of Science")</f>
        <v>View Full Record in Web of Science</v>
      </c>
    </row>
    <row r="401" spans="1:72" x14ac:dyDescent="0.15">
      <c r="A401" t="s">
        <v>72</v>
      </c>
      <c r="B401" t="s">
        <v>8002</v>
      </c>
      <c r="C401" t="s">
        <v>74</v>
      </c>
      <c r="D401" t="s">
        <v>74</v>
      </c>
      <c r="E401" t="s">
        <v>74</v>
      </c>
      <c r="F401" t="s">
        <v>8003</v>
      </c>
      <c r="G401" t="s">
        <v>74</v>
      </c>
      <c r="H401" t="s">
        <v>74</v>
      </c>
      <c r="I401" t="s">
        <v>8004</v>
      </c>
      <c r="J401" t="s">
        <v>2488</v>
      </c>
      <c r="K401" t="s">
        <v>74</v>
      </c>
      <c r="L401" t="s">
        <v>74</v>
      </c>
      <c r="M401" t="s">
        <v>78</v>
      </c>
      <c r="N401" t="s">
        <v>79</v>
      </c>
      <c r="O401" t="s">
        <v>74</v>
      </c>
      <c r="P401" t="s">
        <v>74</v>
      </c>
      <c r="Q401" t="s">
        <v>74</v>
      </c>
      <c r="R401" t="s">
        <v>74</v>
      </c>
      <c r="S401" t="s">
        <v>74</v>
      </c>
      <c r="T401" t="s">
        <v>8005</v>
      </c>
      <c r="U401" t="s">
        <v>8006</v>
      </c>
      <c r="V401" t="s">
        <v>8007</v>
      </c>
      <c r="W401" t="s">
        <v>8008</v>
      </c>
      <c r="X401" t="s">
        <v>8009</v>
      </c>
      <c r="Y401" t="s">
        <v>8010</v>
      </c>
      <c r="Z401" t="s">
        <v>8011</v>
      </c>
      <c r="AA401" t="s">
        <v>8012</v>
      </c>
      <c r="AB401" t="s">
        <v>8013</v>
      </c>
      <c r="AC401" t="s">
        <v>8014</v>
      </c>
      <c r="AD401" t="s">
        <v>8015</v>
      </c>
      <c r="AE401" t="s">
        <v>8016</v>
      </c>
      <c r="AF401" t="s">
        <v>74</v>
      </c>
      <c r="AG401">
        <v>80</v>
      </c>
      <c r="AH401">
        <v>45</v>
      </c>
      <c r="AI401">
        <v>48</v>
      </c>
      <c r="AJ401">
        <v>0</v>
      </c>
      <c r="AK401">
        <v>46</v>
      </c>
      <c r="AL401" t="s">
        <v>2501</v>
      </c>
      <c r="AM401" t="s">
        <v>304</v>
      </c>
      <c r="AN401" t="s">
        <v>2502</v>
      </c>
      <c r="AO401" t="s">
        <v>2503</v>
      </c>
      <c r="AP401" t="s">
        <v>74</v>
      </c>
      <c r="AQ401" t="s">
        <v>74</v>
      </c>
      <c r="AR401" t="s">
        <v>2504</v>
      </c>
      <c r="AS401" t="s">
        <v>2505</v>
      </c>
      <c r="AT401" t="s">
        <v>5678</v>
      </c>
      <c r="AU401">
        <v>2016</v>
      </c>
      <c r="AV401">
        <v>8</v>
      </c>
      <c r="AW401">
        <v>9</v>
      </c>
      <c r="AX401" t="s">
        <v>74</v>
      </c>
      <c r="AY401" t="s">
        <v>74</v>
      </c>
      <c r="AZ401" t="s">
        <v>74</v>
      </c>
      <c r="BA401" t="s">
        <v>74</v>
      </c>
      <c r="BB401">
        <v>2737</v>
      </c>
      <c r="BC401">
        <v>2747</v>
      </c>
      <c r="BD401" t="s">
        <v>74</v>
      </c>
      <c r="BE401" t="s">
        <v>8017</v>
      </c>
      <c r="BF401" t="str">
        <f>HYPERLINK("http://dx.doi.org/10.1093/gbe/evw189","http://dx.doi.org/10.1093/gbe/evw189")</f>
        <v>http://dx.doi.org/10.1093/gbe/evw189</v>
      </c>
      <c r="BG401" t="s">
        <v>74</v>
      </c>
      <c r="BH401" t="s">
        <v>74</v>
      </c>
      <c r="BI401">
        <v>11</v>
      </c>
      <c r="BJ401" t="s">
        <v>379</v>
      </c>
      <c r="BK401" t="s">
        <v>156</v>
      </c>
      <c r="BL401" t="s">
        <v>379</v>
      </c>
      <c r="BM401" t="s">
        <v>8018</v>
      </c>
      <c r="BN401">
        <v>27503299</v>
      </c>
      <c r="BO401" t="s">
        <v>3908</v>
      </c>
      <c r="BP401" t="s">
        <v>74</v>
      </c>
      <c r="BQ401" t="s">
        <v>74</v>
      </c>
      <c r="BR401" t="s">
        <v>105</v>
      </c>
      <c r="BS401" t="s">
        <v>8019</v>
      </c>
      <c r="BT401" t="str">
        <f>HYPERLINK("https%3A%2F%2Fwww.webofscience.com%2Fwos%2Fwoscc%2Ffull-record%2FWOS:000384307900008","View Full Record in Web of Science")</f>
        <v>View Full Record in Web of Science</v>
      </c>
    </row>
    <row r="402" spans="1:72" x14ac:dyDescent="0.15">
      <c r="A402" t="s">
        <v>72</v>
      </c>
      <c r="B402" t="s">
        <v>8020</v>
      </c>
      <c r="C402" t="s">
        <v>74</v>
      </c>
      <c r="D402" t="s">
        <v>74</v>
      </c>
      <c r="E402" t="s">
        <v>74</v>
      </c>
      <c r="F402" t="s">
        <v>8021</v>
      </c>
      <c r="G402" t="s">
        <v>74</v>
      </c>
      <c r="H402" t="s">
        <v>74</v>
      </c>
      <c r="I402" t="s">
        <v>8022</v>
      </c>
      <c r="J402" t="s">
        <v>6042</v>
      </c>
      <c r="K402" t="s">
        <v>74</v>
      </c>
      <c r="L402" t="s">
        <v>74</v>
      </c>
      <c r="M402" t="s">
        <v>78</v>
      </c>
      <c r="N402" t="s">
        <v>79</v>
      </c>
      <c r="O402" t="s">
        <v>74</v>
      </c>
      <c r="P402" t="s">
        <v>74</v>
      </c>
      <c r="Q402" t="s">
        <v>74</v>
      </c>
      <c r="R402" t="s">
        <v>74</v>
      </c>
      <c r="S402" t="s">
        <v>74</v>
      </c>
      <c r="T402" t="s">
        <v>74</v>
      </c>
      <c r="U402" t="s">
        <v>8023</v>
      </c>
      <c r="V402" t="s">
        <v>8024</v>
      </c>
      <c r="W402" t="s">
        <v>8025</v>
      </c>
      <c r="X402" t="s">
        <v>8026</v>
      </c>
      <c r="Y402" t="s">
        <v>8027</v>
      </c>
      <c r="Z402" t="s">
        <v>8028</v>
      </c>
      <c r="AA402" t="s">
        <v>8029</v>
      </c>
      <c r="AB402" t="s">
        <v>8030</v>
      </c>
      <c r="AC402" t="s">
        <v>8031</v>
      </c>
      <c r="AD402" t="s">
        <v>6051</v>
      </c>
      <c r="AE402" t="s">
        <v>8032</v>
      </c>
      <c r="AF402" t="s">
        <v>74</v>
      </c>
      <c r="AG402">
        <v>46</v>
      </c>
      <c r="AH402">
        <v>5</v>
      </c>
      <c r="AI402">
        <v>5</v>
      </c>
      <c r="AJ402">
        <v>0</v>
      </c>
      <c r="AK402">
        <v>8</v>
      </c>
      <c r="AL402" t="s">
        <v>6053</v>
      </c>
      <c r="AM402" t="s">
        <v>594</v>
      </c>
      <c r="AN402" t="s">
        <v>6054</v>
      </c>
      <c r="AO402" t="s">
        <v>6055</v>
      </c>
      <c r="AP402" t="s">
        <v>6056</v>
      </c>
      <c r="AQ402" t="s">
        <v>74</v>
      </c>
      <c r="AR402" t="s">
        <v>6057</v>
      </c>
      <c r="AS402" t="s">
        <v>6058</v>
      </c>
      <c r="AT402" t="s">
        <v>5678</v>
      </c>
      <c r="AU402">
        <v>2016</v>
      </c>
      <c r="AV402">
        <v>56</v>
      </c>
      <c r="AW402">
        <v>5</v>
      </c>
      <c r="AX402" t="s">
        <v>74</v>
      </c>
      <c r="AY402" t="s">
        <v>74</v>
      </c>
      <c r="AZ402" t="s">
        <v>74</v>
      </c>
      <c r="BA402" t="s">
        <v>74</v>
      </c>
      <c r="BB402">
        <v>524</v>
      </c>
      <c r="BC402">
        <v>534</v>
      </c>
      <c r="BD402" t="s">
        <v>74</v>
      </c>
      <c r="BE402" t="s">
        <v>8033</v>
      </c>
      <c r="BF402" t="str">
        <f>HYPERLINK("http://dx.doi.org/10.1134/S0016793216050091","http://dx.doi.org/10.1134/S0016793216050091")</f>
        <v>http://dx.doi.org/10.1134/S0016793216050091</v>
      </c>
      <c r="BG402" t="s">
        <v>74</v>
      </c>
      <c r="BH402" t="s">
        <v>74</v>
      </c>
      <c r="BI402">
        <v>11</v>
      </c>
      <c r="BJ402" t="s">
        <v>155</v>
      </c>
      <c r="BK402" t="s">
        <v>156</v>
      </c>
      <c r="BL402" t="s">
        <v>155</v>
      </c>
      <c r="BM402" t="s">
        <v>6060</v>
      </c>
      <c r="BN402" t="s">
        <v>74</v>
      </c>
      <c r="BO402" t="s">
        <v>74</v>
      </c>
      <c r="BP402" t="s">
        <v>74</v>
      </c>
      <c r="BQ402" t="s">
        <v>74</v>
      </c>
      <c r="BR402" t="s">
        <v>105</v>
      </c>
      <c r="BS402" t="s">
        <v>8034</v>
      </c>
      <c r="BT402" t="str">
        <f>HYPERLINK("https%3A%2F%2Fwww.webofscience.com%2Fwos%2Fwoscc%2Ffull-record%2FWOS:000386517600002","View Full Record in Web of Science")</f>
        <v>View Full Record in Web of Science</v>
      </c>
    </row>
    <row r="403" spans="1:72" x14ac:dyDescent="0.15">
      <c r="A403" t="s">
        <v>72</v>
      </c>
      <c r="B403" t="s">
        <v>8035</v>
      </c>
      <c r="C403" t="s">
        <v>74</v>
      </c>
      <c r="D403" t="s">
        <v>74</v>
      </c>
      <c r="E403" t="s">
        <v>74</v>
      </c>
      <c r="F403" t="s">
        <v>8036</v>
      </c>
      <c r="G403" t="s">
        <v>74</v>
      </c>
      <c r="H403" t="s">
        <v>74</v>
      </c>
      <c r="I403" t="s">
        <v>8037</v>
      </c>
      <c r="J403" t="s">
        <v>1088</v>
      </c>
      <c r="K403" t="s">
        <v>74</v>
      </c>
      <c r="L403" t="s">
        <v>74</v>
      </c>
      <c r="M403" t="s">
        <v>78</v>
      </c>
      <c r="N403" t="s">
        <v>79</v>
      </c>
      <c r="O403" t="s">
        <v>74</v>
      </c>
      <c r="P403" t="s">
        <v>74</v>
      </c>
      <c r="Q403" t="s">
        <v>74</v>
      </c>
      <c r="R403" t="s">
        <v>74</v>
      </c>
      <c r="S403" t="s">
        <v>74</v>
      </c>
      <c r="T403" t="s">
        <v>8038</v>
      </c>
      <c r="U403" t="s">
        <v>8039</v>
      </c>
      <c r="V403" t="s">
        <v>8040</v>
      </c>
      <c r="W403" t="s">
        <v>8041</v>
      </c>
      <c r="X403" t="s">
        <v>8042</v>
      </c>
      <c r="Y403" t="s">
        <v>8043</v>
      </c>
      <c r="Z403" t="s">
        <v>8044</v>
      </c>
      <c r="AA403" t="s">
        <v>8045</v>
      </c>
      <c r="AB403" t="s">
        <v>8046</v>
      </c>
      <c r="AC403" t="s">
        <v>8047</v>
      </c>
      <c r="AD403" t="s">
        <v>8048</v>
      </c>
      <c r="AE403" t="s">
        <v>8049</v>
      </c>
      <c r="AF403" t="s">
        <v>74</v>
      </c>
      <c r="AG403">
        <v>56</v>
      </c>
      <c r="AH403">
        <v>36</v>
      </c>
      <c r="AI403">
        <v>36</v>
      </c>
      <c r="AJ403">
        <v>1</v>
      </c>
      <c r="AK403">
        <v>13</v>
      </c>
      <c r="AL403" t="s">
        <v>149</v>
      </c>
      <c r="AM403" t="s">
        <v>123</v>
      </c>
      <c r="AN403" t="s">
        <v>150</v>
      </c>
      <c r="AO403" t="s">
        <v>1100</v>
      </c>
      <c r="AP403" t="s">
        <v>1101</v>
      </c>
      <c r="AQ403" t="s">
        <v>74</v>
      </c>
      <c r="AR403" t="s">
        <v>1102</v>
      </c>
      <c r="AS403" t="s">
        <v>1103</v>
      </c>
      <c r="AT403" t="s">
        <v>5678</v>
      </c>
      <c r="AU403">
        <v>2016</v>
      </c>
      <c r="AV403">
        <v>43</v>
      </c>
      <c r="AW403">
        <v>17</v>
      </c>
      <c r="AX403" t="s">
        <v>74</v>
      </c>
      <c r="AY403" t="s">
        <v>74</v>
      </c>
      <c r="AZ403" t="s">
        <v>74</v>
      </c>
      <c r="BA403" t="s">
        <v>74</v>
      </c>
      <c r="BB403">
        <v>9103</v>
      </c>
      <c r="BC403">
        <v>9112</v>
      </c>
      <c r="BD403" t="s">
        <v>74</v>
      </c>
      <c r="BE403" t="s">
        <v>8050</v>
      </c>
      <c r="BF403" t="str">
        <f>HYPERLINK("http://dx.doi.org/10.1002/2016GL070278","http://dx.doi.org/10.1002/2016GL070278")</f>
        <v>http://dx.doi.org/10.1002/2016GL070278</v>
      </c>
      <c r="BG403" t="s">
        <v>74</v>
      </c>
      <c r="BH403" t="s">
        <v>74</v>
      </c>
      <c r="BI403">
        <v>10</v>
      </c>
      <c r="BJ403" t="s">
        <v>352</v>
      </c>
      <c r="BK403" t="s">
        <v>156</v>
      </c>
      <c r="BL403" t="s">
        <v>177</v>
      </c>
      <c r="BM403" t="s">
        <v>6166</v>
      </c>
      <c r="BN403" t="s">
        <v>74</v>
      </c>
      <c r="BO403" t="s">
        <v>8051</v>
      </c>
      <c r="BP403" t="s">
        <v>74</v>
      </c>
      <c r="BQ403" t="s">
        <v>74</v>
      </c>
      <c r="BR403" t="s">
        <v>105</v>
      </c>
      <c r="BS403" t="s">
        <v>8052</v>
      </c>
      <c r="BT403" t="str">
        <f>HYPERLINK("https%3A%2F%2Fwww.webofscience.com%2Fwos%2Fwoscc%2Ffull-record%2FWOS:000385357200035","View Full Record in Web of Science")</f>
        <v>View Full Record in Web of Science</v>
      </c>
    </row>
    <row r="404" spans="1:72" x14ac:dyDescent="0.15">
      <c r="A404" t="s">
        <v>72</v>
      </c>
      <c r="B404" t="s">
        <v>8053</v>
      </c>
      <c r="C404" t="s">
        <v>74</v>
      </c>
      <c r="D404" t="s">
        <v>74</v>
      </c>
      <c r="E404" t="s">
        <v>74</v>
      </c>
      <c r="F404" t="s">
        <v>8054</v>
      </c>
      <c r="G404" t="s">
        <v>74</v>
      </c>
      <c r="H404" t="s">
        <v>74</v>
      </c>
      <c r="I404" t="s">
        <v>8055</v>
      </c>
      <c r="J404" t="s">
        <v>1088</v>
      </c>
      <c r="K404" t="s">
        <v>74</v>
      </c>
      <c r="L404" t="s">
        <v>74</v>
      </c>
      <c r="M404" t="s">
        <v>78</v>
      </c>
      <c r="N404" t="s">
        <v>79</v>
      </c>
      <c r="O404" t="s">
        <v>74</v>
      </c>
      <c r="P404" t="s">
        <v>74</v>
      </c>
      <c r="Q404" t="s">
        <v>74</v>
      </c>
      <c r="R404" t="s">
        <v>74</v>
      </c>
      <c r="S404" t="s">
        <v>74</v>
      </c>
      <c r="T404" t="s">
        <v>8056</v>
      </c>
      <c r="U404" t="s">
        <v>8057</v>
      </c>
      <c r="V404" t="s">
        <v>8058</v>
      </c>
      <c r="W404" t="s">
        <v>8059</v>
      </c>
      <c r="X404" t="s">
        <v>8060</v>
      </c>
      <c r="Y404" t="s">
        <v>8061</v>
      </c>
      <c r="Z404" t="s">
        <v>8062</v>
      </c>
      <c r="AA404" t="s">
        <v>8063</v>
      </c>
      <c r="AB404" t="s">
        <v>8064</v>
      </c>
      <c r="AC404" t="s">
        <v>8065</v>
      </c>
      <c r="AD404" t="s">
        <v>8066</v>
      </c>
      <c r="AE404" t="s">
        <v>8067</v>
      </c>
      <c r="AF404" t="s">
        <v>74</v>
      </c>
      <c r="AG404">
        <v>41</v>
      </c>
      <c r="AH404">
        <v>30</v>
      </c>
      <c r="AI404">
        <v>32</v>
      </c>
      <c r="AJ404">
        <v>0</v>
      </c>
      <c r="AK404">
        <v>23</v>
      </c>
      <c r="AL404" t="s">
        <v>149</v>
      </c>
      <c r="AM404" t="s">
        <v>123</v>
      </c>
      <c r="AN404" t="s">
        <v>150</v>
      </c>
      <c r="AO404" t="s">
        <v>1100</v>
      </c>
      <c r="AP404" t="s">
        <v>1101</v>
      </c>
      <c r="AQ404" t="s">
        <v>74</v>
      </c>
      <c r="AR404" t="s">
        <v>1102</v>
      </c>
      <c r="AS404" t="s">
        <v>1103</v>
      </c>
      <c r="AT404" t="s">
        <v>5678</v>
      </c>
      <c r="AU404">
        <v>2016</v>
      </c>
      <c r="AV404">
        <v>43</v>
      </c>
      <c r="AW404">
        <v>17</v>
      </c>
      <c r="AX404" t="s">
        <v>74</v>
      </c>
      <c r="AY404" t="s">
        <v>74</v>
      </c>
      <c r="AZ404" t="s">
        <v>74</v>
      </c>
      <c r="BA404" t="s">
        <v>74</v>
      </c>
      <c r="BB404">
        <v>9192</v>
      </c>
      <c r="BC404">
        <v>9199</v>
      </c>
      <c r="BD404" t="s">
        <v>74</v>
      </c>
      <c r="BE404" t="s">
        <v>8068</v>
      </c>
      <c r="BF404" t="str">
        <f>HYPERLINK("http://dx.doi.org/10.1002/2016GL069973","http://dx.doi.org/10.1002/2016GL069973")</f>
        <v>http://dx.doi.org/10.1002/2016GL069973</v>
      </c>
      <c r="BG404" t="s">
        <v>74</v>
      </c>
      <c r="BH404" t="s">
        <v>74</v>
      </c>
      <c r="BI404">
        <v>8</v>
      </c>
      <c r="BJ404" t="s">
        <v>352</v>
      </c>
      <c r="BK404" t="s">
        <v>156</v>
      </c>
      <c r="BL404" t="s">
        <v>177</v>
      </c>
      <c r="BM404" t="s">
        <v>6166</v>
      </c>
      <c r="BN404" t="s">
        <v>74</v>
      </c>
      <c r="BO404" t="s">
        <v>1002</v>
      </c>
      <c r="BP404" t="s">
        <v>74</v>
      </c>
      <c r="BQ404" t="s">
        <v>74</v>
      </c>
      <c r="BR404" t="s">
        <v>105</v>
      </c>
      <c r="BS404" t="s">
        <v>8069</v>
      </c>
      <c r="BT404" t="str">
        <f>HYPERLINK("https%3A%2F%2Fwww.webofscience.com%2Fwos%2Fwoscc%2Ffull-record%2FWOS:000385357200045","View Full Record in Web of Science")</f>
        <v>View Full Record in Web of Science</v>
      </c>
    </row>
    <row r="405" spans="1:72" x14ac:dyDescent="0.15">
      <c r="A405" t="s">
        <v>72</v>
      </c>
      <c r="B405" t="s">
        <v>8070</v>
      </c>
      <c r="C405" t="s">
        <v>74</v>
      </c>
      <c r="D405" t="s">
        <v>74</v>
      </c>
      <c r="E405" t="s">
        <v>74</v>
      </c>
      <c r="F405" t="s">
        <v>8071</v>
      </c>
      <c r="G405" t="s">
        <v>74</v>
      </c>
      <c r="H405" t="s">
        <v>74</v>
      </c>
      <c r="I405" t="s">
        <v>8072</v>
      </c>
      <c r="J405" t="s">
        <v>1088</v>
      </c>
      <c r="K405" t="s">
        <v>74</v>
      </c>
      <c r="L405" t="s">
        <v>74</v>
      </c>
      <c r="M405" t="s">
        <v>78</v>
      </c>
      <c r="N405" t="s">
        <v>79</v>
      </c>
      <c r="O405" t="s">
        <v>74</v>
      </c>
      <c r="P405" t="s">
        <v>74</v>
      </c>
      <c r="Q405" t="s">
        <v>74</v>
      </c>
      <c r="R405" t="s">
        <v>74</v>
      </c>
      <c r="S405" t="s">
        <v>74</v>
      </c>
      <c r="T405" t="s">
        <v>8073</v>
      </c>
      <c r="U405" t="s">
        <v>8074</v>
      </c>
      <c r="V405" t="s">
        <v>8075</v>
      </c>
      <c r="W405" t="s">
        <v>8076</v>
      </c>
      <c r="X405" t="s">
        <v>8077</v>
      </c>
      <c r="Y405" t="s">
        <v>8078</v>
      </c>
      <c r="Z405" t="s">
        <v>8079</v>
      </c>
      <c r="AA405" t="s">
        <v>8080</v>
      </c>
      <c r="AB405" t="s">
        <v>8081</v>
      </c>
      <c r="AC405" t="s">
        <v>8082</v>
      </c>
      <c r="AD405" t="s">
        <v>8083</v>
      </c>
      <c r="AE405" t="s">
        <v>8084</v>
      </c>
      <c r="AF405" t="s">
        <v>74</v>
      </c>
      <c r="AG405">
        <v>43</v>
      </c>
      <c r="AH405">
        <v>23</v>
      </c>
      <c r="AI405">
        <v>24</v>
      </c>
      <c r="AJ405">
        <v>1</v>
      </c>
      <c r="AK405">
        <v>15</v>
      </c>
      <c r="AL405" t="s">
        <v>149</v>
      </c>
      <c r="AM405" t="s">
        <v>123</v>
      </c>
      <c r="AN405" t="s">
        <v>150</v>
      </c>
      <c r="AO405" t="s">
        <v>1100</v>
      </c>
      <c r="AP405" t="s">
        <v>1101</v>
      </c>
      <c r="AQ405" t="s">
        <v>74</v>
      </c>
      <c r="AR405" t="s">
        <v>1102</v>
      </c>
      <c r="AS405" t="s">
        <v>1103</v>
      </c>
      <c r="AT405" t="s">
        <v>5678</v>
      </c>
      <c r="AU405">
        <v>2016</v>
      </c>
      <c r="AV405">
        <v>43</v>
      </c>
      <c r="AW405">
        <v>17</v>
      </c>
      <c r="AX405" t="s">
        <v>74</v>
      </c>
      <c r="AY405" t="s">
        <v>74</v>
      </c>
      <c r="AZ405" t="s">
        <v>74</v>
      </c>
      <c r="BA405" t="s">
        <v>74</v>
      </c>
      <c r="BB405">
        <v>9298</v>
      </c>
      <c r="BC405">
        <v>9305</v>
      </c>
      <c r="BD405" t="s">
        <v>74</v>
      </c>
      <c r="BE405" t="s">
        <v>8085</v>
      </c>
      <c r="BF405" t="str">
        <f>HYPERLINK("http://dx.doi.org/10.1002/2016GL070246","http://dx.doi.org/10.1002/2016GL070246")</f>
        <v>http://dx.doi.org/10.1002/2016GL070246</v>
      </c>
      <c r="BG405" t="s">
        <v>74</v>
      </c>
      <c r="BH405" t="s">
        <v>74</v>
      </c>
      <c r="BI405">
        <v>8</v>
      </c>
      <c r="BJ405" t="s">
        <v>352</v>
      </c>
      <c r="BK405" t="s">
        <v>156</v>
      </c>
      <c r="BL405" t="s">
        <v>177</v>
      </c>
      <c r="BM405" t="s">
        <v>6166</v>
      </c>
      <c r="BN405" t="s">
        <v>74</v>
      </c>
      <c r="BO405" t="s">
        <v>1142</v>
      </c>
      <c r="BP405" t="s">
        <v>74</v>
      </c>
      <c r="BQ405" t="s">
        <v>74</v>
      </c>
      <c r="BR405" t="s">
        <v>105</v>
      </c>
      <c r="BS405" t="s">
        <v>8086</v>
      </c>
      <c r="BT405" t="str">
        <f>HYPERLINK("https%3A%2F%2Fwww.webofscience.com%2Fwos%2Fwoscc%2Ffull-record%2FWOS:000385357200057","View Full Record in Web of Science")</f>
        <v>View Full Record in Web of Science</v>
      </c>
    </row>
    <row r="406" spans="1:72" x14ac:dyDescent="0.15">
      <c r="A406" t="s">
        <v>72</v>
      </c>
      <c r="B406" t="s">
        <v>8087</v>
      </c>
      <c r="C406" t="s">
        <v>74</v>
      </c>
      <c r="D406" t="s">
        <v>74</v>
      </c>
      <c r="E406" t="s">
        <v>74</v>
      </c>
      <c r="F406" t="s">
        <v>8088</v>
      </c>
      <c r="G406" t="s">
        <v>74</v>
      </c>
      <c r="H406" t="s">
        <v>74</v>
      </c>
      <c r="I406" t="s">
        <v>8089</v>
      </c>
      <c r="J406" t="s">
        <v>3700</v>
      </c>
      <c r="K406" t="s">
        <v>74</v>
      </c>
      <c r="L406" t="s">
        <v>74</v>
      </c>
      <c r="M406" t="s">
        <v>78</v>
      </c>
      <c r="N406" t="s">
        <v>79</v>
      </c>
      <c r="O406" t="s">
        <v>74</v>
      </c>
      <c r="P406" t="s">
        <v>74</v>
      </c>
      <c r="Q406" t="s">
        <v>74</v>
      </c>
      <c r="R406" t="s">
        <v>74</v>
      </c>
      <c r="S406" t="s">
        <v>74</v>
      </c>
      <c r="T406" t="s">
        <v>8090</v>
      </c>
      <c r="U406" t="s">
        <v>8091</v>
      </c>
      <c r="V406" t="s">
        <v>8092</v>
      </c>
      <c r="W406" t="s">
        <v>8093</v>
      </c>
      <c r="X406" t="s">
        <v>3145</v>
      </c>
      <c r="Y406" t="s">
        <v>8094</v>
      </c>
      <c r="Z406" t="s">
        <v>8095</v>
      </c>
      <c r="AA406" t="s">
        <v>74</v>
      </c>
      <c r="AB406" t="s">
        <v>8096</v>
      </c>
      <c r="AC406" t="s">
        <v>74</v>
      </c>
      <c r="AD406" t="s">
        <v>74</v>
      </c>
      <c r="AE406" t="s">
        <v>74</v>
      </c>
      <c r="AF406" t="s">
        <v>74</v>
      </c>
      <c r="AG406">
        <v>69</v>
      </c>
      <c r="AH406">
        <v>30</v>
      </c>
      <c r="AI406">
        <v>30</v>
      </c>
      <c r="AJ406">
        <v>0</v>
      </c>
      <c r="AK406">
        <v>10</v>
      </c>
      <c r="AL406" t="s">
        <v>196</v>
      </c>
      <c r="AM406" t="s">
        <v>93</v>
      </c>
      <c r="AN406" t="s">
        <v>197</v>
      </c>
      <c r="AO406" t="s">
        <v>3713</v>
      </c>
      <c r="AP406" t="s">
        <v>3714</v>
      </c>
      <c r="AQ406" t="s">
        <v>74</v>
      </c>
      <c r="AR406" t="s">
        <v>3715</v>
      </c>
      <c r="AS406" t="s">
        <v>3716</v>
      </c>
      <c r="AT406" t="s">
        <v>5678</v>
      </c>
      <c r="AU406">
        <v>2016</v>
      </c>
      <c r="AV406">
        <v>37</v>
      </c>
      <c r="AW406" t="s">
        <v>74</v>
      </c>
      <c r="AX406" t="s">
        <v>74</v>
      </c>
      <c r="AY406" t="s">
        <v>74</v>
      </c>
      <c r="AZ406" t="s">
        <v>74</v>
      </c>
      <c r="BA406" t="s">
        <v>74</v>
      </c>
      <c r="BB406">
        <v>98</v>
      </c>
      <c r="BC406">
        <v>109</v>
      </c>
      <c r="BD406" t="s">
        <v>74</v>
      </c>
      <c r="BE406" t="s">
        <v>8097</v>
      </c>
      <c r="BF406" t="str">
        <f>HYPERLINK("http://dx.doi.org/10.1016/j.gr.2016.05.015","http://dx.doi.org/10.1016/j.gr.2016.05.015")</f>
        <v>http://dx.doi.org/10.1016/j.gr.2016.05.015</v>
      </c>
      <c r="BG406" t="s">
        <v>74</v>
      </c>
      <c r="BH406" t="s">
        <v>74</v>
      </c>
      <c r="BI406">
        <v>12</v>
      </c>
      <c r="BJ406" t="s">
        <v>352</v>
      </c>
      <c r="BK406" t="s">
        <v>156</v>
      </c>
      <c r="BL406" t="s">
        <v>177</v>
      </c>
      <c r="BM406" t="s">
        <v>6427</v>
      </c>
      <c r="BN406" t="s">
        <v>74</v>
      </c>
      <c r="BO406" t="s">
        <v>805</v>
      </c>
      <c r="BP406" t="s">
        <v>74</v>
      </c>
      <c r="BQ406" t="s">
        <v>74</v>
      </c>
      <c r="BR406" t="s">
        <v>105</v>
      </c>
      <c r="BS406" t="s">
        <v>8098</v>
      </c>
      <c r="BT406" t="str">
        <f>HYPERLINK("https%3A%2F%2Fwww.webofscience.com%2Fwos%2Fwoscc%2Ffull-record%2FWOS:000384703200007","View Full Record in Web of Science")</f>
        <v>View Full Record in Web of Science</v>
      </c>
    </row>
    <row r="407" spans="1:72" x14ac:dyDescent="0.15">
      <c r="A407" t="s">
        <v>72</v>
      </c>
      <c r="B407" t="s">
        <v>8099</v>
      </c>
      <c r="C407" t="s">
        <v>74</v>
      </c>
      <c r="D407" t="s">
        <v>74</v>
      </c>
      <c r="E407" t="s">
        <v>74</v>
      </c>
      <c r="F407" t="s">
        <v>8100</v>
      </c>
      <c r="G407" t="s">
        <v>74</v>
      </c>
      <c r="H407" t="s">
        <v>74</v>
      </c>
      <c r="I407" t="s">
        <v>8101</v>
      </c>
      <c r="J407" t="s">
        <v>6607</v>
      </c>
      <c r="K407" t="s">
        <v>74</v>
      </c>
      <c r="L407" t="s">
        <v>74</v>
      </c>
      <c r="M407" t="s">
        <v>78</v>
      </c>
      <c r="N407" t="s">
        <v>79</v>
      </c>
      <c r="O407" t="s">
        <v>74</v>
      </c>
      <c r="P407" t="s">
        <v>74</v>
      </c>
      <c r="Q407" t="s">
        <v>74</v>
      </c>
      <c r="R407" t="s">
        <v>74</v>
      </c>
      <c r="S407" t="s">
        <v>74</v>
      </c>
      <c r="T407" t="s">
        <v>8102</v>
      </c>
      <c r="U407" t="s">
        <v>8103</v>
      </c>
      <c r="V407" t="s">
        <v>8104</v>
      </c>
      <c r="W407" t="s">
        <v>8105</v>
      </c>
      <c r="X407" t="s">
        <v>8106</v>
      </c>
      <c r="Y407" t="s">
        <v>8107</v>
      </c>
      <c r="Z407" t="s">
        <v>8108</v>
      </c>
      <c r="AA407" t="s">
        <v>8109</v>
      </c>
      <c r="AB407" t="s">
        <v>8110</v>
      </c>
      <c r="AC407" t="s">
        <v>8111</v>
      </c>
      <c r="AD407" t="s">
        <v>8112</v>
      </c>
      <c r="AE407" t="s">
        <v>8113</v>
      </c>
      <c r="AF407" t="s">
        <v>74</v>
      </c>
      <c r="AG407">
        <v>63</v>
      </c>
      <c r="AH407">
        <v>23</v>
      </c>
      <c r="AI407">
        <v>26</v>
      </c>
      <c r="AJ407">
        <v>3</v>
      </c>
      <c r="AK407">
        <v>6</v>
      </c>
      <c r="AL407" t="s">
        <v>2501</v>
      </c>
      <c r="AM407" t="s">
        <v>304</v>
      </c>
      <c r="AN407" t="s">
        <v>2502</v>
      </c>
      <c r="AO407" t="s">
        <v>6617</v>
      </c>
      <c r="AP407" t="s">
        <v>6618</v>
      </c>
      <c r="AQ407" t="s">
        <v>74</v>
      </c>
      <c r="AR407" t="s">
        <v>6619</v>
      </c>
      <c r="AS407" t="s">
        <v>6620</v>
      </c>
      <c r="AT407" t="s">
        <v>5678</v>
      </c>
      <c r="AU407">
        <v>2016</v>
      </c>
      <c r="AV407">
        <v>73</v>
      </c>
      <c r="AW407">
        <v>8</v>
      </c>
      <c r="AX407" t="s">
        <v>74</v>
      </c>
      <c r="AY407" t="s">
        <v>74</v>
      </c>
      <c r="AZ407" t="s">
        <v>74</v>
      </c>
      <c r="BA407" t="s">
        <v>74</v>
      </c>
      <c r="BB407">
        <v>1998</v>
      </c>
      <c r="BC407">
        <v>2008</v>
      </c>
      <c r="BD407" t="s">
        <v>74</v>
      </c>
      <c r="BE407" t="s">
        <v>8114</v>
      </c>
      <c r="BF407" t="str">
        <f>HYPERLINK("http://dx.doi.org/10.1093/icesjms/fsw057","http://dx.doi.org/10.1093/icesjms/fsw057")</f>
        <v>http://dx.doi.org/10.1093/icesjms/fsw057</v>
      </c>
      <c r="BG407" t="s">
        <v>74</v>
      </c>
      <c r="BH407" t="s">
        <v>74</v>
      </c>
      <c r="BI407">
        <v>11</v>
      </c>
      <c r="BJ407" t="s">
        <v>6623</v>
      </c>
      <c r="BK407" t="s">
        <v>156</v>
      </c>
      <c r="BL407" t="s">
        <v>6623</v>
      </c>
      <c r="BM407" t="s">
        <v>8115</v>
      </c>
      <c r="BN407" t="s">
        <v>74</v>
      </c>
      <c r="BO407" t="s">
        <v>1494</v>
      </c>
      <c r="BP407" t="s">
        <v>74</v>
      </c>
      <c r="BQ407" t="s">
        <v>74</v>
      </c>
      <c r="BR407" t="s">
        <v>105</v>
      </c>
      <c r="BS407" t="s">
        <v>8116</v>
      </c>
      <c r="BT407" t="str">
        <f>HYPERLINK("https%3A%2F%2Fwww.webofscience.com%2Fwos%2Fwoscc%2Ffull-record%2FWOS:000384300700006","View Full Record in Web of Science")</f>
        <v>View Full Record in Web of Science</v>
      </c>
    </row>
    <row r="408" spans="1:72" x14ac:dyDescent="0.15">
      <c r="A408" t="s">
        <v>72</v>
      </c>
      <c r="B408" t="s">
        <v>8117</v>
      </c>
      <c r="C408" t="s">
        <v>74</v>
      </c>
      <c r="D408" t="s">
        <v>74</v>
      </c>
      <c r="E408" t="s">
        <v>74</v>
      </c>
      <c r="F408" t="s">
        <v>8118</v>
      </c>
      <c r="G408" t="s">
        <v>74</v>
      </c>
      <c r="H408" t="s">
        <v>74</v>
      </c>
      <c r="I408" t="s">
        <v>8119</v>
      </c>
      <c r="J408" t="s">
        <v>6607</v>
      </c>
      <c r="K408" t="s">
        <v>74</v>
      </c>
      <c r="L408" t="s">
        <v>74</v>
      </c>
      <c r="M408" t="s">
        <v>78</v>
      </c>
      <c r="N408" t="s">
        <v>79</v>
      </c>
      <c r="O408" t="s">
        <v>74</v>
      </c>
      <c r="P408" t="s">
        <v>74</v>
      </c>
      <c r="Q408" t="s">
        <v>74</v>
      </c>
      <c r="R408" t="s">
        <v>74</v>
      </c>
      <c r="S408" t="s">
        <v>74</v>
      </c>
      <c r="T408" t="s">
        <v>8120</v>
      </c>
      <c r="U408" t="s">
        <v>8121</v>
      </c>
      <c r="V408" t="s">
        <v>8122</v>
      </c>
      <c r="W408" t="s">
        <v>8123</v>
      </c>
      <c r="X408" t="s">
        <v>8124</v>
      </c>
      <c r="Y408" t="s">
        <v>8125</v>
      </c>
      <c r="Z408" t="s">
        <v>8126</v>
      </c>
      <c r="AA408" t="s">
        <v>74</v>
      </c>
      <c r="AB408" t="s">
        <v>8127</v>
      </c>
      <c r="AC408" t="s">
        <v>8128</v>
      </c>
      <c r="AD408" t="s">
        <v>8129</v>
      </c>
      <c r="AE408" t="s">
        <v>8130</v>
      </c>
      <c r="AF408" t="s">
        <v>74</v>
      </c>
      <c r="AG408">
        <v>78</v>
      </c>
      <c r="AH408">
        <v>13</v>
      </c>
      <c r="AI408">
        <v>14</v>
      </c>
      <c r="AJ408">
        <v>0</v>
      </c>
      <c r="AK408">
        <v>32</v>
      </c>
      <c r="AL408" t="s">
        <v>2501</v>
      </c>
      <c r="AM408" t="s">
        <v>304</v>
      </c>
      <c r="AN408" t="s">
        <v>2502</v>
      </c>
      <c r="AO408" t="s">
        <v>6617</v>
      </c>
      <c r="AP408" t="s">
        <v>6618</v>
      </c>
      <c r="AQ408" t="s">
        <v>74</v>
      </c>
      <c r="AR408" t="s">
        <v>6619</v>
      </c>
      <c r="AS408" t="s">
        <v>6620</v>
      </c>
      <c r="AT408" t="s">
        <v>5678</v>
      </c>
      <c r="AU408">
        <v>2016</v>
      </c>
      <c r="AV408">
        <v>73</v>
      </c>
      <c r="AW408">
        <v>8</v>
      </c>
      <c r="AX408" t="s">
        <v>74</v>
      </c>
      <c r="AY408" t="s">
        <v>74</v>
      </c>
      <c r="AZ408" t="s">
        <v>74</v>
      </c>
      <c r="BA408" t="s">
        <v>74</v>
      </c>
      <c r="BB408">
        <v>2020</v>
      </c>
      <c r="BC408">
        <v>2036</v>
      </c>
      <c r="BD408" t="s">
        <v>74</v>
      </c>
      <c r="BE408" t="s">
        <v>8131</v>
      </c>
      <c r="BF408" t="str">
        <f>HYPERLINK("http://dx.doi.org/10.1093/icesjms/fsv272","http://dx.doi.org/10.1093/icesjms/fsv272")</f>
        <v>http://dx.doi.org/10.1093/icesjms/fsv272</v>
      </c>
      <c r="BG408" t="s">
        <v>74</v>
      </c>
      <c r="BH408" t="s">
        <v>74</v>
      </c>
      <c r="BI408">
        <v>17</v>
      </c>
      <c r="BJ408" t="s">
        <v>6623</v>
      </c>
      <c r="BK408" t="s">
        <v>156</v>
      </c>
      <c r="BL408" t="s">
        <v>6623</v>
      </c>
      <c r="BM408" t="s">
        <v>8115</v>
      </c>
      <c r="BN408" t="s">
        <v>74</v>
      </c>
      <c r="BO408" t="s">
        <v>3054</v>
      </c>
      <c r="BP408" t="s">
        <v>74</v>
      </c>
      <c r="BQ408" t="s">
        <v>74</v>
      </c>
      <c r="BR408" t="s">
        <v>105</v>
      </c>
      <c r="BS408" t="s">
        <v>8132</v>
      </c>
      <c r="BT408" t="str">
        <f>HYPERLINK("https%3A%2F%2Fwww.webofscience.com%2Fwos%2Fwoscc%2Ffull-record%2FWOS:000384300700008","View Full Record in Web of Science")</f>
        <v>View Full Record in Web of Science</v>
      </c>
    </row>
    <row r="409" spans="1:72" x14ac:dyDescent="0.15">
      <c r="A409" t="s">
        <v>72</v>
      </c>
      <c r="B409" t="s">
        <v>8133</v>
      </c>
      <c r="C409" t="s">
        <v>74</v>
      </c>
      <c r="D409" t="s">
        <v>74</v>
      </c>
      <c r="E409" t="s">
        <v>74</v>
      </c>
      <c r="F409" t="s">
        <v>8134</v>
      </c>
      <c r="G409" t="s">
        <v>74</v>
      </c>
      <c r="H409" t="s">
        <v>74</v>
      </c>
      <c r="I409" t="s">
        <v>8135</v>
      </c>
      <c r="J409" t="s">
        <v>6607</v>
      </c>
      <c r="K409" t="s">
        <v>74</v>
      </c>
      <c r="L409" t="s">
        <v>74</v>
      </c>
      <c r="M409" t="s">
        <v>78</v>
      </c>
      <c r="N409" t="s">
        <v>317</v>
      </c>
      <c r="O409" t="s">
        <v>74</v>
      </c>
      <c r="P409" t="s">
        <v>74</v>
      </c>
      <c r="Q409" t="s">
        <v>74</v>
      </c>
      <c r="R409" t="s">
        <v>74</v>
      </c>
      <c r="S409" t="s">
        <v>74</v>
      </c>
      <c r="T409" t="s">
        <v>8136</v>
      </c>
      <c r="U409" t="s">
        <v>8137</v>
      </c>
      <c r="V409" t="s">
        <v>8138</v>
      </c>
      <c r="W409" t="s">
        <v>8139</v>
      </c>
      <c r="X409" t="s">
        <v>8140</v>
      </c>
      <c r="Y409" t="s">
        <v>8141</v>
      </c>
      <c r="Z409" t="s">
        <v>8142</v>
      </c>
      <c r="AA409" t="s">
        <v>8143</v>
      </c>
      <c r="AB409" t="s">
        <v>8144</v>
      </c>
      <c r="AC409" t="s">
        <v>524</v>
      </c>
      <c r="AD409" t="s">
        <v>525</v>
      </c>
      <c r="AE409" t="s">
        <v>74</v>
      </c>
      <c r="AF409" t="s">
        <v>74</v>
      </c>
      <c r="AG409">
        <v>67</v>
      </c>
      <c r="AH409">
        <v>16</v>
      </c>
      <c r="AI409">
        <v>17</v>
      </c>
      <c r="AJ409">
        <v>0</v>
      </c>
      <c r="AK409">
        <v>31</v>
      </c>
      <c r="AL409" t="s">
        <v>2501</v>
      </c>
      <c r="AM409" t="s">
        <v>304</v>
      </c>
      <c r="AN409" t="s">
        <v>2502</v>
      </c>
      <c r="AO409" t="s">
        <v>6617</v>
      </c>
      <c r="AP409" t="s">
        <v>6618</v>
      </c>
      <c r="AQ409" t="s">
        <v>74</v>
      </c>
      <c r="AR409" t="s">
        <v>6619</v>
      </c>
      <c r="AS409" t="s">
        <v>6620</v>
      </c>
      <c r="AT409" t="s">
        <v>6621</v>
      </c>
      <c r="AU409">
        <v>2016</v>
      </c>
      <c r="AV409">
        <v>73</v>
      </c>
      <c r="AW409">
        <v>9</v>
      </c>
      <c r="AX409" t="s">
        <v>74</v>
      </c>
      <c r="AY409" t="s">
        <v>74</v>
      </c>
      <c r="AZ409" t="s">
        <v>74</v>
      </c>
      <c r="BA409" t="s">
        <v>74</v>
      </c>
      <c r="BB409">
        <v>2125</v>
      </c>
      <c r="BC409">
        <v>2137</v>
      </c>
      <c r="BD409" t="s">
        <v>74</v>
      </c>
      <c r="BE409" t="s">
        <v>8145</v>
      </c>
      <c r="BF409" t="str">
        <f>HYPERLINK("http://dx.doi.org/10.1093/icesjms/fsw105","http://dx.doi.org/10.1093/icesjms/fsw105")</f>
        <v>http://dx.doi.org/10.1093/icesjms/fsw105</v>
      </c>
      <c r="BG409" t="s">
        <v>74</v>
      </c>
      <c r="BH409" t="s">
        <v>74</v>
      </c>
      <c r="BI409">
        <v>13</v>
      </c>
      <c r="BJ409" t="s">
        <v>6623</v>
      </c>
      <c r="BK409" t="s">
        <v>156</v>
      </c>
      <c r="BL409" t="s">
        <v>6623</v>
      </c>
      <c r="BM409" t="s">
        <v>6624</v>
      </c>
      <c r="BN409" t="s">
        <v>74</v>
      </c>
      <c r="BO409" t="s">
        <v>459</v>
      </c>
      <c r="BP409" t="s">
        <v>74</v>
      </c>
      <c r="BQ409" t="s">
        <v>74</v>
      </c>
      <c r="BR409" t="s">
        <v>105</v>
      </c>
      <c r="BS409" t="s">
        <v>8146</v>
      </c>
      <c r="BT409" t="str">
        <f>HYPERLINK("https%3A%2F%2Fwww.webofscience.com%2Fwos%2Fwoscc%2Ffull-record%2FWOS:000384302300001","View Full Record in Web of Science")</f>
        <v>View Full Record in Web of Science</v>
      </c>
    </row>
    <row r="410" spans="1:72" x14ac:dyDescent="0.15">
      <c r="A410" t="s">
        <v>72</v>
      </c>
      <c r="B410" t="s">
        <v>8147</v>
      </c>
      <c r="C410" t="s">
        <v>74</v>
      </c>
      <c r="D410" t="s">
        <v>74</v>
      </c>
      <c r="E410" t="s">
        <v>74</v>
      </c>
      <c r="F410" t="s">
        <v>8148</v>
      </c>
      <c r="G410" t="s">
        <v>74</v>
      </c>
      <c r="H410" t="s">
        <v>74</v>
      </c>
      <c r="I410" t="s">
        <v>8149</v>
      </c>
      <c r="J410" t="s">
        <v>6607</v>
      </c>
      <c r="K410" t="s">
        <v>74</v>
      </c>
      <c r="L410" t="s">
        <v>74</v>
      </c>
      <c r="M410" t="s">
        <v>78</v>
      </c>
      <c r="N410" t="s">
        <v>79</v>
      </c>
      <c r="O410" t="s">
        <v>74</v>
      </c>
      <c r="P410" t="s">
        <v>74</v>
      </c>
      <c r="Q410" t="s">
        <v>74</v>
      </c>
      <c r="R410" t="s">
        <v>74</v>
      </c>
      <c r="S410" t="s">
        <v>74</v>
      </c>
      <c r="T410" t="s">
        <v>8150</v>
      </c>
      <c r="U410" t="s">
        <v>8151</v>
      </c>
      <c r="V410" t="s">
        <v>8152</v>
      </c>
      <c r="W410" t="s">
        <v>8153</v>
      </c>
      <c r="X410" t="s">
        <v>1347</v>
      </c>
      <c r="Y410" t="s">
        <v>8154</v>
      </c>
      <c r="Z410" t="s">
        <v>8155</v>
      </c>
      <c r="AA410" t="s">
        <v>8156</v>
      </c>
      <c r="AB410" t="s">
        <v>8157</v>
      </c>
      <c r="AC410" t="s">
        <v>8158</v>
      </c>
      <c r="AD410" t="s">
        <v>8159</v>
      </c>
      <c r="AE410" t="s">
        <v>8160</v>
      </c>
      <c r="AF410" t="s">
        <v>74</v>
      </c>
      <c r="AG410">
        <v>78</v>
      </c>
      <c r="AH410">
        <v>26</v>
      </c>
      <c r="AI410">
        <v>30</v>
      </c>
      <c r="AJ410">
        <v>0</v>
      </c>
      <c r="AK410">
        <v>38</v>
      </c>
      <c r="AL410" t="s">
        <v>2501</v>
      </c>
      <c r="AM410" t="s">
        <v>304</v>
      </c>
      <c r="AN410" t="s">
        <v>2502</v>
      </c>
      <c r="AO410" t="s">
        <v>6617</v>
      </c>
      <c r="AP410" t="s">
        <v>6618</v>
      </c>
      <c r="AQ410" t="s">
        <v>74</v>
      </c>
      <c r="AR410" t="s">
        <v>6619</v>
      </c>
      <c r="AS410" t="s">
        <v>6620</v>
      </c>
      <c r="AT410" t="s">
        <v>6621</v>
      </c>
      <c r="AU410">
        <v>2016</v>
      </c>
      <c r="AV410">
        <v>73</v>
      </c>
      <c r="AW410">
        <v>9</v>
      </c>
      <c r="AX410" t="s">
        <v>74</v>
      </c>
      <c r="AY410" t="s">
        <v>74</v>
      </c>
      <c r="AZ410" t="s">
        <v>74</v>
      </c>
      <c r="BA410" t="s">
        <v>74</v>
      </c>
      <c r="BB410">
        <v>2288</v>
      </c>
      <c r="BC410">
        <v>2301</v>
      </c>
      <c r="BD410" t="s">
        <v>74</v>
      </c>
      <c r="BE410" t="s">
        <v>8161</v>
      </c>
      <c r="BF410" t="str">
        <f>HYPERLINK("http://dx.doi.org/10.1093/icesjms/fsw097","http://dx.doi.org/10.1093/icesjms/fsw097")</f>
        <v>http://dx.doi.org/10.1093/icesjms/fsw097</v>
      </c>
      <c r="BG410" t="s">
        <v>74</v>
      </c>
      <c r="BH410" t="s">
        <v>74</v>
      </c>
      <c r="BI410">
        <v>14</v>
      </c>
      <c r="BJ410" t="s">
        <v>6623</v>
      </c>
      <c r="BK410" t="s">
        <v>156</v>
      </c>
      <c r="BL410" t="s">
        <v>6623</v>
      </c>
      <c r="BM410" t="s">
        <v>6624</v>
      </c>
      <c r="BN410" t="s">
        <v>74</v>
      </c>
      <c r="BO410" t="s">
        <v>534</v>
      </c>
      <c r="BP410" t="s">
        <v>74</v>
      </c>
      <c r="BQ410" t="s">
        <v>74</v>
      </c>
      <c r="BR410" t="s">
        <v>105</v>
      </c>
      <c r="BS410" t="s">
        <v>8162</v>
      </c>
      <c r="BT410" t="str">
        <f>HYPERLINK("https%3A%2F%2Fwww.webofscience.com%2Fwos%2Fwoscc%2Ffull-record%2FWOS:000384302300016","View Full Record in Web of Science")</f>
        <v>View Full Record in Web of Science</v>
      </c>
    </row>
    <row r="411" spans="1:72" x14ac:dyDescent="0.15">
      <c r="A411" t="s">
        <v>72</v>
      </c>
      <c r="B411" t="s">
        <v>8163</v>
      </c>
      <c r="C411" t="s">
        <v>74</v>
      </c>
      <c r="D411" t="s">
        <v>74</v>
      </c>
      <c r="E411" t="s">
        <v>74</v>
      </c>
      <c r="F411" t="s">
        <v>8164</v>
      </c>
      <c r="G411" t="s">
        <v>74</v>
      </c>
      <c r="H411" t="s">
        <v>74</v>
      </c>
      <c r="I411" t="s">
        <v>8165</v>
      </c>
      <c r="J411" t="s">
        <v>8166</v>
      </c>
      <c r="K411" t="s">
        <v>74</v>
      </c>
      <c r="L411" t="s">
        <v>74</v>
      </c>
      <c r="M411" t="s">
        <v>78</v>
      </c>
      <c r="N411" t="s">
        <v>79</v>
      </c>
      <c r="O411" t="s">
        <v>74</v>
      </c>
      <c r="P411" t="s">
        <v>74</v>
      </c>
      <c r="Q411" t="s">
        <v>74</v>
      </c>
      <c r="R411" t="s">
        <v>74</v>
      </c>
      <c r="S411" t="s">
        <v>74</v>
      </c>
      <c r="T411" t="s">
        <v>8167</v>
      </c>
      <c r="U411" t="s">
        <v>8168</v>
      </c>
      <c r="V411" t="s">
        <v>8169</v>
      </c>
      <c r="W411" t="s">
        <v>8170</v>
      </c>
      <c r="X411" t="s">
        <v>8171</v>
      </c>
      <c r="Y411" t="s">
        <v>8172</v>
      </c>
      <c r="Z411" t="s">
        <v>8173</v>
      </c>
      <c r="AA411" t="s">
        <v>8174</v>
      </c>
      <c r="AB411" t="s">
        <v>8175</v>
      </c>
      <c r="AC411" t="s">
        <v>8176</v>
      </c>
      <c r="AD411" t="s">
        <v>738</v>
      </c>
      <c r="AE411" t="s">
        <v>8177</v>
      </c>
      <c r="AF411" t="s">
        <v>74</v>
      </c>
      <c r="AG411">
        <v>65</v>
      </c>
      <c r="AH411">
        <v>7</v>
      </c>
      <c r="AI411">
        <v>7</v>
      </c>
      <c r="AJ411">
        <v>0</v>
      </c>
      <c r="AK411">
        <v>18</v>
      </c>
      <c r="AL411" t="s">
        <v>501</v>
      </c>
      <c r="AM411" t="s">
        <v>502</v>
      </c>
      <c r="AN411" t="s">
        <v>503</v>
      </c>
      <c r="AO411" t="s">
        <v>8178</v>
      </c>
      <c r="AP411" t="s">
        <v>8179</v>
      </c>
      <c r="AQ411" t="s">
        <v>74</v>
      </c>
      <c r="AR411" t="s">
        <v>8180</v>
      </c>
      <c r="AS411" t="s">
        <v>8181</v>
      </c>
      <c r="AT411" t="s">
        <v>5678</v>
      </c>
      <c r="AU411">
        <v>2016</v>
      </c>
      <c r="AV411">
        <v>43</v>
      </c>
      <c r="AW411">
        <v>9</v>
      </c>
      <c r="AX411" t="s">
        <v>74</v>
      </c>
      <c r="AY411" t="s">
        <v>74</v>
      </c>
      <c r="AZ411" t="s">
        <v>74</v>
      </c>
      <c r="BA411" t="s">
        <v>74</v>
      </c>
      <c r="BB411">
        <v>1705</v>
      </c>
      <c r="BC411">
        <v>1716</v>
      </c>
      <c r="BD411" t="s">
        <v>74</v>
      </c>
      <c r="BE411" t="s">
        <v>8182</v>
      </c>
      <c r="BF411" t="str">
        <f>HYPERLINK("http://dx.doi.org/10.1111/jbi.12764","http://dx.doi.org/10.1111/jbi.12764")</f>
        <v>http://dx.doi.org/10.1111/jbi.12764</v>
      </c>
      <c r="BG411" t="s">
        <v>74</v>
      </c>
      <c r="BH411" t="s">
        <v>74</v>
      </c>
      <c r="BI411">
        <v>12</v>
      </c>
      <c r="BJ411" t="s">
        <v>8183</v>
      </c>
      <c r="BK411" t="s">
        <v>156</v>
      </c>
      <c r="BL411" t="s">
        <v>8184</v>
      </c>
      <c r="BM411" t="s">
        <v>8185</v>
      </c>
      <c r="BN411" t="s">
        <v>74</v>
      </c>
      <c r="BO411" t="s">
        <v>74</v>
      </c>
      <c r="BP411" t="s">
        <v>74</v>
      </c>
      <c r="BQ411" t="s">
        <v>74</v>
      </c>
      <c r="BR411" t="s">
        <v>105</v>
      </c>
      <c r="BS411" t="s">
        <v>8186</v>
      </c>
      <c r="BT411" t="str">
        <f>HYPERLINK("https%3A%2F%2Fwww.webofscience.com%2Fwos%2Fwoscc%2Ffull-record%2FWOS:000383536300002","View Full Record in Web of Science")</f>
        <v>View Full Record in Web of Science</v>
      </c>
    </row>
    <row r="412" spans="1:72" x14ac:dyDescent="0.15">
      <c r="A412" t="s">
        <v>72</v>
      </c>
      <c r="B412" t="s">
        <v>8187</v>
      </c>
      <c r="C412" t="s">
        <v>74</v>
      </c>
      <c r="D412" t="s">
        <v>74</v>
      </c>
      <c r="E412" t="s">
        <v>74</v>
      </c>
      <c r="F412" t="s">
        <v>8188</v>
      </c>
      <c r="G412" t="s">
        <v>74</v>
      </c>
      <c r="H412" t="s">
        <v>74</v>
      </c>
      <c r="I412" t="s">
        <v>8189</v>
      </c>
      <c r="J412" t="s">
        <v>3036</v>
      </c>
      <c r="K412" t="s">
        <v>74</v>
      </c>
      <c r="L412" t="s">
        <v>74</v>
      </c>
      <c r="M412" t="s">
        <v>78</v>
      </c>
      <c r="N412" t="s">
        <v>79</v>
      </c>
      <c r="O412" t="s">
        <v>74</v>
      </c>
      <c r="P412" t="s">
        <v>74</v>
      </c>
      <c r="Q412" t="s">
        <v>74</v>
      </c>
      <c r="R412" t="s">
        <v>74</v>
      </c>
      <c r="S412" t="s">
        <v>74</v>
      </c>
      <c r="T412" t="s">
        <v>74</v>
      </c>
      <c r="U412" t="s">
        <v>8190</v>
      </c>
      <c r="V412" t="s">
        <v>8191</v>
      </c>
      <c r="W412" t="s">
        <v>8192</v>
      </c>
      <c r="X412" t="s">
        <v>8193</v>
      </c>
      <c r="Y412" t="s">
        <v>8194</v>
      </c>
      <c r="Z412" t="s">
        <v>8195</v>
      </c>
      <c r="AA412" t="s">
        <v>8196</v>
      </c>
      <c r="AB412" t="s">
        <v>8197</v>
      </c>
      <c r="AC412" t="s">
        <v>8198</v>
      </c>
      <c r="AD412" t="s">
        <v>8199</v>
      </c>
      <c r="AE412" t="s">
        <v>8200</v>
      </c>
      <c r="AF412" t="s">
        <v>74</v>
      </c>
      <c r="AG412">
        <v>69</v>
      </c>
      <c r="AH412">
        <v>59</v>
      </c>
      <c r="AI412">
        <v>63</v>
      </c>
      <c r="AJ412">
        <v>3</v>
      </c>
      <c r="AK412">
        <v>38</v>
      </c>
      <c r="AL412" t="s">
        <v>397</v>
      </c>
      <c r="AM412" t="s">
        <v>398</v>
      </c>
      <c r="AN412" t="s">
        <v>399</v>
      </c>
      <c r="AO412" t="s">
        <v>3048</v>
      </c>
      <c r="AP412" t="s">
        <v>3049</v>
      </c>
      <c r="AQ412" t="s">
        <v>74</v>
      </c>
      <c r="AR412" t="s">
        <v>3050</v>
      </c>
      <c r="AS412" t="s">
        <v>3051</v>
      </c>
      <c r="AT412" t="s">
        <v>7290</v>
      </c>
      <c r="AU412">
        <v>2016</v>
      </c>
      <c r="AV412">
        <v>29</v>
      </c>
      <c r="AW412">
        <v>17</v>
      </c>
      <c r="AX412" t="s">
        <v>74</v>
      </c>
      <c r="AY412" t="s">
        <v>74</v>
      </c>
      <c r="AZ412" t="s">
        <v>74</v>
      </c>
      <c r="BA412" t="s">
        <v>74</v>
      </c>
      <c r="BB412">
        <v>6109</v>
      </c>
      <c r="BC412">
        <v>6125</v>
      </c>
      <c r="BD412" t="s">
        <v>74</v>
      </c>
      <c r="BE412" t="s">
        <v>8201</v>
      </c>
      <c r="BF412" t="str">
        <f>HYPERLINK("http://dx.doi.org/10.1175/JCLI-D-15-0843.1","http://dx.doi.org/10.1175/JCLI-D-15-0843.1")</f>
        <v>http://dx.doi.org/10.1175/JCLI-D-15-0843.1</v>
      </c>
      <c r="BG412" t="s">
        <v>74</v>
      </c>
      <c r="BH412" t="s">
        <v>74</v>
      </c>
      <c r="BI412">
        <v>17</v>
      </c>
      <c r="BJ412" t="s">
        <v>2482</v>
      </c>
      <c r="BK412" t="s">
        <v>156</v>
      </c>
      <c r="BL412" t="s">
        <v>2482</v>
      </c>
      <c r="BM412" t="s">
        <v>8202</v>
      </c>
      <c r="BN412" t="s">
        <v>74</v>
      </c>
      <c r="BO412" t="s">
        <v>104</v>
      </c>
      <c r="BP412" t="s">
        <v>74</v>
      </c>
      <c r="BQ412" t="s">
        <v>74</v>
      </c>
      <c r="BR412" t="s">
        <v>105</v>
      </c>
      <c r="BS412" t="s">
        <v>8203</v>
      </c>
      <c r="BT412" t="str">
        <f>HYPERLINK("https%3A%2F%2Fwww.webofscience.com%2Fwos%2Fwoscc%2Ffull-record%2FWOS:000382801400004","View Full Record in Web of Science")</f>
        <v>View Full Record in Web of Science</v>
      </c>
    </row>
    <row r="413" spans="1:72" x14ac:dyDescent="0.15">
      <c r="A413" t="s">
        <v>72</v>
      </c>
      <c r="B413" t="s">
        <v>8204</v>
      </c>
      <c r="C413" t="s">
        <v>74</v>
      </c>
      <c r="D413" t="s">
        <v>74</v>
      </c>
      <c r="E413" t="s">
        <v>74</v>
      </c>
      <c r="F413" t="s">
        <v>8205</v>
      </c>
      <c r="G413" t="s">
        <v>74</v>
      </c>
      <c r="H413" t="s">
        <v>74</v>
      </c>
      <c r="I413" t="s">
        <v>8206</v>
      </c>
      <c r="J413" t="s">
        <v>8207</v>
      </c>
      <c r="K413" t="s">
        <v>74</v>
      </c>
      <c r="L413" t="s">
        <v>74</v>
      </c>
      <c r="M413" t="s">
        <v>78</v>
      </c>
      <c r="N413" t="s">
        <v>79</v>
      </c>
      <c r="O413" t="s">
        <v>74</v>
      </c>
      <c r="P413" t="s">
        <v>74</v>
      </c>
      <c r="Q413" t="s">
        <v>74</v>
      </c>
      <c r="R413" t="s">
        <v>74</v>
      </c>
      <c r="S413" t="s">
        <v>74</v>
      </c>
      <c r="T413" t="s">
        <v>8208</v>
      </c>
      <c r="U413" t="s">
        <v>8209</v>
      </c>
      <c r="V413" t="s">
        <v>8210</v>
      </c>
      <c r="W413" t="s">
        <v>8211</v>
      </c>
      <c r="X413" t="s">
        <v>8212</v>
      </c>
      <c r="Y413" t="s">
        <v>8213</v>
      </c>
      <c r="Z413" t="s">
        <v>8214</v>
      </c>
      <c r="AA413" t="s">
        <v>8215</v>
      </c>
      <c r="AB413" t="s">
        <v>8216</v>
      </c>
      <c r="AC413" t="s">
        <v>8217</v>
      </c>
      <c r="AD413" t="s">
        <v>8218</v>
      </c>
      <c r="AE413" t="s">
        <v>8219</v>
      </c>
      <c r="AF413" t="s">
        <v>74</v>
      </c>
      <c r="AG413">
        <v>80</v>
      </c>
      <c r="AH413">
        <v>19</v>
      </c>
      <c r="AI413">
        <v>22</v>
      </c>
      <c r="AJ413">
        <v>0</v>
      </c>
      <c r="AK413">
        <v>51</v>
      </c>
      <c r="AL413" t="s">
        <v>501</v>
      </c>
      <c r="AM413" t="s">
        <v>502</v>
      </c>
      <c r="AN413" t="s">
        <v>503</v>
      </c>
      <c r="AO413" t="s">
        <v>8220</v>
      </c>
      <c r="AP413" t="s">
        <v>8221</v>
      </c>
      <c r="AQ413" t="s">
        <v>74</v>
      </c>
      <c r="AR413" t="s">
        <v>8222</v>
      </c>
      <c r="AS413" t="s">
        <v>8223</v>
      </c>
      <c r="AT413" t="s">
        <v>5678</v>
      </c>
      <c r="AU413">
        <v>2016</v>
      </c>
      <c r="AV413">
        <v>29</v>
      </c>
      <c r="AW413">
        <v>9</v>
      </c>
      <c r="AX413" t="s">
        <v>74</v>
      </c>
      <c r="AY413" t="s">
        <v>74</v>
      </c>
      <c r="AZ413" t="s">
        <v>74</v>
      </c>
      <c r="BA413" t="s">
        <v>74</v>
      </c>
      <c r="BB413">
        <v>1667</v>
      </c>
      <c r="BC413">
        <v>1679</v>
      </c>
      <c r="BD413" t="s">
        <v>74</v>
      </c>
      <c r="BE413" t="s">
        <v>8224</v>
      </c>
      <c r="BF413" t="str">
        <f>HYPERLINK("http://dx.doi.org/10.1111/jeb.12870","http://dx.doi.org/10.1111/jeb.12870")</f>
        <v>http://dx.doi.org/10.1111/jeb.12870</v>
      </c>
      <c r="BG413" t="s">
        <v>74</v>
      </c>
      <c r="BH413" t="s">
        <v>74</v>
      </c>
      <c r="BI413">
        <v>13</v>
      </c>
      <c r="BJ413" t="s">
        <v>8225</v>
      </c>
      <c r="BK413" t="s">
        <v>156</v>
      </c>
      <c r="BL413" t="s">
        <v>8226</v>
      </c>
      <c r="BM413" t="s">
        <v>8227</v>
      </c>
      <c r="BN413">
        <v>27012933</v>
      </c>
      <c r="BO413" t="s">
        <v>534</v>
      </c>
      <c r="BP413" t="s">
        <v>74</v>
      </c>
      <c r="BQ413" t="s">
        <v>74</v>
      </c>
      <c r="BR413" t="s">
        <v>105</v>
      </c>
      <c r="BS413" t="s">
        <v>8228</v>
      </c>
      <c r="BT413" t="str">
        <f>HYPERLINK("https%3A%2F%2Fwww.webofscience.com%2Fwos%2Fwoscc%2Ffull-record%2FWOS:000384424500002","View Full Record in Web of Science")</f>
        <v>View Full Record in Web of Science</v>
      </c>
    </row>
    <row r="414" spans="1:72" x14ac:dyDescent="0.15">
      <c r="A414" t="s">
        <v>72</v>
      </c>
      <c r="B414" t="s">
        <v>8229</v>
      </c>
      <c r="C414" t="s">
        <v>74</v>
      </c>
      <c r="D414" t="s">
        <v>74</v>
      </c>
      <c r="E414" t="s">
        <v>74</v>
      </c>
      <c r="F414" t="s">
        <v>8230</v>
      </c>
      <c r="G414" t="s">
        <v>74</v>
      </c>
      <c r="H414" t="s">
        <v>74</v>
      </c>
      <c r="I414" t="s">
        <v>8231</v>
      </c>
      <c r="J414" t="s">
        <v>2512</v>
      </c>
      <c r="K414" t="s">
        <v>74</v>
      </c>
      <c r="L414" t="s">
        <v>74</v>
      </c>
      <c r="M414" t="s">
        <v>78</v>
      </c>
      <c r="N414" t="s">
        <v>79</v>
      </c>
      <c r="O414" t="s">
        <v>74</v>
      </c>
      <c r="P414" t="s">
        <v>74</v>
      </c>
      <c r="Q414" t="s">
        <v>74</v>
      </c>
      <c r="R414" t="s">
        <v>74</v>
      </c>
      <c r="S414" t="s">
        <v>74</v>
      </c>
      <c r="T414" t="s">
        <v>8232</v>
      </c>
      <c r="U414" t="s">
        <v>8233</v>
      </c>
      <c r="V414" t="s">
        <v>8234</v>
      </c>
      <c r="W414" t="s">
        <v>8235</v>
      </c>
      <c r="X414" t="s">
        <v>8236</v>
      </c>
      <c r="Y414" t="s">
        <v>8237</v>
      </c>
      <c r="Z414" t="s">
        <v>8238</v>
      </c>
      <c r="AA414" t="s">
        <v>8239</v>
      </c>
      <c r="AB414" t="s">
        <v>8240</v>
      </c>
      <c r="AC414" t="s">
        <v>8241</v>
      </c>
      <c r="AD414" t="s">
        <v>8242</v>
      </c>
      <c r="AE414" t="s">
        <v>74</v>
      </c>
      <c r="AF414" t="s">
        <v>74</v>
      </c>
      <c r="AG414">
        <v>79</v>
      </c>
      <c r="AH414">
        <v>8</v>
      </c>
      <c r="AI414">
        <v>8</v>
      </c>
      <c r="AJ414">
        <v>1</v>
      </c>
      <c r="AK414">
        <v>11</v>
      </c>
      <c r="AL414" t="s">
        <v>149</v>
      </c>
      <c r="AM414" t="s">
        <v>123</v>
      </c>
      <c r="AN414" t="s">
        <v>150</v>
      </c>
      <c r="AO414" t="s">
        <v>2525</v>
      </c>
      <c r="AP414" t="s">
        <v>2526</v>
      </c>
      <c r="AQ414" t="s">
        <v>74</v>
      </c>
      <c r="AR414" t="s">
        <v>2527</v>
      </c>
      <c r="AS414" t="s">
        <v>2528</v>
      </c>
      <c r="AT414" t="s">
        <v>5678</v>
      </c>
      <c r="AU414">
        <v>2016</v>
      </c>
      <c r="AV414">
        <v>121</v>
      </c>
      <c r="AW414">
        <v>17</v>
      </c>
      <c r="AX414" t="s">
        <v>74</v>
      </c>
      <c r="AY414" t="s">
        <v>74</v>
      </c>
      <c r="AZ414" t="s">
        <v>74</v>
      </c>
      <c r="BA414" t="s">
        <v>74</v>
      </c>
      <c r="BB414">
        <v>10029</v>
      </c>
      <c r="BC414">
        <v>10042</v>
      </c>
      <c r="BD414" t="s">
        <v>74</v>
      </c>
      <c r="BE414" t="s">
        <v>8243</v>
      </c>
      <c r="BF414" t="str">
        <f>HYPERLINK("http://dx.doi.org/10.1002/2015JD024218","http://dx.doi.org/10.1002/2015JD024218")</f>
        <v>http://dx.doi.org/10.1002/2015JD024218</v>
      </c>
      <c r="BG414" t="s">
        <v>74</v>
      </c>
      <c r="BH414" t="s">
        <v>74</v>
      </c>
      <c r="BI414">
        <v>14</v>
      </c>
      <c r="BJ414" t="s">
        <v>2482</v>
      </c>
      <c r="BK414" t="s">
        <v>156</v>
      </c>
      <c r="BL414" t="s">
        <v>2482</v>
      </c>
      <c r="BM414" t="s">
        <v>6445</v>
      </c>
      <c r="BN414" t="s">
        <v>74</v>
      </c>
      <c r="BO414" t="s">
        <v>534</v>
      </c>
      <c r="BP414" t="s">
        <v>74</v>
      </c>
      <c r="BQ414" t="s">
        <v>74</v>
      </c>
      <c r="BR414" t="s">
        <v>105</v>
      </c>
      <c r="BS414" t="s">
        <v>8244</v>
      </c>
      <c r="BT414" t="str">
        <f>HYPERLINK("https%3A%2F%2Fwww.webofscience.com%2Fwos%2Fwoscc%2Ffull-record%2FWOS:000384823000002","View Full Record in Web of Science")</f>
        <v>View Full Record in Web of Science</v>
      </c>
    </row>
    <row r="415" spans="1:72" x14ac:dyDescent="0.15">
      <c r="A415" t="s">
        <v>72</v>
      </c>
      <c r="B415" t="s">
        <v>8245</v>
      </c>
      <c r="C415" t="s">
        <v>74</v>
      </c>
      <c r="D415" t="s">
        <v>74</v>
      </c>
      <c r="E415" t="s">
        <v>74</v>
      </c>
      <c r="F415" t="s">
        <v>8246</v>
      </c>
      <c r="G415" t="s">
        <v>74</v>
      </c>
      <c r="H415" t="s">
        <v>74</v>
      </c>
      <c r="I415" t="s">
        <v>8247</v>
      </c>
      <c r="J415" t="s">
        <v>8248</v>
      </c>
      <c r="K415" t="s">
        <v>74</v>
      </c>
      <c r="L415" t="s">
        <v>74</v>
      </c>
      <c r="M415" t="s">
        <v>78</v>
      </c>
      <c r="N415" t="s">
        <v>79</v>
      </c>
      <c r="O415" t="s">
        <v>74</v>
      </c>
      <c r="P415" t="s">
        <v>74</v>
      </c>
      <c r="Q415" t="s">
        <v>74</v>
      </c>
      <c r="R415" t="s">
        <v>74</v>
      </c>
      <c r="S415" t="s">
        <v>74</v>
      </c>
      <c r="T415" t="s">
        <v>8249</v>
      </c>
      <c r="U415" t="s">
        <v>8250</v>
      </c>
      <c r="V415" t="s">
        <v>8251</v>
      </c>
      <c r="W415" t="s">
        <v>8252</v>
      </c>
      <c r="X415" t="s">
        <v>8253</v>
      </c>
      <c r="Y415" t="s">
        <v>8254</v>
      </c>
      <c r="Z415" t="s">
        <v>8255</v>
      </c>
      <c r="AA415" t="s">
        <v>8256</v>
      </c>
      <c r="AB415" t="s">
        <v>8257</v>
      </c>
      <c r="AC415" t="s">
        <v>8258</v>
      </c>
      <c r="AD415" t="s">
        <v>8259</v>
      </c>
      <c r="AE415" t="s">
        <v>8260</v>
      </c>
      <c r="AF415" t="s">
        <v>74</v>
      </c>
      <c r="AG415">
        <v>54</v>
      </c>
      <c r="AH415">
        <v>45</v>
      </c>
      <c r="AI415">
        <v>54</v>
      </c>
      <c r="AJ415">
        <v>0</v>
      </c>
      <c r="AK415">
        <v>21</v>
      </c>
      <c r="AL415" t="s">
        <v>149</v>
      </c>
      <c r="AM415" t="s">
        <v>123</v>
      </c>
      <c r="AN415" t="s">
        <v>150</v>
      </c>
      <c r="AO415" t="s">
        <v>8261</v>
      </c>
      <c r="AP415" t="s">
        <v>8262</v>
      </c>
      <c r="AQ415" t="s">
        <v>74</v>
      </c>
      <c r="AR415" t="s">
        <v>8263</v>
      </c>
      <c r="AS415" t="s">
        <v>8264</v>
      </c>
      <c r="AT415" t="s">
        <v>5678</v>
      </c>
      <c r="AU415">
        <v>2016</v>
      </c>
      <c r="AV415">
        <v>121</v>
      </c>
      <c r="AW415">
        <v>9</v>
      </c>
      <c r="AX415" t="s">
        <v>74</v>
      </c>
      <c r="AY415" t="s">
        <v>74</v>
      </c>
      <c r="AZ415" t="s">
        <v>74</v>
      </c>
      <c r="BA415" t="s">
        <v>74</v>
      </c>
      <c r="BB415">
        <v>2369</v>
      </c>
      <c r="BC415">
        <v>2389</v>
      </c>
      <c r="BD415" t="s">
        <v>74</v>
      </c>
      <c r="BE415" t="s">
        <v>8265</v>
      </c>
      <c r="BF415" t="str">
        <f>HYPERLINK("http://dx.doi.org/10.1002/2015JG003311","http://dx.doi.org/10.1002/2015JG003311")</f>
        <v>http://dx.doi.org/10.1002/2015JG003311</v>
      </c>
      <c r="BG415" t="s">
        <v>74</v>
      </c>
      <c r="BH415" t="s">
        <v>74</v>
      </c>
      <c r="BI415">
        <v>21</v>
      </c>
      <c r="BJ415" t="s">
        <v>8266</v>
      </c>
      <c r="BK415" t="s">
        <v>156</v>
      </c>
      <c r="BL415" t="s">
        <v>6224</v>
      </c>
      <c r="BM415" t="s">
        <v>8267</v>
      </c>
      <c r="BN415" t="s">
        <v>74</v>
      </c>
      <c r="BO415" t="s">
        <v>8268</v>
      </c>
      <c r="BP415" t="s">
        <v>74</v>
      </c>
      <c r="BQ415" t="s">
        <v>74</v>
      </c>
      <c r="BR415" t="s">
        <v>105</v>
      </c>
      <c r="BS415" t="s">
        <v>8269</v>
      </c>
      <c r="BT415" t="str">
        <f>HYPERLINK("https%3A%2F%2Fwww.webofscience.com%2Fwos%2Fwoscc%2Ffull-record%2FWOS:000385712800005","View Full Record in Web of Science")</f>
        <v>View Full Record in Web of Science</v>
      </c>
    </row>
    <row r="416" spans="1:72" x14ac:dyDescent="0.15">
      <c r="A416" t="s">
        <v>72</v>
      </c>
      <c r="B416" t="s">
        <v>8270</v>
      </c>
      <c r="C416" t="s">
        <v>74</v>
      </c>
      <c r="D416" t="s">
        <v>74</v>
      </c>
      <c r="E416" t="s">
        <v>74</v>
      </c>
      <c r="F416" t="s">
        <v>8271</v>
      </c>
      <c r="G416" t="s">
        <v>74</v>
      </c>
      <c r="H416" t="s">
        <v>74</v>
      </c>
      <c r="I416" t="s">
        <v>8272</v>
      </c>
      <c r="J416" t="s">
        <v>2357</v>
      </c>
      <c r="K416" t="s">
        <v>74</v>
      </c>
      <c r="L416" t="s">
        <v>74</v>
      </c>
      <c r="M416" t="s">
        <v>78</v>
      </c>
      <c r="N416" t="s">
        <v>79</v>
      </c>
      <c r="O416" t="s">
        <v>74</v>
      </c>
      <c r="P416" t="s">
        <v>74</v>
      </c>
      <c r="Q416" t="s">
        <v>74</v>
      </c>
      <c r="R416" t="s">
        <v>74</v>
      </c>
      <c r="S416" t="s">
        <v>74</v>
      </c>
      <c r="T416" t="s">
        <v>8273</v>
      </c>
      <c r="U416" t="s">
        <v>8274</v>
      </c>
      <c r="V416" t="s">
        <v>8275</v>
      </c>
      <c r="W416" t="s">
        <v>8276</v>
      </c>
      <c r="X416" t="s">
        <v>8277</v>
      </c>
      <c r="Y416" t="s">
        <v>8278</v>
      </c>
      <c r="Z416" t="s">
        <v>8279</v>
      </c>
      <c r="AA416" t="s">
        <v>8280</v>
      </c>
      <c r="AB416" t="s">
        <v>8281</v>
      </c>
      <c r="AC416" t="s">
        <v>8282</v>
      </c>
      <c r="AD416" t="s">
        <v>8283</v>
      </c>
      <c r="AE416" t="s">
        <v>8284</v>
      </c>
      <c r="AF416" t="s">
        <v>74</v>
      </c>
      <c r="AG416">
        <v>68</v>
      </c>
      <c r="AH416">
        <v>42</v>
      </c>
      <c r="AI416">
        <v>46</v>
      </c>
      <c r="AJ416">
        <v>2</v>
      </c>
      <c r="AK416">
        <v>35</v>
      </c>
      <c r="AL416" t="s">
        <v>149</v>
      </c>
      <c r="AM416" t="s">
        <v>123</v>
      </c>
      <c r="AN416" t="s">
        <v>150</v>
      </c>
      <c r="AO416" t="s">
        <v>2370</v>
      </c>
      <c r="AP416" t="s">
        <v>2371</v>
      </c>
      <c r="AQ416" t="s">
        <v>74</v>
      </c>
      <c r="AR416" t="s">
        <v>2372</v>
      </c>
      <c r="AS416" t="s">
        <v>2373</v>
      </c>
      <c r="AT416" t="s">
        <v>5678</v>
      </c>
      <c r="AU416">
        <v>2016</v>
      </c>
      <c r="AV416">
        <v>121</v>
      </c>
      <c r="AW416">
        <v>9</v>
      </c>
      <c r="AX416" t="s">
        <v>74</v>
      </c>
      <c r="AY416" t="s">
        <v>74</v>
      </c>
      <c r="AZ416" t="s">
        <v>74</v>
      </c>
      <c r="BA416" t="s">
        <v>74</v>
      </c>
      <c r="BB416">
        <v>6558</v>
      </c>
      <c r="BC416">
        <v>6582</v>
      </c>
      <c r="BD416" t="s">
        <v>74</v>
      </c>
      <c r="BE416" t="s">
        <v>8285</v>
      </c>
      <c r="BF416" t="str">
        <f>HYPERLINK("http://dx.doi.org/10.1002/2016JC011680","http://dx.doi.org/10.1002/2016JC011680")</f>
        <v>http://dx.doi.org/10.1002/2016JC011680</v>
      </c>
      <c r="BG416" t="s">
        <v>74</v>
      </c>
      <c r="BH416" t="s">
        <v>74</v>
      </c>
      <c r="BI416">
        <v>25</v>
      </c>
      <c r="BJ416" t="s">
        <v>405</v>
      </c>
      <c r="BK416" t="s">
        <v>156</v>
      </c>
      <c r="BL416" t="s">
        <v>405</v>
      </c>
      <c r="BM416" t="s">
        <v>5927</v>
      </c>
      <c r="BN416" t="s">
        <v>74</v>
      </c>
      <c r="BO416" t="s">
        <v>232</v>
      </c>
      <c r="BP416" t="s">
        <v>74</v>
      </c>
      <c r="BQ416" t="s">
        <v>74</v>
      </c>
      <c r="BR416" t="s">
        <v>105</v>
      </c>
      <c r="BS416" t="s">
        <v>8286</v>
      </c>
      <c r="BT416" t="str">
        <f>HYPERLINK("https%3A%2F%2Fwww.webofscience.com%2Fwos%2Fwoscc%2Ffull-record%2FWOS:000386913200001","View Full Record in Web of Science")</f>
        <v>View Full Record in Web of Science</v>
      </c>
    </row>
    <row r="417" spans="1:72" x14ac:dyDescent="0.15">
      <c r="A417" t="s">
        <v>72</v>
      </c>
      <c r="B417" t="s">
        <v>8287</v>
      </c>
      <c r="C417" t="s">
        <v>74</v>
      </c>
      <c r="D417" t="s">
        <v>74</v>
      </c>
      <c r="E417" t="s">
        <v>74</v>
      </c>
      <c r="F417" t="s">
        <v>8288</v>
      </c>
      <c r="G417" t="s">
        <v>74</v>
      </c>
      <c r="H417" t="s">
        <v>74</v>
      </c>
      <c r="I417" t="s">
        <v>8289</v>
      </c>
      <c r="J417" t="s">
        <v>8290</v>
      </c>
      <c r="K417" t="s">
        <v>74</v>
      </c>
      <c r="L417" t="s">
        <v>74</v>
      </c>
      <c r="M417" t="s">
        <v>78</v>
      </c>
      <c r="N417" t="s">
        <v>79</v>
      </c>
      <c r="O417" t="s">
        <v>74</v>
      </c>
      <c r="P417" t="s">
        <v>74</v>
      </c>
      <c r="Q417" t="s">
        <v>74</v>
      </c>
      <c r="R417" t="s">
        <v>74</v>
      </c>
      <c r="S417" t="s">
        <v>74</v>
      </c>
      <c r="T417" t="s">
        <v>8291</v>
      </c>
      <c r="U417" t="s">
        <v>8292</v>
      </c>
      <c r="V417" t="s">
        <v>8293</v>
      </c>
      <c r="W417" t="s">
        <v>8294</v>
      </c>
      <c r="X417" t="s">
        <v>8295</v>
      </c>
      <c r="Y417" t="s">
        <v>8296</v>
      </c>
      <c r="Z417" t="s">
        <v>8297</v>
      </c>
      <c r="AA417" t="s">
        <v>8298</v>
      </c>
      <c r="AB417" t="s">
        <v>8299</v>
      </c>
      <c r="AC417" t="s">
        <v>8300</v>
      </c>
      <c r="AD417" t="s">
        <v>8301</v>
      </c>
      <c r="AE417" t="s">
        <v>8302</v>
      </c>
      <c r="AF417" t="s">
        <v>74</v>
      </c>
      <c r="AG417">
        <v>64</v>
      </c>
      <c r="AH417">
        <v>39</v>
      </c>
      <c r="AI417">
        <v>43</v>
      </c>
      <c r="AJ417">
        <v>0</v>
      </c>
      <c r="AK417">
        <v>14</v>
      </c>
      <c r="AL417" t="s">
        <v>149</v>
      </c>
      <c r="AM417" t="s">
        <v>123</v>
      </c>
      <c r="AN417" t="s">
        <v>150</v>
      </c>
      <c r="AO417" t="s">
        <v>8303</v>
      </c>
      <c r="AP417" t="s">
        <v>8304</v>
      </c>
      <c r="AQ417" t="s">
        <v>74</v>
      </c>
      <c r="AR417" t="s">
        <v>8305</v>
      </c>
      <c r="AS417" t="s">
        <v>8306</v>
      </c>
      <c r="AT417" t="s">
        <v>5678</v>
      </c>
      <c r="AU417">
        <v>2016</v>
      </c>
      <c r="AV417">
        <v>121</v>
      </c>
      <c r="AW417">
        <v>9</v>
      </c>
      <c r="AX417" t="s">
        <v>74</v>
      </c>
      <c r="AY417" t="s">
        <v>74</v>
      </c>
      <c r="AZ417" t="s">
        <v>74</v>
      </c>
      <c r="BA417" t="s">
        <v>74</v>
      </c>
      <c r="BB417">
        <v>6947</v>
      </c>
      <c r="BC417">
        <v>6965</v>
      </c>
      <c r="BD417" t="s">
        <v>74</v>
      </c>
      <c r="BE417" t="s">
        <v>8307</v>
      </c>
      <c r="BF417" t="str">
        <f>HYPERLINK("http://dx.doi.org/10.1002/2016JB013154","http://dx.doi.org/10.1002/2016JB013154")</f>
        <v>http://dx.doi.org/10.1002/2016JB013154</v>
      </c>
      <c r="BG417" t="s">
        <v>74</v>
      </c>
      <c r="BH417" t="s">
        <v>74</v>
      </c>
      <c r="BI417">
        <v>19</v>
      </c>
      <c r="BJ417" t="s">
        <v>155</v>
      </c>
      <c r="BK417" t="s">
        <v>156</v>
      </c>
      <c r="BL417" t="s">
        <v>155</v>
      </c>
      <c r="BM417" t="s">
        <v>8308</v>
      </c>
      <c r="BN417">
        <v>27867791</v>
      </c>
      <c r="BO417" t="s">
        <v>8309</v>
      </c>
      <c r="BP417" t="s">
        <v>74</v>
      </c>
      <c r="BQ417" t="s">
        <v>74</v>
      </c>
      <c r="BR417" t="s">
        <v>105</v>
      </c>
      <c r="BS417" t="s">
        <v>8310</v>
      </c>
      <c r="BT417" t="str">
        <f>HYPERLINK("https%3A%2F%2Fwww.webofscience.com%2Fwos%2Fwoscc%2Ffull-record%2FWOS:000385845700038","View Full Record in Web of Science")</f>
        <v>View Full Record in Web of Science</v>
      </c>
    </row>
    <row r="418" spans="1:72" x14ac:dyDescent="0.15">
      <c r="A418" t="s">
        <v>72</v>
      </c>
      <c r="B418" t="s">
        <v>8311</v>
      </c>
      <c r="C418" t="s">
        <v>74</v>
      </c>
      <c r="D418" t="s">
        <v>74</v>
      </c>
      <c r="E418" t="s">
        <v>74</v>
      </c>
      <c r="F418" t="s">
        <v>8312</v>
      </c>
      <c r="G418" t="s">
        <v>74</v>
      </c>
      <c r="H418" t="s">
        <v>74</v>
      </c>
      <c r="I418" t="s">
        <v>8313</v>
      </c>
      <c r="J418" t="s">
        <v>2292</v>
      </c>
      <c r="K418" t="s">
        <v>74</v>
      </c>
      <c r="L418" t="s">
        <v>74</v>
      </c>
      <c r="M418" t="s">
        <v>78</v>
      </c>
      <c r="N418" t="s">
        <v>79</v>
      </c>
      <c r="O418" t="s">
        <v>74</v>
      </c>
      <c r="P418" t="s">
        <v>74</v>
      </c>
      <c r="Q418" t="s">
        <v>74</v>
      </c>
      <c r="R418" t="s">
        <v>74</v>
      </c>
      <c r="S418" t="s">
        <v>74</v>
      </c>
      <c r="T418" t="s">
        <v>8314</v>
      </c>
      <c r="U418" t="s">
        <v>8315</v>
      </c>
      <c r="V418" t="s">
        <v>8316</v>
      </c>
      <c r="W418" t="s">
        <v>8317</v>
      </c>
      <c r="X418" t="s">
        <v>8318</v>
      </c>
      <c r="Y418" t="s">
        <v>8319</v>
      </c>
      <c r="Z418" t="s">
        <v>8320</v>
      </c>
      <c r="AA418" t="s">
        <v>8321</v>
      </c>
      <c r="AB418" t="s">
        <v>8322</v>
      </c>
      <c r="AC418" t="s">
        <v>8323</v>
      </c>
      <c r="AD418" t="s">
        <v>8324</v>
      </c>
      <c r="AE418" t="s">
        <v>8325</v>
      </c>
      <c r="AF418" t="s">
        <v>74</v>
      </c>
      <c r="AG418">
        <v>78</v>
      </c>
      <c r="AH418">
        <v>34</v>
      </c>
      <c r="AI418">
        <v>34</v>
      </c>
      <c r="AJ418">
        <v>2</v>
      </c>
      <c r="AK418">
        <v>22</v>
      </c>
      <c r="AL418" t="s">
        <v>149</v>
      </c>
      <c r="AM418" t="s">
        <v>123</v>
      </c>
      <c r="AN418" t="s">
        <v>150</v>
      </c>
      <c r="AO418" t="s">
        <v>2303</v>
      </c>
      <c r="AP418" t="s">
        <v>2304</v>
      </c>
      <c r="AQ418" t="s">
        <v>74</v>
      </c>
      <c r="AR418" t="s">
        <v>2305</v>
      </c>
      <c r="AS418" t="s">
        <v>2306</v>
      </c>
      <c r="AT418" t="s">
        <v>5678</v>
      </c>
      <c r="AU418">
        <v>2016</v>
      </c>
      <c r="AV418">
        <v>121</v>
      </c>
      <c r="AW418">
        <v>9</v>
      </c>
      <c r="AX418" t="s">
        <v>74</v>
      </c>
      <c r="AY418" t="s">
        <v>74</v>
      </c>
      <c r="AZ418" t="s">
        <v>74</v>
      </c>
      <c r="BA418" t="s">
        <v>74</v>
      </c>
      <c r="BB418">
        <v>8554</v>
      </c>
      <c r="BC418">
        <v>8575</v>
      </c>
      <c r="BD418" t="s">
        <v>74</v>
      </c>
      <c r="BE418" t="s">
        <v>8326</v>
      </c>
      <c r="BF418" t="str">
        <f>HYPERLINK("http://dx.doi.org/10.1002/2016JA022585","http://dx.doi.org/10.1002/2016JA022585")</f>
        <v>http://dx.doi.org/10.1002/2016JA022585</v>
      </c>
      <c r="BG418" t="s">
        <v>74</v>
      </c>
      <c r="BH418" t="s">
        <v>74</v>
      </c>
      <c r="BI418">
        <v>22</v>
      </c>
      <c r="BJ418" t="s">
        <v>748</v>
      </c>
      <c r="BK418" t="s">
        <v>156</v>
      </c>
      <c r="BL418" t="s">
        <v>748</v>
      </c>
      <c r="BM418" t="s">
        <v>8327</v>
      </c>
      <c r="BN418" t="s">
        <v>74</v>
      </c>
      <c r="BO418" t="s">
        <v>8328</v>
      </c>
      <c r="BP418" t="s">
        <v>74</v>
      </c>
      <c r="BQ418" t="s">
        <v>74</v>
      </c>
      <c r="BR418" t="s">
        <v>105</v>
      </c>
      <c r="BS418" t="s">
        <v>8329</v>
      </c>
      <c r="BT418" t="str">
        <f>HYPERLINK("https%3A%2F%2Fwww.webofscience.com%2Fwos%2Fwoscc%2Ffull-record%2FWOS:000385844000026","View Full Record in Web of Science")</f>
        <v>View Full Record in Web of Science</v>
      </c>
    </row>
    <row r="419" spans="1:72" x14ac:dyDescent="0.15">
      <c r="A419" t="s">
        <v>72</v>
      </c>
      <c r="B419" t="s">
        <v>8330</v>
      </c>
      <c r="C419" t="s">
        <v>74</v>
      </c>
      <c r="D419" t="s">
        <v>74</v>
      </c>
      <c r="E419" t="s">
        <v>74</v>
      </c>
      <c r="F419" t="s">
        <v>8331</v>
      </c>
      <c r="G419" t="s">
        <v>74</v>
      </c>
      <c r="H419" t="s">
        <v>74</v>
      </c>
      <c r="I419" t="s">
        <v>8332</v>
      </c>
      <c r="J419" t="s">
        <v>2292</v>
      </c>
      <c r="K419" t="s">
        <v>74</v>
      </c>
      <c r="L419" t="s">
        <v>74</v>
      </c>
      <c r="M419" t="s">
        <v>78</v>
      </c>
      <c r="N419" t="s">
        <v>79</v>
      </c>
      <c r="O419" t="s">
        <v>74</v>
      </c>
      <c r="P419" t="s">
        <v>74</v>
      </c>
      <c r="Q419" t="s">
        <v>74</v>
      </c>
      <c r="R419" t="s">
        <v>74</v>
      </c>
      <c r="S419" t="s">
        <v>74</v>
      </c>
      <c r="T419" t="s">
        <v>8333</v>
      </c>
      <c r="U419" t="s">
        <v>8334</v>
      </c>
      <c r="V419" t="s">
        <v>8335</v>
      </c>
      <c r="W419" t="s">
        <v>8336</v>
      </c>
      <c r="X419" t="s">
        <v>8337</v>
      </c>
      <c r="Y419" t="s">
        <v>8338</v>
      </c>
      <c r="Z419" t="s">
        <v>8339</v>
      </c>
      <c r="AA419" t="s">
        <v>8340</v>
      </c>
      <c r="AB419" t="s">
        <v>8341</v>
      </c>
      <c r="AC419" t="s">
        <v>8342</v>
      </c>
      <c r="AD419" t="s">
        <v>8343</v>
      </c>
      <c r="AE419" t="s">
        <v>8344</v>
      </c>
      <c r="AF419" t="s">
        <v>74</v>
      </c>
      <c r="AG419">
        <v>58</v>
      </c>
      <c r="AH419">
        <v>30</v>
      </c>
      <c r="AI419">
        <v>32</v>
      </c>
      <c r="AJ419">
        <v>0</v>
      </c>
      <c r="AK419">
        <v>4</v>
      </c>
      <c r="AL419" t="s">
        <v>149</v>
      </c>
      <c r="AM419" t="s">
        <v>123</v>
      </c>
      <c r="AN419" t="s">
        <v>150</v>
      </c>
      <c r="AO419" t="s">
        <v>2303</v>
      </c>
      <c r="AP419" t="s">
        <v>2304</v>
      </c>
      <c r="AQ419" t="s">
        <v>74</v>
      </c>
      <c r="AR419" t="s">
        <v>2305</v>
      </c>
      <c r="AS419" t="s">
        <v>2306</v>
      </c>
      <c r="AT419" t="s">
        <v>5678</v>
      </c>
      <c r="AU419">
        <v>2016</v>
      </c>
      <c r="AV419">
        <v>121</v>
      </c>
      <c r="AW419">
        <v>9</v>
      </c>
      <c r="AX419" t="s">
        <v>74</v>
      </c>
      <c r="AY419" t="s">
        <v>74</v>
      </c>
      <c r="AZ419" t="s">
        <v>74</v>
      </c>
      <c r="BA419" t="s">
        <v>74</v>
      </c>
      <c r="BB419">
        <v>8790</v>
      </c>
      <c r="BC419">
        <v>8803</v>
      </c>
      <c r="BD419" t="s">
        <v>74</v>
      </c>
      <c r="BE419" t="s">
        <v>8345</v>
      </c>
      <c r="BF419" t="str">
        <f>HYPERLINK("http://dx.doi.org/10.1002/2016JA022968","http://dx.doi.org/10.1002/2016JA022968")</f>
        <v>http://dx.doi.org/10.1002/2016JA022968</v>
      </c>
      <c r="BG419" t="s">
        <v>74</v>
      </c>
      <c r="BH419" t="s">
        <v>74</v>
      </c>
      <c r="BI419">
        <v>14</v>
      </c>
      <c r="BJ419" t="s">
        <v>748</v>
      </c>
      <c r="BK419" t="s">
        <v>156</v>
      </c>
      <c r="BL419" t="s">
        <v>748</v>
      </c>
      <c r="BM419" t="s">
        <v>8327</v>
      </c>
      <c r="BN419" t="s">
        <v>74</v>
      </c>
      <c r="BO419" t="s">
        <v>1142</v>
      </c>
      <c r="BP419" t="s">
        <v>74</v>
      </c>
      <c r="BQ419" t="s">
        <v>74</v>
      </c>
      <c r="BR419" t="s">
        <v>105</v>
      </c>
      <c r="BS419" t="s">
        <v>8346</v>
      </c>
      <c r="BT419" t="str">
        <f>HYPERLINK("https%3A%2F%2Fwww.webofscience.com%2Fwos%2Fwoscc%2Ffull-record%2FWOS:000385844000041","View Full Record in Web of Science")</f>
        <v>View Full Record in Web of Science</v>
      </c>
    </row>
    <row r="420" spans="1:72" x14ac:dyDescent="0.15">
      <c r="A420" t="s">
        <v>72</v>
      </c>
      <c r="B420" t="s">
        <v>8347</v>
      </c>
      <c r="C420" t="s">
        <v>74</v>
      </c>
      <c r="D420" t="s">
        <v>74</v>
      </c>
      <c r="E420" t="s">
        <v>74</v>
      </c>
      <c r="F420" t="s">
        <v>8348</v>
      </c>
      <c r="G420" t="s">
        <v>74</v>
      </c>
      <c r="H420" t="s">
        <v>74</v>
      </c>
      <c r="I420" t="s">
        <v>8349</v>
      </c>
      <c r="J420" t="s">
        <v>2292</v>
      </c>
      <c r="K420" t="s">
        <v>74</v>
      </c>
      <c r="L420" t="s">
        <v>74</v>
      </c>
      <c r="M420" t="s">
        <v>78</v>
      </c>
      <c r="N420" t="s">
        <v>79</v>
      </c>
      <c r="O420" t="s">
        <v>74</v>
      </c>
      <c r="P420" t="s">
        <v>74</v>
      </c>
      <c r="Q420" t="s">
        <v>74</v>
      </c>
      <c r="R420" t="s">
        <v>74</v>
      </c>
      <c r="S420" t="s">
        <v>74</v>
      </c>
      <c r="T420" t="s">
        <v>8350</v>
      </c>
      <c r="U420" t="s">
        <v>8351</v>
      </c>
      <c r="V420" t="s">
        <v>8352</v>
      </c>
      <c r="W420" t="s">
        <v>8353</v>
      </c>
      <c r="X420" t="s">
        <v>8354</v>
      </c>
      <c r="Y420" t="s">
        <v>8355</v>
      </c>
      <c r="Z420" t="s">
        <v>8356</v>
      </c>
      <c r="AA420" t="s">
        <v>8357</v>
      </c>
      <c r="AB420" t="s">
        <v>8358</v>
      </c>
      <c r="AC420" t="s">
        <v>8359</v>
      </c>
      <c r="AD420" t="s">
        <v>8360</v>
      </c>
      <c r="AE420" t="s">
        <v>8361</v>
      </c>
      <c r="AF420" t="s">
        <v>74</v>
      </c>
      <c r="AG420">
        <v>58</v>
      </c>
      <c r="AH420">
        <v>24</v>
      </c>
      <c r="AI420">
        <v>27</v>
      </c>
      <c r="AJ420">
        <v>0</v>
      </c>
      <c r="AK420">
        <v>18</v>
      </c>
      <c r="AL420" t="s">
        <v>149</v>
      </c>
      <c r="AM420" t="s">
        <v>123</v>
      </c>
      <c r="AN420" t="s">
        <v>150</v>
      </c>
      <c r="AO420" t="s">
        <v>2303</v>
      </c>
      <c r="AP420" t="s">
        <v>2304</v>
      </c>
      <c r="AQ420" t="s">
        <v>74</v>
      </c>
      <c r="AR420" t="s">
        <v>2305</v>
      </c>
      <c r="AS420" t="s">
        <v>2306</v>
      </c>
      <c r="AT420" t="s">
        <v>5678</v>
      </c>
      <c r="AU420">
        <v>2016</v>
      </c>
      <c r="AV420">
        <v>121</v>
      </c>
      <c r="AW420">
        <v>9</v>
      </c>
      <c r="AX420" t="s">
        <v>74</v>
      </c>
      <c r="AY420" t="s">
        <v>74</v>
      </c>
      <c r="AZ420" t="s">
        <v>74</v>
      </c>
      <c r="BA420" t="s">
        <v>74</v>
      </c>
      <c r="BB420">
        <v>9063</v>
      </c>
      <c r="BC420">
        <v>9074</v>
      </c>
      <c r="BD420" t="s">
        <v>74</v>
      </c>
      <c r="BE420" t="s">
        <v>8362</v>
      </c>
      <c r="BF420" t="str">
        <f>HYPERLINK("http://dx.doi.org/10.1002/2016JA022443","http://dx.doi.org/10.1002/2016JA022443")</f>
        <v>http://dx.doi.org/10.1002/2016JA022443</v>
      </c>
      <c r="BG420" t="s">
        <v>74</v>
      </c>
      <c r="BH420" t="s">
        <v>74</v>
      </c>
      <c r="BI420">
        <v>12</v>
      </c>
      <c r="BJ420" t="s">
        <v>748</v>
      </c>
      <c r="BK420" t="s">
        <v>156</v>
      </c>
      <c r="BL420" t="s">
        <v>748</v>
      </c>
      <c r="BM420" t="s">
        <v>8327</v>
      </c>
      <c r="BN420" t="s">
        <v>74</v>
      </c>
      <c r="BO420" t="s">
        <v>8363</v>
      </c>
      <c r="BP420" t="s">
        <v>74</v>
      </c>
      <c r="BQ420" t="s">
        <v>74</v>
      </c>
      <c r="BR420" t="s">
        <v>105</v>
      </c>
      <c r="BS420" t="s">
        <v>8364</v>
      </c>
      <c r="BT420" t="str">
        <f>HYPERLINK("https%3A%2F%2Fwww.webofscience.com%2Fwos%2Fwoscc%2Ffull-record%2FWOS:000385844000059","View Full Record in Web of Science")</f>
        <v>View Full Record in Web of Science</v>
      </c>
    </row>
    <row r="421" spans="1:72" x14ac:dyDescent="0.15">
      <c r="A421" t="s">
        <v>72</v>
      </c>
      <c r="B421" t="s">
        <v>8365</v>
      </c>
      <c r="C421" t="s">
        <v>74</v>
      </c>
      <c r="D421" t="s">
        <v>74</v>
      </c>
      <c r="E421" t="s">
        <v>74</v>
      </c>
      <c r="F421" t="s">
        <v>8366</v>
      </c>
      <c r="G421" t="s">
        <v>74</v>
      </c>
      <c r="H421" t="s">
        <v>74</v>
      </c>
      <c r="I421" t="s">
        <v>8367</v>
      </c>
      <c r="J421" t="s">
        <v>2292</v>
      </c>
      <c r="K421" t="s">
        <v>74</v>
      </c>
      <c r="L421" t="s">
        <v>74</v>
      </c>
      <c r="M421" t="s">
        <v>78</v>
      </c>
      <c r="N421" t="s">
        <v>79</v>
      </c>
      <c r="O421" t="s">
        <v>74</v>
      </c>
      <c r="P421" t="s">
        <v>74</v>
      </c>
      <c r="Q421" t="s">
        <v>74</v>
      </c>
      <c r="R421" t="s">
        <v>74</v>
      </c>
      <c r="S421" t="s">
        <v>74</v>
      </c>
      <c r="T421" t="s">
        <v>8368</v>
      </c>
      <c r="U421" t="s">
        <v>8369</v>
      </c>
      <c r="V421" t="s">
        <v>8370</v>
      </c>
      <c r="W421" t="s">
        <v>8371</v>
      </c>
      <c r="X421" t="s">
        <v>8372</v>
      </c>
      <c r="Y421" t="s">
        <v>8373</v>
      </c>
      <c r="Z421" t="s">
        <v>8374</v>
      </c>
      <c r="AA421" t="s">
        <v>8375</v>
      </c>
      <c r="AB421" t="s">
        <v>8376</v>
      </c>
      <c r="AC421" t="s">
        <v>8377</v>
      </c>
      <c r="AD421" t="s">
        <v>8378</v>
      </c>
      <c r="AE421" t="s">
        <v>8379</v>
      </c>
      <c r="AF421" t="s">
        <v>74</v>
      </c>
      <c r="AG421">
        <v>53</v>
      </c>
      <c r="AH421">
        <v>27</v>
      </c>
      <c r="AI421">
        <v>30</v>
      </c>
      <c r="AJ421">
        <v>0</v>
      </c>
      <c r="AK421">
        <v>3</v>
      </c>
      <c r="AL421" t="s">
        <v>149</v>
      </c>
      <c r="AM421" t="s">
        <v>123</v>
      </c>
      <c r="AN421" t="s">
        <v>150</v>
      </c>
      <c r="AO421" t="s">
        <v>2303</v>
      </c>
      <c r="AP421" t="s">
        <v>2304</v>
      </c>
      <c r="AQ421" t="s">
        <v>74</v>
      </c>
      <c r="AR421" t="s">
        <v>2305</v>
      </c>
      <c r="AS421" t="s">
        <v>2306</v>
      </c>
      <c r="AT421" t="s">
        <v>5678</v>
      </c>
      <c r="AU421">
        <v>2016</v>
      </c>
      <c r="AV421">
        <v>121</v>
      </c>
      <c r="AW421">
        <v>9</v>
      </c>
      <c r="AX421" t="s">
        <v>74</v>
      </c>
      <c r="AY421" t="s">
        <v>74</v>
      </c>
      <c r="AZ421" t="s">
        <v>74</v>
      </c>
      <c r="BA421" t="s">
        <v>74</v>
      </c>
      <c r="BB421">
        <v>9188</v>
      </c>
      <c r="BC421">
        <v>9203</v>
      </c>
      <c r="BD421" t="s">
        <v>74</v>
      </c>
      <c r="BE421" t="s">
        <v>8380</v>
      </c>
      <c r="BF421" t="str">
        <f>HYPERLINK("http://dx.doi.org/10.1002/2016JA022943","http://dx.doi.org/10.1002/2016JA022943")</f>
        <v>http://dx.doi.org/10.1002/2016JA022943</v>
      </c>
      <c r="BG421" t="s">
        <v>74</v>
      </c>
      <c r="BH421" t="s">
        <v>74</v>
      </c>
      <c r="BI421">
        <v>16</v>
      </c>
      <c r="BJ421" t="s">
        <v>748</v>
      </c>
      <c r="BK421" t="s">
        <v>156</v>
      </c>
      <c r="BL421" t="s">
        <v>748</v>
      </c>
      <c r="BM421" t="s">
        <v>8327</v>
      </c>
      <c r="BN421" t="s">
        <v>74</v>
      </c>
      <c r="BO421" t="s">
        <v>8381</v>
      </c>
      <c r="BP421" t="s">
        <v>74</v>
      </c>
      <c r="BQ421" t="s">
        <v>74</v>
      </c>
      <c r="BR421" t="s">
        <v>105</v>
      </c>
      <c r="BS421" t="s">
        <v>8382</v>
      </c>
      <c r="BT421" t="str">
        <f>HYPERLINK("https%3A%2F%2Fwww.webofscience.com%2Fwos%2Fwoscc%2Ffull-record%2FWOS:000385844000068","View Full Record in Web of Science")</f>
        <v>View Full Record in Web of Science</v>
      </c>
    </row>
    <row r="422" spans="1:72" x14ac:dyDescent="0.15">
      <c r="A422" t="s">
        <v>72</v>
      </c>
      <c r="B422" t="s">
        <v>8383</v>
      </c>
      <c r="C422" t="s">
        <v>74</v>
      </c>
      <c r="D422" t="s">
        <v>74</v>
      </c>
      <c r="E422" t="s">
        <v>74</v>
      </c>
      <c r="F422" t="s">
        <v>8384</v>
      </c>
      <c r="G422" t="s">
        <v>74</v>
      </c>
      <c r="H422" t="s">
        <v>74</v>
      </c>
      <c r="I422" t="s">
        <v>8385</v>
      </c>
      <c r="J422" t="s">
        <v>358</v>
      </c>
      <c r="K422" t="s">
        <v>74</v>
      </c>
      <c r="L422" t="s">
        <v>74</v>
      </c>
      <c r="M422" t="s">
        <v>78</v>
      </c>
      <c r="N422" t="s">
        <v>79</v>
      </c>
      <c r="O422" t="s">
        <v>74</v>
      </c>
      <c r="P422" t="s">
        <v>74</v>
      </c>
      <c r="Q422" t="s">
        <v>74</v>
      </c>
      <c r="R422" t="s">
        <v>74</v>
      </c>
      <c r="S422" t="s">
        <v>74</v>
      </c>
      <c r="T422" t="s">
        <v>8386</v>
      </c>
      <c r="U422" t="s">
        <v>8387</v>
      </c>
      <c r="V422" t="s">
        <v>8388</v>
      </c>
      <c r="W422" t="s">
        <v>8389</v>
      </c>
      <c r="X422" t="s">
        <v>8390</v>
      </c>
      <c r="Y422" t="s">
        <v>8391</v>
      </c>
      <c r="Z422" t="s">
        <v>8392</v>
      </c>
      <c r="AA422" t="s">
        <v>8393</v>
      </c>
      <c r="AB422" t="s">
        <v>8394</v>
      </c>
      <c r="AC422" t="s">
        <v>8395</v>
      </c>
      <c r="AD422" t="s">
        <v>8396</v>
      </c>
      <c r="AE422" t="s">
        <v>8397</v>
      </c>
      <c r="AF422" t="s">
        <v>74</v>
      </c>
      <c r="AG422">
        <v>101</v>
      </c>
      <c r="AH422">
        <v>12</v>
      </c>
      <c r="AI422">
        <v>16</v>
      </c>
      <c r="AJ422">
        <v>0</v>
      </c>
      <c r="AK422">
        <v>72</v>
      </c>
      <c r="AL422" t="s">
        <v>371</v>
      </c>
      <c r="AM422" t="s">
        <v>372</v>
      </c>
      <c r="AN422" t="s">
        <v>373</v>
      </c>
      <c r="AO422" t="s">
        <v>374</v>
      </c>
      <c r="AP422" t="s">
        <v>375</v>
      </c>
      <c r="AQ422" t="s">
        <v>74</v>
      </c>
      <c r="AR422" t="s">
        <v>376</v>
      </c>
      <c r="AS422" t="s">
        <v>377</v>
      </c>
      <c r="AT422" t="s">
        <v>5678</v>
      </c>
      <c r="AU422">
        <v>2016</v>
      </c>
      <c r="AV422">
        <v>107</v>
      </c>
      <c r="AW422">
        <v>5</v>
      </c>
      <c r="AX422" t="s">
        <v>74</v>
      </c>
      <c r="AY422" t="s">
        <v>74</v>
      </c>
      <c r="AZ422" t="s">
        <v>74</v>
      </c>
      <c r="BA422" t="s">
        <v>74</v>
      </c>
      <c r="BB422">
        <v>392</v>
      </c>
      <c r="BC422">
        <v>402</v>
      </c>
      <c r="BD422" t="s">
        <v>74</v>
      </c>
      <c r="BE422" t="s">
        <v>8398</v>
      </c>
      <c r="BF422" t="str">
        <f>HYPERLINK("http://dx.doi.org/10.1093/jhered/esw015","http://dx.doi.org/10.1093/jhered/esw015")</f>
        <v>http://dx.doi.org/10.1093/jhered/esw015</v>
      </c>
      <c r="BG422" t="s">
        <v>74</v>
      </c>
      <c r="BH422" t="s">
        <v>74</v>
      </c>
      <c r="BI422">
        <v>11</v>
      </c>
      <c r="BJ422" t="s">
        <v>379</v>
      </c>
      <c r="BK422" t="s">
        <v>156</v>
      </c>
      <c r="BL422" t="s">
        <v>379</v>
      </c>
      <c r="BM422" t="s">
        <v>8399</v>
      </c>
      <c r="BN422">
        <v>26995741</v>
      </c>
      <c r="BO422" t="s">
        <v>2462</v>
      </c>
      <c r="BP422" t="s">
        <v>74</v>
      </c>
      <c r="BQ422" t="s">
        <v>74</v>
      </c>
      <c r="BR422" t="s">
        <v>105</v>
      </c>
      <c r="BS422" t="s">
        <v>8400</v>
      </c>
      <c r="BT422" t="str">
        <f>HYPERLINK("https%3A%2F%2Fwww.webofscience.com%2Fwos%2Fwoscc%2Ffull-record%2FWOS:000378642500002","View Full Record in Web of Science")</f>
        <v>View Full Record in Web of Science</v>
      </c>
    </row>
    <row r="423" spans="1:72" x14ac:dyDescent="0.15">
      <c r="A423" t="s">
        <v>72</v>
      </c>
      <c r="B423" t="s">
        <v>8401</v>
      </c>
      <c r="C423" t="s">
        <v>74</v>
      </c>
      <c r="D423" t="s">
        <v>74</v>
      </c>
      <c r="E423" t="s">
        <v>74</v>
      </c>
      <c r="F423" t="s">
        <v>8402</v>
      </c>
      <c r="G423" t="s">
        <v>74</v>
      </c>
      <c r="H423" t="s">
        <v>74</v>
      </c>
      <c r="I423" t="s">
        <v>8403</v>
      </c>
      <c r="J423" t="s">
        <v>1007</v>
      </c>
      <c r="K423" t="s">
        <v>74</v>
      </c>
      <c r="L423" t="s">
        <v>74</v>
      </c>
      <c r="M423" t="s">
        <v>78</v>
      </c>
      <c r="N423" t="s">
        <v>79</v>
      </c>
      <c r="O423" t="s">
        <v>74</v>
      </c>
      <c r="P423" t="s">
        <v>74</v>
      </c>
      <c r="Q423" t="s">
        <v>74</v>
      </c>
      <c r="R423" t="s">
        <v>74</v>
      </c>
      <c r="S423" t="s">
        <v>74</v>
      </c>
      <c r="T423" t="s">
        <v>8404</v>
      </c>
      <c r="U423" t="s">
        <v>8405</v>
      </c>
      <c r="V423" t="s">
        <v>8406</v>
      </c>
      <c r="W423" t="s">
        <v>8407</v>
      </c>
      <c r="X423" t="s">
        <v>8408</v>
      </c>
      <c r="Y423" t="s">
        <v>8409</v>
      </c>
      <c r="Z423" t="s">
        <v>8410</v>
      </c>
      <c r="AA423" t="s">
        <v>8411</v>
      </c>
      <c r="AB423" t="s">
        <v>8412</v>
      </c>
      <c r="AC423" t="s">
        <v>8413</v>
      </c>
      <c r="AD423" t="s">
        <v>8414</v>
      </c>
      <c r="AE423" t="s">
        <v>8415</v>
      </c>
      <c r="AF423" t="s">
        <v>74</v>
      </c>
      <c r="AG423">
        <v>89</v>
      </c>
      <c r="AH423">
        <v>84</v>
      </c>
      <c r="AI423">
        <v>87</v>
      </c>
      <c r="AJ423">
        <v>8</v>
      </c>
      <c r="AK423">
        <v>79</v>
      </c>
      <c r="AL423" t="s">
        <v>196</v>
      </c>
      <c r="AM423" t="s">
        <v>93</v>
      </c>
      <c r="AN423" t="s">
        <v>197</v>
      </c>
      <c r="AO423" t="s">
        <v>1020</v>
      </c>
      <c r="AP423" t="s">
        <v>1021</v>
      </c>
      <c r="AQ423" t="s">
        <v>74</v>
      </c>
      <c r="AR423" t="s">
        <v>1022</v>
      </c>
      <c r="AS423" t="s">
        <v>1023</v>
      </c>
      <c r="AT423" t="s">
        <v>5678</v>
      </c>
      <c r="AU423">
        <v>2016</v>
      </c>
      <c r="AV423">
        <v>161</v>
      </c>
      <c r="AW423" t="s">
        <v>74</v>
      </c>
      <c r="AX423" t="s">
        <v>74</v>
      </c>
      <c r="AY423" t="s">
        <v>74</v>
      </c>
      <c r="AZ423" t="s">
        <v>74</v>
      </c>
      <c r="BA423" t="s">
        <v>74</v>
      </c>
      <c r="BB423">
        <v>26</v>
      </c>
      <c r="BC423">
        <v>41</v>
      </c>
      <c r="BD423" t="s">
        <v>74</v>
      </c>
      <c r="BE423" t="s">
        <v>8416</v>
      </c>
      <c r="BF423" t="str">
        <f>HYPERLINK("http://dx.doi.org/10.1016/j.jmarsys.2016.05.003","http://dx.doi.org/10.1016/j.jmarsys.2016.05.003")</f>
        <v>http://dx.doi.org/10.1016/j.jmarsys.2016.05.003</v>
      </c>
      <c r="BG423" t="s">
        <v>74</v>
      </c>
      <c r="BH423" t="s">
        <v>74</v>
      </c>
      <c r="BI423">
        <v>16</v>
      </c>
      <c r="BJ423" t="s">
        <v>1025</v>
      </c>
      <c r="BK423" t="s">
        <v>156</v>
      </c>
      <c r="BL423" t="s">
        <v>1026</v>
      </c>
      <c r="BM423" t="s">
        <v>8417</v>
      </c>
      <c r="BN423" t="s">
        <v>74</v>
      </c>
      <c r="BO423" t="s">
        <v>8418</v>
      </c>
      <c r="BP423" t="s">
        <v>74</v>
      </c>
      <c r="BQ423" t="s">
        <v>74</v>
      </c>
      <c r="BR423" t="s">
        <v>105</v>
      </c>
      <c r="BS423" t="s">
        <v>8419</v>
      </c>
      <c r="BT423" t="str">
        <f>HYPERLINK("https%3A%2F%2Fwww.webofscience.com%2Fwos%2Fwoscc%2Ffull-record%2FWOS:000379097600003","View Full Record in Web of Science")</f>
        <v>View Full Record in Web of Science</v>
      </c>
    </row>
    <row r="424" spans="1:72" x14ac:dyDescent="0.15">
      <c r="A424" t="s">
        <v>72</v>
      </c>
      <c r="B424" t="s">
        <v>8420</v>
      </c>
      <c r="C424" t="s">
        <v>74</v>
      </c>
      <c r="D424" t="s">
        <v>74</v>
      </c>
      <c r="E424" t="s">
        <v>74</v>
      </c>
      <c r="F424" t="s">
        <v>8421</v>
      </c>
      <c r="G424" t="s">
        <v>74</v>
      </c>
      <c r="H424" t="s">
        <v>74</v>
      </c>
      <c r="I424" t="s">
        <v>8422</v>
      </c>
      <c r="J424" t="s">
        <v>8423</v>
      </c>
      <c r="K424" t="s">
        <v>74</v>
      </c>
      <c r="L424" t="s">
        <v>74</v>
      </c>
      <c r="M424" t="s">
        <v>78</v>
      </c>
      <c r="N424" t="s">
        <v>79</v>
      </c>
      <c r="O424" t="s">
        <v>74</v>
      </c>
      <c r="P424" t="s">
        <v>74</v>
      </c>
      <c r="Q424" t="s">
        <v>74</v>
      </c>
      <c r="R424" t="s">
        <v>74</v>
      </c>
      <c r="S424" t="s">
        <v>74</v>
      </c>
      <c r="T424" t="s">
        <v>8424</v>
      </c>
      <c r="U424" t="s">
        <v>8425</v>
      </c>
      <c r="V424" t="s">
        <v>8426</v>
      </c>
      <c r="W424" t="s">
        <v>8427</v>
      </c>
      <c r="X424" t="s">
        <v>8428</v>
      </c>
      <c r="Y424" t="s">
        <v>8429</v>
      </c>
      <c r="Z424" t="s">
        <v>8430</v>
      </c>
      <c r="AA424" t="s">
        <v>74</v>
      </c>
      <c r="AB424" t="s">
        <v>74</v>
      </c>
      <c r="AC424" t="s">
        <v>8431</v>
      </c>
      <c r="AD424" t="s">
        <v>525</v>
      </c>
      <c r="AE424" t="s">
        <v>74</v>
      </c>
      <c r="AF424" t="s">
        <v>74</v>
      </c>
      <c r="AG424">
        <v>14</v>
      </c>
      <c r="AH424">
        <v>0</v>
      </c>
      <c r="AI424">
        <v>0</v>
      </c>
      <c r="AJ424">
        <v>1</v>
      </c>
      <c r="AK424">
        <v>11</v>
      </c>
      <c r="AL424" t="s">
        <v>2670</v>
      </c>
      <c r="AM424" t="s">
        <v>594</v>
      </c>
      <c r="AN424" t="s">
        <v>3187</v>
      </c>
      <c r="AO424" t="s">
        <v>8432</v>
      </c>
      <c r="AP424" t="s">
        <v>8433</v>
      </c>
      <c r="AQ424" t="s">
        <v>74</v>
      </c>
      <c r="AR424" t="s">
        <v>8434</v>
      </c>
      <c r="AS424" t="s">
        <v>8435</v>
      </c>
      <c r="AT424" t="s">
        <v>5678</v>
      </c>
      <c r="AU424">
        <v>2016</v>
      </c>
      <c r="AV424">
        <v>69</v>
      </c>
      <c r="AW424">
        <v>5</v>
      </c>
      <c r="AX424" t="s">
        <v>74</v>
      </c>
      <c r="AY424" t="s">
        <v>74</v>
      </c>
      <c r="AZ424" t="s">
        <v>74</v>
      </c>
      <c r="BA424" t="s">
        <v>74</v>
      </c>
      <c r="BB424">
        <v>927</v>
      </c>
      <c r="BC424">
        <v>939</v>
      </c>
      <c r="BD424" t="s">
        <v>74</v>
      </c>
      <c r="BE424" t="s">
        <v>8436</v>
      </c>
      <c r="BF424" t="str">
        <f>HYPERLINK("http://dx.doi.org/10.1017/S0373463316000084","http://dx.doi.org/10.1017/S0373463316000084")</f>
        <v>http://dx.doi.org/10.1017/S0373463316000084</v>
      </c>
      <c r="BG424" t="s">
        <v>74</v>
      </c>
      <c r="BH424" t="s">
        <v>74</v>
      </c>
      <c r="BI424">
        <v>13</v>
      </c>
      <c r="BJ424" t="s">
        <v>8437</v>
      </c>
      <c r="BK424" t="s">
        <v>156</v>
      </c>
      <c r="BL424" t="s">
        <v>8438</v>
      </c>
      <c r="BM424" t="s">
        <v>8439</v>
      </c>
      <c r="BN424" t="s">
        <v>74</v>
      </c>
      <c r="BO424" t="s">
        <v>258</v>
      </c>
      <c r="BP424" t="s">
        <v>74</v>
      </c>
      <c r="BQ424" t="s">
        <v>74</v>
      </c>
      <c r="BR424" t="s">
        <v>105</v>
      </c>
      <c r="BS424" t="s">
        <v>8440</v>
      </c>
      <c r="BT424" t="str">
        <f>HYPERLINK("https%3A%2F%2Fwww.webofscience.com%2Fwos%2Fwoscc%2Ffull-record%2FWOS:000382505100001","View Full Record in Web of Science")</f>
        <v>View Full Record in Web of Science</v>
      </c>
    </row>
    <row r="425" spans="1:72" x14ac:dyDescent="0.15">
      <c r="A425" t="s">
        <v>72</v>
      </c>
      <c r="B425" t="s">
        <v>8441</v>
      </c>
      <c r="C425" t="s">
        <v>74</v>
      </c>
      <c r="D425" t="s">
        <v>74</v>
      </c>
      <c r="E425" t="s">
        <v>74</v>
      </c>
      <c r="F425" t="s">
        <v>8442</v>
      </c>
      <c r="G425" t="s">
        <v>74</v>
      </c>
      <c r="H425" t="s">
        <v>74</v>
      </c>
      <c r="I425" t="s">
        <v>8443</v>
      </c>
      <c r="J425" t="s">
        <v>8444</v>
      </c>
      <c r="K425" t="s">
        <v>74</v>
      </c>
      <c r="L425" t="s">
        <v>74</v>
      </c>
      <c r="M425" t="s">
        <v>78</v>
      </c>
      <c r="N425" t="s">
        <v>317</v>
      </c>
      <c r="O425" t="s">
        <v>74</v>
      </c>
      <c r="P425" t="s">
        <v>74</v>
      </c>
      <c r="Q425" t="s">
        <v>74</v>
      </c>
      <c r="R425" t="s">
        <v>74</v>
      </c>
      <c r="S425" t="s">
        <v>74</v>
      </c>
      <c r="T425" t="s">
        <v>8445</v>
      </c>
      <c r="U425" t="s">
        <v>8446</v>
      </c>
      <c r="V425" t="s">
        <v>8447</v>
      </c>
      <c r="W425" t="s">
        <v>8448</v>
      </c>
      <c r="X425" t="s">
        <v>8449</v>
      </c>
      <c r="Y425" t="s">
        <v>8450</v>
      </c>
      <c r="Z425" t="s">
        <v>8451</v>
      </c>
      <c r="AA425" t="s">
        <v>8452</v>
      </c>
      <c r="AB425" t="s">
        <v>8453</v>
      </c>
      <c r="AC425" t="s">
        <v>8454</v>
      </c>
      <c r="AD425" t="s">
        <v>8455</v>
      </c>
      <c r="AE425" t="s">
        <v>8456</v>
      </c>
      <c r="AF425" t="s">
        <v>74</v>
      </c>
      <c r="AG425">
        <v>337</v>
      </c>
      <c r="AH425">
        <v>97</v>
      </c>
      <c r="AI425">
        <v>102</v>
      </c>
      <c r="AJ425">
        <v>7</v>
      </c>
      <c r="AK425">
        <v>77</v>
      </c>
      <c r="AL425" t="s">
        <v>860</v>
      </c>
      <c r="AM425" t="s">
        <v>861</v>
      </c>
      <c r="AN425" t="s">
        <v>862</v>
      </c>
      <c r="AO425" t="s">
        <v>8457</v>
      </c>
      <c r="AP425" t="s">
        <v>8458</v>
      </c>
      <c r="AQ425" t="s">
        <v>74</v>
      </c>
      <c r="AR425" t="s">
        <v>8459</v>
      </c>
      <c r="AS425" t="s">
        <v>8460</v>
      </c>
      <c r="AT425" t="s">
        <v>5678</v>
      </c>
      <c r="AU425">
        <v>2016</v>
      </c>
      <c r="AV425">
        <v>9</v>
      </c>
      <c r="AW425" t="s">
        <v>74</v>
      </c>
      <c r="AX425" t="s">
        <v>74</v>
      </c>
      <c r="AY425">
        <v>2</v>
      </c>
      <c r="AZ425" t="s">
        <v>650</v>
      </c>
      <c r="BA425" t="s">
        <v>74</v>
      </c>
      <c r="BB425" t="s">
        <v>8461</v>
      </c>
      <c r="BC425" t="s">
        <v>8462</v>
      </c>
      <c r="BD425" t="s">
        <v>74</v>
      </c>
      <c r="BE425" t="s">
        <v>8463</v>
      </c>
      <c r="BF425" t="str">
        <f>HYPERLINK("http://dx.doi.org/10.1080/1755876X.2016.1273446","http://dx.doi.org/10.1080/1755876X.2016.1273446")</f>
        <v>http://dx.doi.org/10.1080/1755876X.2016.1273446</v>
      </c>
      <c r="BG425" t="s">
        <v>74</v>
      </c>
      <c r="BH425" t="s">
        <v>74</v>
      </c>
      <c r="BI425">
        <v>86</v>
      </c>
      <c r="BJ425" t="s">
        <v>8464</v>
      </c>
      <c r="BK425" t="s">
        <v>156</v>
      </c>
      <c r="BL425" t="s">
        <v>8464</v>
      </c>
      <c r="BM425" t="s">
        <v>8465</v>
      </c>
      <c r="BN425" t="s">
        <v>74</v>
      </c>
      <c r="BO425" t="s">
        <v>8466</v>
      </c>
      <c r="BP425" t="s">
        <v>74</v>
      </c>
      <c r="BQ425" t="s">
        <v>74</v>
      </c>
      <c r="BR425" t="s">
        <v>105</v>
      </c>
      <c r="BS425" t="s">
        <v>8467</v>
      </c>
      <c r="BT425" t="str">
        <f>HYPERLINK("https%3A%2F%2Fwww.webofscience.com%2Fwos%2Fwoscc%2Ffull-record%2FWOS:000398186100001","View Full Record in Web of Science")</f>
        <v>View Full Record in Web of Science</v>
      </c>
    </row>
    <row r="426" spans="1:72" x14ac:dyDescent="0.15">
      <c r="A426" t="s">
        <v>72</v>
      </c>
      <c r="B426" t="s">
        <v>8468</v>
      </c>
      <c r="C426" t="s">
        <v>74</v>
      </c>
      <c r="D426" t="s">
        <v>74</v>
      </c>
      <c r="E426" t="s">
        <v>74</v>
      </c>
      <c r="F426" t="s">
        <v>8469</v>
      </c>
      <c r="G426" t="s">
        <v>74</v>
      </c>
      <c r="H426" t="s">
        <v>74</v>
      </c>
      <c r="I426" t="s">
        <v>8470</v>
      </c>
      <c r="J426" t="s">
        <v>8471</v>
      </c>
      <c r="K426" t="s">
        <v>74</v>
      </c>
      <c r="L426" t="s">
        <v>74</v>
      </c>
      <c r="M426" t="s">
        <v>78</v>
      </c>
      <c r="N426" t="s">
        <v>79</v>
      </c>
      <c r="O426" t="s">
        <v>74</v>
      </c>
      <c r="P426" t="s">
        <v>74</v>
      </c>
      <c r="Q426" t="s">
        <v>74</v>
      </c>
      <c r="R426" t="s">
        <v>74</v>
      </c>
      <c r="S426" t="s">
        <v>74</v>
      </c>
      <c r="T426" t="s">
        <v>8472</v>
      </c>
      <c r="U426" t="s">
        <v>8473</v>
      </c>
      <c r="V426" t="s">
        <v>8474</v>
      </c>
      <c r="W426" t="s">
        <v>8475</v>
      </c>
      <c r="X426" t="s">
        <v>8476</v>
      </c>
      <c r="Y426" t="s">
        <v>8477</v>
      </c>
      <c r="Z426" t="s">
        <v>8478</v>
      </c>
      <c r="AA426" t="s">
        <v>8479</v>
      </c>
      <c r="AB426" t="s">
        <v>8480</v>
      </c>
      <c r="AC426" t="s">
        <v>8481</v>
      </c>
      <c r="AD426" t="s">
        <v>8482</v>
      </c>
      <c r="AE426" t="s">
        <v>8483</v>
      </c>
      <c r="AF426" t="s">
        <v>74</v>
      </c>
      <c r="AG426">
        <v>47</v>
      </c>
      <c r="AH426">
        <v>25</v>
      </c>
      <c r="AI426">
        <v>27</v>
      </c>
      <c r="AJ426">
        <v>7</v>
      </c>
      <c r="AK426">
        <v>49</v>
      </c>
      <c r="AL426" t="s">
        <v>8484</v>
      </c>
      <c r="AM426" t="s">
        <v>1256</v>
      </c>
      <c r="AN426" t="s">
        <v>8485</v>
      </c>
      <c r="AO426" t="s">
        <v>8486</v>
      </c>
      <c r="AP426" t="s">
        <v>74</v>
      </c>
      <c r="AQ426" t="s">
        <v>74</v>
      </c>
      <c r="AR426" t="s">
        <v>8487</v>
      </c>
      <c r="AS426" t="s">
        <v>8488</v>
      </c>
      <c r="AT426" t="s">
        <v>5678</v>
      </c>
      <c r="AU426">
        <v>2016</v>
      </c>
      <c r="AV426">
        <v>162</v>
      </c>
      <c r="AW426" t="s">
        <v>74</v>
      </c>
      <c r="AX426" t="s">
        <v>74</v>
      </c>
      <c r="AY426" t="s">
        <v>74</v>
      </c>
      <c r="AZ426" t="s">
        <v>74</v>
      </c>
      <c r="BA426" t="s">
        <v>74</v>
      </c>
      <c r="BB426">
        <v>412</v>
      </c>
      <c r="BC426">
        <v>420</v>
      </c>
      <c r="BD426" t="s">
        <v>74</v>
      </c>
      <c r="BE426" t="s">
        <v>8489</v>
      </c>
      <c r="BF426" t="str">
        <f>HYPERLINK("http://dx.doi.org/10.1016/j.jphotobiol.2016.07.001","http://dx.doi.org/10.1016/j.jphotobiol.2016.07.001")</f>
        <v>http://dx.doi.org/10.1016/j.jphotobiol.2016.07.001</v>
      </c>
      <c r="BG426" t="s">
        <v>74</v>
      </c>
      <c r="BH426" t="s">
        <v>74</v>
      </c>
      <c r="BI426">
        <v>9</v>
      </c>
      <c r="BJ426" t="s">
        <v>1760</v>
      </c>
      <c r="BK426" t="s">
        <v>156</v>
      </c>
      <c r="BL426" t="s">
        <v>1760</v>
      </c>
      <c r="BM426" t="s">
        <v>8490</v>
      </c>
      <c r="BN426">
        <v>27442511</v>
      </c>
      <c r="BO426" t="s">
        <v>329</v>
      </c>
      <c r="BP426" t="s">
        <v>74</v>
      </c>
      <c r="BQ426" t="s">
        <v>74</v>
      </c>
      <c r="BR426" t="s">
        <v>105</v>
      </c>
      <c r="BS426" t="s">
        <v>8491</v>
      </c>
      <c r="BT426" t="str">
        <f>HYPERLINK("https%3A%2F%2Fwww.webofscience.com%2Fwos%2Fwoscc%2Ffull-record%2FWOS:000383003800048","View Full Record in Web of Science")</f>
        <v>View Full Record in Web of Science</v>
      </c>
    </row>
    <row r="427" spans="1:72" x14ac:dyDescent="0.15">
      <c r="A427" t="s">
        <v>72</v>
      </c>
      <c r="B427" t="s">
        <v>8492</v>
      </c>
      <c r="C427" t="s">
        <v>74</v>
      </c>
      <c r="D427" t="s">
        <v>74</v>
      </c>
      <c r="E427" t="s">
        <v>74</v>
      </c>
      <c r="F427" t="s">
        <v>8493</v>
      </c>
      <c r="G427" t="s">
        <v>74</v>
      </c>
      <c r="H427" t="s">
        <v>74</v>
      </c>
      <c r="I427" t="s">
        <v>8494</v>
      </c>
      <c r="J427" t="s">
        <v>8471</v>
      </c>
      <c r="K427" t="s">
        <v>74</v>
      </c>
      <c r="L427" t="s">
        <v>74</v>
      </c>
      <c r="M427" t="s">
        <v>78</v>
      </c>
      <c r="N427" t="s">
        <v>79</v>
      </c>
      <c r="O427" t="s">
        <v>74</v>
      </c>
      <c r="P427" t="s">
        <v>74</v>
      </c>
      <c r="Q427" t="s">
        <v>74</v>
      </c>
      <c r="R427" t="s">
        <v>74</v>
      </c>
      <c r="S427" t="s">
        <v>74</v>
      </c>
      <c r="T427" t="s">
        <v>8495</v>
      </c>
      <c r="U427" t="s">
        <v>8496</v>
      </c>
      <c r="V427" t="s">
        <v>8497</v>
      </c>
      <c r="W427" t="s">
        <v>8498</v>
      </c>
      <c r="X427" t="s">
        <v>8499</v>
      </c>
      <c r="Y427" t="s">
        <v>8500</v>
      </c>
      <c r="Z427" t="s">
        <v>8501</v>
      </c>
      <c r="AA427" t="s">
        <v>8502</v>
      </c>
      <c r="AB427" t="s">
        <v>8503</v>
      </c>
      <c r="AC427" t="s">
        <v>8504</v>
      </c>
      <c r="AD427" t="s">
        <v>8505</v>
      </c>
      <c r="AE427" t="s">
        <v>8506</v>
      </c>
      <c r="AF427" t="s">
        <v>74</v>
      </c>
      <c r="AG427">
        <v>70</v>
      </c>
      <c r="AH427">
        <v>66</v>
      </c>
      <c r="AI427">
        <v>68</v>
      </c>
      <c r="AJ427">
        <v>1</v>
      </c>
      <c r="AK427">
        <v>40</v>
      </c>
      <c r="AL427" t="s">
        <v>8484</v>
      </c>
      <c r="AM427" t="s">
        <v>1256</v>
      </c>
      <c r="AN427" t="s">
        <v>8485</v>
      </c>
      <c r="AO427" t="s">
        <v>8486</v>
      </c>
      <c r="AP427" t="s">
        <v>8507</v>
      </c>
      <c r="AQ427" t="s">
        <v>74</v>
      </c>
      <c r="AR427" t="s">
        <v>8487</v>
      </c>
      <c r="AS427" t="s">
        <v>8488</v>
      </c>
      <c r="AT427" t="s">
        <v>5678</v>
      </c>
      <c r="AU427">
        <v>2016</v>
      </c>
      <c r="AV427">
        <v>162</v>
      </c>
      <c r="AW427" t="s">
        <v>74</v>
      </c>
      <c r="AX427" t="s">
        <v>74</v>
      </c>
      <c r="AY427" t="s">
        <v>74</v>
      </c>
      <c r="AZ427" t="s">
        <v>74</v>
      </c>
      <c r="BA427" t="s">
        <v>74</v>
      </c>
      <c r="BB427">
        <v>707</v>
      </c>
      <c r="BC427">
        <v>714</v>
      </c>
      <c r="BD427" t="s">
        <v>74</v>
      </c>
      <c r="BE427" t="s">
        <v>8508</v>
      </c>
      <c r="BF427" t="str">
        <f>HYPERLINK("http://dx.doi.org/10.1016/j.jphotobiol.2016.08.004","http://dx.doi.org/10.1016/j.jphotobiol.2016.08.004")</f>
        <v>http://dx.doi.org/10.1016/j.jphotobiol.2016.08.004</v>
      </c>
      <c r="BG427" t="s">
        <v>74</v>
      </c>
      <c r="BH427" t="s">
        <v>74</v>
      </c>
      <c r="BI427">
        <v>8</v>
      </c>
      <c r="BJ427" t="s">
        <v>1760</v>
      </c>
      <c r="BK427" t="s">
        <v>156</v>
      </c>
      <c r="BL427" t="s">
        <v>1760</v>
      </c>
      <c r="BM427" t="s">
        <v>8490</v>
      </c>
      <c r="BN427">
        <v>27508881</v>
      </c>
      <c r="BO427" t="s">
        <v>74</v>
      </c>
      <c r="BP427" t="s">
        <v>74</v>
      </c>
      <c r="BQ427" t="s">
        <v>74</v>
      </c>
      <c r="BR427" t="s">
        <v>105</v>
      </c>
      <c r="BS427" t="s">
        <v>8509</v>
      </c>
      <c r="BT427" t="str">
        <f>HYPERLINK("https%3A%2F%2Fwww.webofscience.com%2Fwos%2Fwoscc%2Ffull-record%2FWOS:000383003800084","View Full Record in Web of Science")</f>
        <v>View Full Record in Web of Science</v>
      </c>
    </row>
    <row r="428" spans="1:72" x14ac:dyDescent="0.15">
      <c r="A428" t="s">
        <v>72</v>
      </c>
      <c r="B428" t="s">
        <v>8510</v>
      </c>
      <c r="C428" t="s">
        <v>74</v>
      </c>
      <c r="D428" t="s">
        <v>74</v>
      </c>
      <c r="E428" t="s">
        <v>74</v>
      </c>
      <c r="F428" t="s">
        <v>8511</v>
      </c>
      <c r="G428" t="s">
        <v>74</v>
      </c>
      <c r="H428" t="s">
        <v>74</v>
      </c>
      <c r="I428" t="s">
        <v>8512</v>
      </c>
      <c r="J428" t="s">
        <v>8513</v>
      </c>
      <c r="K428" t="s">
        <v>74</v>
      </c>
      <c r="L428" t="s">
        <v>74</v>
      </c>
      <c r="M428" t="s">
        <v>78</v>
      </c>
      <c r="N428" t="s">
        <v>79</v>
      </c>
      <c r="O428" t="s">
        <v>74</v>
      </c>
      <c r="P428" t="s">
        <v>74</v>
      </c>
      <c r="Q428" t="s">
        <v>74</v>
      </c>
      <c r="R428" t="s">
        <v>74</v>
      </c>
      <c r="S428" t="s">
        <v>74</v>
      </c>
      <c r="T428" t="s">
        <v>8514</v>
      </c>
      <c r="U428" t="s">
        <v>8515</v>
      </c>
      <c r="V428" t="s">
        <v>8516</v>
      </c>
      <c r="W428" t="s">
        <v>8517</v>
      </c>
      <c r="X428" t="s">
        <v>8518</v>
      </c>
      <c r="Y428" t="s">
        <v>8519</v>
      </c>
      <c r="Z428" t="s">
        <v>8520</v>
      </c>
      <c r="AA428" t="s">
        <v>8521</v>
      </c>
      <c r="AB428" t="s">
        <v>8522</v>
      </c>
      <c r="AC428" t="s">
        <v>8523</v>
      </c>
      <c r="AD428" t="s">
        <v>8524</v>
      </c>
      <c r="AE428" t="s">
        <v>8525</v>
      </c>
      <c r="AF428" t="s">
        <v>74</v>
      </c>
      <c r="AG428">
        <v>32</v>
      </c>
      <c r="AH428">
        <v>9</v>
      </c>
      <c r="AI428">
        <v>10</v>
      </c>
      <c r="AJ428">
        <v>0</v>
      </c>
      <c r="AK428">
        <v>41</v>
      </c>
      <c r="AL428" t="s">
        <v>2670</v>
      </c>
      <c r="AM428" t="s">
        <v>594</v>
      </c>
      <c r="AN428" t="s">
        <v>3187</v>
      </c>
      <c r="AO428" t="s">
        <v>8526</v>
      </c>
      <c r="AP428" t="s">
        <v>8527</v>
      </c>
      <c r="AQ428" t="s">
        <v>74</v>
      </c>
      <c r="AR428" t="s">
        <v>8528</v>
      </c>
      <c r="AS428" t="s">
        <v>8529</v>
      </c>
      <c r="AT428" t="s">
        <v>5678</v>
      </c>
      <c r="AU428">
        <v>2016</v>
      </c>
      <c r="AV428">
        <v>96</v>
      </c>
      <c r="AW428">
        <v>6</v>
      </c>
      <c r="AX428" t="s">
        <v>74</v>
      </c>
      <c r="AY428" t="s">
        <v>74</v>
      </c>
      <c r="AZ428" t="s">
        <v>74</v>
      </c>
      <c r="BA428" t="s">
        <v>74</v>
      </c>
      <c r="BB428">
        <v>1211</v>
      </c>
      <c r="BC428">
        <v>1215</v>
      </c>
      <c r="BD428" t="s">
        <v>74</v>
      </c>
      <c r="BE428" t="s">
        <v>8530</v>
      </c>
      <c r="BF428" t="str">
        <f>HYPERLINK("http://dx.doi.org/10.1017/S0025315415000752","http://dx.doi.org/10.1017/S0025315415000752")</f>
        <v>http://dx.doi.org/10.1017/S0025315415000752</v>
      </c>
      <c r="BG428" t="s">
        <v>74</v>
      </c>
      <c r="BH428" t="s">
        <v>74</v>
      </c>
      <c r="BI428">
        <v>5</v>
      </c>
      <c r="BJ428" t="s">
        <v>457</v>
      </c>
      <c r="BK428" t="s">
        <v>156</v>
      </c>
      <c r="BL428" t="s">
        <v>457</v>
      </c>
      <c r="BM428" t="s">
        <v>8531</v>
      </c>
      <c r="BN428" t="s">
        <v>74</v>
      </c>
      <c r="BO428" t="s">
        <v>2392</v>
      </c>
      <c r="BP428" t="s">
        <v>74</v>
      </c>
      <c r="BQ428" t="s">
        <v>74</v>
      </c>
      <c r="BR428" t="s">
        <v>105</v>
      </c>
      <c r="BS428" t="s">
        <v>8532</v>
      </c>
      <c r="BT428" t="str">
        <f>HYPERLINK("https%3A%2F%2Fwww.webofscience.com%2Fwos%2Fwoscc%2Ffull-record%2FWOS:000380905100003","View Full Record in Web of Science")</f>
        <v>View Full Record in Web of Science</v>
      </c>
    </row>
    <row r="429" spans="1:72" x14ac:dyDescent="0.15">
      <c r="A429" t="s">
        <v>72</v>
      </c>
      <c r="B429" t="s">
        <v>8533</v>
      </c>
      <c r="C429" t="s">
        <v>74</v>
      </c>
      <c r="D429" t="s">
        <v>74</v>
      </c>
      <c r="E429" t="s">
        <v>74</v>
      </c>
      <c r="F429" t="s">
        <v>8534</v>
      </c>
      <c r="G429" t="s">
        <v>74</v>
      </c>
      <c r="H429" t="s">
        <v>74</v>
      </c>
      <c r="I429" t="s">
        <v>8535</v>
      </c>
      <c r="J429" t="s">
        <v>412</v>
      </c>
      <c r="K429" t="s">
        <v>74</v>
      </c>
      <c r="L429" t="s">
        <v>74</v>
      </c>
      <c r="M429" t="s">
        <v>78</v>
      </c>
      <c r="N429" t="s">
        <v>79</v>
      </c>
      <c r="O429" t="s">
        <v>74</v>
      </c>
      <c r="P429" t="s">
        <v>74</v>
      </c>
      <c r="Q429" t="s">
        <v>74</v>
      </c>
      <c r="R429" t="s">
        <v>74</v>
      </c>
      <c r="S429" t="s">
        <v>74</v>
      </c>
      <c r="T429" t="s">
        <v>8536</v>
      </c>
      <c r="U429" t="s">
        <v>8537</v>
      </c>
      <c r="V429" t="s">
        <v>8538</v>
      </c>
      <c r="W429" t="s">
        <v>8539</v>
      </c>
      <c r="X429" t="s">
        <v>8540</v>
      </c>
      <c r="Y429" t="s">
        <v>8541</v>
      </c>
      <c r="Z429" t="s">
        <v>74</v>
      </c>
      <c r="AA429" t="s">
        <v>74</v>
      </c>
      <c r="AB429" t="s">
        <v>8542</v>
      </c>
      <c r="AC429" t="s">
        <v>8543</v>
      </c>
      <c r="AD429" t="s">
        <v>8544</v>
      </c>
      <c r="AE429" t="s">
        <v>8545</v>
      </c>
      <c r="AF429" t="s">
        <v>74</v>
      </c>
      <c r="AG429">
        <v>67</v>
      </c>
      <c r="AH429">
        <v>9</v>
      </c>
      <c r="AI429">
        <v>10</v>
      </c>
      <c r="AJ429">
        <v>0</v>
      </c>
      <c r="AK429">
        <v>17</v>
      </c>
      <c r="AL429" t="s">
        <v>196</v>
      </c>
      <c r="AM429" t="s">
        <v>93</v>
      </c>
      <c r="AN429" t="s">
        <v>197</v>
      </c>
      <c r="AO429" t="s">
        <v>425</v>
      </c>
      <c r="AP429" t="s">
        <v>426</v>
      </c>
      <c r="AQ429" t="s">
        <v>74</v>
      </c>
      <c r="AR429" t="s">
        <v>412</v>
      </c>
      <c r="AS429" t="s">
        <v>427</v>
      </c>
      <c r="AT429" t="s">
        <v>7290</v>
      </c>
      <c r="AU429">
        <v>2016</v>
      </c>
      <c r="AV429">
        <v>260</v>
      </c>
      <c r="AW429" t="s">
        <v>74</v>
      </c>
      <c r="AX429" t="s">
        <v>74</v>
      </c>
      <c r="AY429" t="s">
        <v>74</v>
      </c>
      <c r="AZ429" t="s">
        <v>74</v>
      </c>
      <c r="BA429" t="s">
        <v>74</v>
      </c>
      <c r="BB429">
        <v>134</v>
      </c>
      <c r="BC429">
        <v>153</v>
      </c>
      <c r="BD429" t="s">
        <v>74</v>
      </c>
      <c r="BE429" t="s">
        <v>8546</v>
      </c>
      <c r="BF429" t="str">
        <f>HYPERLINK("http://dx.doi.org/10.1016/j.lithos.2016.05.018","http://dx.doi.org/10.1016/j.lithos.2016.05.018")</f>
        <v>http://dx.doi.org/10.1016/j.lithos.2016.05.018</v>
      </c>
      <c r="BG429" t="s">
        <v>74</v>
      </c>
      <c r="BH429" t="s">
        <v>74</v>
      </c>
      <c r="BI429">
        <v>20</v>
      </c>
      <c r="BJ429" t="s">
        <v>430</v>
      </c>
      <c r="BK429" t="s">
        <v>156</v>
      </c>
      <c r="BL429" t="s">
        <v>430</v>
      </c>
      <c r="BM429" t="s">
        <v>8547</v>
      </c>
      <c r="BN429" t="s">
        <v>74</v>
      </c>
      <c r="BO429" t="s">
        <v>329</v>
      </c>
      <c r="BP429" t="s">
        <v>74</v>
      </c>
      <c r="BQ429" t="s">
        <v>74</v>
      </c>
      <c r="BR429" t="s">
        <v>105</v>
      </c>
      <c r="BS429" t="s">
        <v>8548</v>
      </c>
      <c r="BT429" t="str">
        <f>HYPERLINK("https%3A%2F%2Fwww.webofscience.com%2Fwos%2Fwoscc%2Ffull-record%2FWOS:000381529800010","View Full Record in Web of Science")</f>
        <v>View Full Record in Web of Science</v>
      </c>
    </row>
    <row r="430" spans="1:72" x14ac:dyDescent="0.15">
      <c r="A430" t="s">
        <v>72</v>
      </c>
      <c r="B430" t="s">
        <v>8549</v>
      </c>
      <c r="C430" t="s">
        <v>74</v>
      </c>
      <c r="D430" t="s">
        <v>74</v>
      </c>
      <c r="E430" t="s">
        <v>74</v>
      </c>
      <c r="F430" t="s">
        <v>8550</v>
      </c>
      <c r="G430" t="s">
        <v>74</v>
      </c>
      <c r="H430" t="s">
        <v>74</v>
      </c>
      <c r="I430" t="s">
        <v>8551</v>
      </c>
      <c r="J430" t="s">
        <v>8552</v>
      </c>
      <c r="K430" t="s">
        <v>74</v>
      </c>
      <c r="L430" t="s">
        <v>74</v>
      </c>
      <c r="M430" t="s">
        <v>78</v>
      </c>
      <c r="N430" t="s">
        <v>79</v>
      </c>
      <c r="O430" t="s">
        <v>74</v>
      </c>
      <c r="P430" t="s">
        <v>74</v>
      </c>
      <c r="Q430" t="s">
        <v>74</v>
      </c>
      <c r="R430" t="s">
        <v>74</v>
      </c>
      <c r="S430" t="s">
        <v>74</v>
      </c>
      <c r="T430" t="s">
        <v>8553</v>
      </c>
      <c r="U430" t="s">
        <v>8554</v>
      </c>
      <c r="V430" t="s">
        <v>8555</v>
      </c>
      <c r="W430" t="s">
        <v>8556</v>
      </c>
      <c r="X430" t="s">
        <v>3254</v>
      </c>
      <c r="Y430" t="s">
        <v>8557</v>
      </c>
      <c r="Z430" t="s">
        <v>8558</v>
      </c>
      <c r="AA430" t="s">
        <v>8559</v>
      </c>
      <c r="AB430" t="s">
        <v>8560</v>
      </c>
      <c r="AC430" t="s">
        <v>8561</v>
      </c>
      <c r="AD430" t="s">
        <v>8561</v>
      </c>
      <c r="AE430" t="s">
        <v>8562</v>
      </c>
      <c r="AF430" t="s">
        <v>74</v>
      </c>
      <c r="AG430">
        <v>48</v>
      </c>
      <c r="AH430">
        <v>4</v>
      </c>
      <c r="AI430">
        <v>4</v>
      </c>
      <c r="AJ430">
        <v>0</v>
      </c>
      <c r="AK430">
        <v>3</v>
      </c>
      <c r="AL430" t="s">
        <v>8563</v>
      </c>
      <c r="AM430" t="s">
        <v>8564</v>
      </c>
      <c r="AN430" t="s">
        <v>8565</v>
      </c>
      <c r="AO430" t="s">
        <v>8566</v>
      </c>
      <c r="AP430" t="s">
        <v>74</v>
      </c>
      <c r="AQ430" t="s">
        <v>74</v>
      </c>
      <c r="AR430" t="s">
        <v>8567</v>
      </c>
      <c r="AS430" t="s">
        <v>8568</v>
      </c>
      <c r="AT430" t="s">
        <v>5678</v>
      </c>
      <c r="AU430">
        <v>2016</v>
      </c>
      <c r="AV430">
        <v>7</v>
      </c>
      <c r="AW430">
        <v>3</v>
      </c>
      <c r="AX430" t="s">
        <v>74</v>
      </c>
      <c r="AY430" t="s">
        <v>74</v>
      </c>
      <c r="AZ430" t="s">
        <v>74</v>
      </c>
      <c r="BA430" t="s">
        <v>74</v>
      </c>
      <c r="BB430">
        <v>241</v>
      </c>
      <c r="BC430">
        <v>256</v>
      </c>
      <c r="BD430" t="s">
        <v>74</v>
      </c>
      <c r="BE430" t="s">
        <v>8569</v>
      </c>
      <c r="BF430" t="str">
        <f>HYPERLINK("http://dx.doi.org/10.3391/mbi.2016.7.3.04","http://dx.doi.org/10.3391/mbi.2016.7.3.04")</f>
        <v>http://dx.doi.org/10.3391/mbi.2016.7.3.04</v>
      </c>
      <c r="BG430" t="s">
        <v>74</v>
      </c>
      <c r="BH430" t="s">
        <v>74</v>
      </c>
      <c r="BI430">
        <v>16</v>
      </c>
      <c r="BJ430" t="s">
        <v>8570</v>
      </c>
      <c r="BK430" t="s">
        <v>156</v>
      </c>
      <c r="BL430" t="s">
        <v>8571</v>
      </c>
      <c r="BM430" t="s">
        <v>8572</v>
      </c>
      <c r="BN430" t="s">
        <v>74</v>
      </c>
      <c r="BO430" t="s">
        <v>1467</v>
      </c>
      <c r="BP430" t="s">
        <v>74</v>
      </c>
      <c r="BQ430" t="s">
        <v>74</v>
      </c>
      <c r="BR430" t="s">
        <v>105</v>
      </c>
      <c r="BS430" t="s">
        <v>8573</v>
      </c>
      <c r="BT430" t="str">
        <f>HYPERLINK("https%3A%2F%2Fwww.webofscience.com%2Fwos%2Fwoscc%2Ffull-record%2FWOS:000422637100004","View Full Record in Web of Science")</f>
        <v>View Full Record in Web of Science</v>
      </c>
    </row>
    <row r="431" spans="1:72" x14ac:dyDescent="0.15">
      <c r="A431" t="s">
        <v>72</v>
      </c>
      <c r="B431" t="s">
        <v>8574</v>
      </c>
      <c r="C431" t="s">
        <v>74</v>
      </c>
      <c r="D431" t="s">
        <v>74</v>
      </c>
      <c r="E431" t="s">
        <v>74</v>
      </c>
      <c r="F431" t="s">
        <v>8575</v>
      </c>
      <c r="G431" t="s">
        <v>74</v>
      </c>
      <c r="H431" t="s">
        <v>74</v>
      </c>
      <c r="I431" t="s">
        <v>8576</v>
      </c>
      <c r="J431" t="s">
        <v>8577</v>
      </c>
      <c r="K431" t="s">
        <v>74</v>
      </c>
      <c r="L431" t="s">
        <v>74</v>
      </c>
      <c r="M431" t="s">
        <v>78</v>
      </c>
      <c r="N431" t="s">
        <v>587</v>
      </c>
      <c r="O431" t="s">
        <v>74</v>
      </c>
      <c r="P431" t="s">
        <v>74</v>
      </c>
      <c r="Q431" t="s">
        <v>74</v>
      </c>
      <c r="R431" t="s">
        <v>74</v>
      </c>
      <c r="S431" t="s">
        <v>74</v>
      </c>
      <c r="T431" t="s">
        <v>74</v>
      </c>
      <c r="U431" t="s">
        <v>74</v>
      </c>
      <c r="V431" t="s">
        <v>74</v>
      </c>
      <c r="W431" t="s">
        <v>8578</v>
      </c>
      <c r="X431" t="s">
        <v>8579</v>
      </c>
      <c r="Y431" t="s">
        <v>8580</v>
      </c>
      <c r="Z431" t="s">
        <v>8581</v>
      </c>
      <c r="AA431" t="s">
        <v>8582</v>
      </c>
      <c r="AB431" t="s">
        <v>8583</v>
      </c>
      <c r="AC431" t="s">
        <v>74</v>
      </c>
      <c r="AD431" t="s">
        <v>74</v>
      </c>
      <c r="AE431" t="s">
        <v>74</v>
      </c>
      <c r="AF431" t="s">
        <v>74</v>
      </c>
      <c r="AG431">
        <v>5</v>
      </c>
      <c r="AH431">
        <v>2</v>
      </c>
      <c r="AI431">
        <v>2</v>
      </c>
      <c r="AJ431">
        <v>1</v>
      </c>
      <c r="AK431">
        <v>24</v>
      </c>
      <c r="AL431" t="s">
        <v>449</v>
      </c>
      <c r="AM431" t="s">
        <v>450</v>
      </c>
      <c r="AN431" t="s">
        <v>451</v>
      </c>
      <c r="AO431" t="s">
        <v>8584</v>
      </c>
      <c r="AP431" t="s">
        <v>8585</v>
      </c>
      <c r="AQ431" t="s">
        <v>74</v>
      </c>
      <c r="AR431" t="s">
        <v>8586</v>
      </c>
      <c r="AS431" t="s">
        <v>8587</v>
      </c>
      <c r="AT431" t="s">
        <v>5678</v>
      </c>
      <c r="AU431">
        <v>2016</v>
      </c>
      <c r="AV431">
        <v>46</v>
      </c>
      <c r="AW431">
        <v>3</v>
      </c>
      <c r="AX431" t="s">
        <v>74</v>
      </c>
      <c r="AY431" t="s">
        <v>74</v>
      </c>
      <c r="AZ431" t="s">
        <v>74</v>
      </c>
      <c r="BA431" t="s">
        <v>74</v>
      </c>
      <c r="BB431">
        <v>529</v>
      </c>
      <c r="BC431">
        <v>530</v>
      </c>
      <c r="BD431" t="s">
        <v>74</v>
      </c>
      <c r="BE431" t="s">
        <v>8588</v>
      </c>
      <c r="BF431" t="str">
        <f>HYPERLINK("http://dx.doi.org/10.1007/s12526-015-0397-6","http://dx.doi.org/10.1007/s12526-015-0397-6")</f>
        <v>http://dx.doi.org/10.1007/s12526-015-0397-6</v>
      </c>
      <c r="BG431" t="s">
        <v>74</v>
      </c>
      <c r="BH431" t="s">
        <v>74</v>
      </c>
      <c r="BI431">
        <v>2</v>
      </c>
      <c r="BJ431" t="s">
        <v>8589</v>
      </c>
      <c r="BK431" t="s">
        <v>156</v>
      </c>
      <c r="BL431" t="s">
        <v>8590</v>
      </c>
      <c r="BM431" t="s">
        <v>8591</v>
      </c>
      <c r="BN431" t="s">
        <v>74</v>
      </c>
      <c r="BO431" t="s">
        <v>74</v>
      </c>
      <c r="BP431" t="s">
        <v>74</v>
      </c>
      <c r="BQ431" t="s">
        <v>74</v>
      </c>
      <c r="BR431" t="s">
        <v>105</v>
      </c>
      <c r="BS431" t="s">
        <v>8592</v>
      </c>
      <c r="BT431" t="str">
        <f>HYPERLINK("https%3A%2F%2Fwww.webofscience.com%2Fwos%2Fwoscc%2Ffull-record%2FWOS:000382003800001","View Full Record in Web of Science")</f>
        <v>View Full Record in Web of Science</v>
      </c>
    </row>
    <row r="432" spans="1:72" x14ac:dyDescent="0.15">
      <c r="A432" t="s">
        <v>72</v>
      </c>
      <c r="B432" t="s">
        <v>8593</v>
      </c>
      <c r="C432" t="s">
        <v>74</v>
      </c>
      <c r="D432" t="s">
        <v>74</v>
      </c>
      <c r="E432" t="s">
        <v>74</v>
      </c>
      <c r="F432" t="s">
        <v>8594</v>
      </c>
      <c r="G432" t="s">
        <v>74</v>
      </c>
      <c r="H432" t="s">
        <v>74</v>
      </c>
      <c r="I432" t="s">
        <v>8595</v>
      </c>
      <c r="J432" t="s">
        <v>464</v>
      </c>
      <c r="K432" t="s">
        <v>74</v>
      </c>
      <c r="L432" t="s">
        <v>74</v>
      </c>
      <c r="M432" t="s">
        <v>78</v>
      </c>
      <c r="N432" t="s">
        <v>79</v>
      </c>
      <c r="O432" t="s">
        <v>74</v>
      </c>
      <c r="P432" t="s">
        <v>74</v>
      </c>
      <c r="Q432" t="s">
        <v>74</v>
      </c>
      <c r="R432" t="s">
        <v>74</v>
      </c>
      <c r="S432" t="s">
        <v>74</v>
      </c>
      <c r="T432" t="s">
        <v>8596</v>
      </c>
      <c r="U432" t="s">
        <v>8597</v>
      </c>
      <c r="V432" t="s">
        <v>8598</v>
      </c>
      <c r="W432" t="s">
        <v>8599</v>
      </c>
      <c r="X432" t="s">
        <v>8600</v>
      </c>
      <c r="Y432" t="s">
        <v>8601</v>
      </c>
      <c r="Z432" t="s">
        <v>8602</v>
      </c>
      <c r="AA432" t="s">
        <v>8603</v>
      </c>
      <c r="AB432" t="s">
        <v>8604</v>
      </c>
      <c r="AC432" t="s">
        <v>8605</v>
      </c>
      <c r="AD432" t="s">
        <v>8606</v>
      </c>
      <c r="AE432" t="s">
        <v>8607</v>
      </c>
      <c r="AF432" t="s">
        <v>74</v>
      </c>
      <c r="AG432">
        <v>139</v>
      </c>
      <c r="AH432">
        <v>44</v>
      </c>
      <c r="AI432">
        <v>49</v>
      </c>
      <c r="AJ432">
        <v>2</v>
      </c>
      <c r="AK432">
        <v>50</v>
      </c>
      <c r="AL432" t="s">
        <v>474</v>
      </c>
      <c r="AM432" t="s">
        <v>304</v>
      </c>
      <c r="AN432" t="s">
        <v>475</v>
      </c>
      <c r="AO432" t="s">
        <v>476</v>
      </c>
      <c r="AP432" t="s">
        <v>477</v>
      </c>
      <c r="AQ432" t="s">
        <v>74</v>
      </c>
      <c r="AR432" t="s">
        <v>478</v>
      </c>
      <c r="AS432" t="s">
        <v>479</v>
      </c>
      <c r="AT432" t="s">
        <v>5678</v>
      </c>
      <c r="AU432">
        <v>2016</v>
      </c>
      <c r="AV432">
        <v>71</v>
      </c>
      <c r="AW432" t="s">
        <v>74</v>
      </c>
      <c r="AX432" t="s">
        <v>74</v>
      </c>
      <c r="AY432" t="s">
        <v>74</v>
      </c>
      <c r="AZ432" t="s">
        <v>74</v>
      </c>
      <c r="BA432" t="s">
        <v>74</v>
      </c>
      <c r="BB432">
        <v>82</v>
      </c>
      <c r="BC432">
        <v>93</v>
      </c>
      <c r="BD432" t="s">
        <v>74</v>
      </c>
      <c r="BE432" t="s">
        <v>8608</v>
      </c>
      <c r="BF432" t="str">
        <f>HYPERLINK("http://dx.doi.org/10.1016/j.marpol.2016.05.014","http://dx.doi.org/10.1016/j.marpol.2016.05.014")</f>
        <v>http://dx.doi.org/10.1016/j.marpol.2016.05.014</v>
      </c>
      <c r="BG432" t="s">
        <v>74</v>
      </c>
      <c r="BH432" t="s">
        <v>74</v>
      </c>
      <c r="BI432">
        <v>12</v>
      </c>
      <c r="BJ432" t="s">
        <v>481</v>
      </c>
      <c r="BK432" t="s">
        <v>482</v>
      </c>
      <c r="BL432" t="s">
        <v>483</v>
      </c>
      <c r="BM432" t="s">
        <v>8609</v>
      </c>
      <c r="BN432" t="s">
        <v>74</v>
      </c>
      <c r="BO432" t="s">
        <v>74</v>
      </c>
      <c r="BP432" t="s">
        <v>74</v>
      </c>
      <c r="BQ432" t="s">
        <v>74</v>
      </c>
      <c r="BR432" t="s">
        <v>105</v>
      </c>
      <c r="BS432" t="s">
        <v>8610</v>
      </c>
      <c r="BT432" t="str">
        <f>HYPERLINK("https%3A%2F%2Fwww.webofscience.com%2Fwos%2Fwoscc%2Ffull-record%2FWOS:000381593800011","View Full Record in Web of Science")</f>
        <v>View Full Record in Web of Science</v>
      </c>
    </row>
    <row r="433" spans="1:72" x14ac:dyDescent="0.15">
      <c r="A433" t="s">
        <v>72</v>
      </c>
      <c r="B433" t="s">
        <v>8611</v>
      </c>
      <c r="C433" t="s">
        <v>74</v>
      </c>
      <c r="D433" t="s">
        <v>74</v>
      </c>
      <c r="E433" t="s">
        <v>74</v>
      </c>
      <c r="F433" t="s">
        <v>8612</v>
      </c>
      <c r="G433" t="s">
        <v>74</v>
      </c>
      <c r="H433" t="s">
        <v>74</v>
      </c>
      <c r="I433" t="s">
        <v>8613</v>
      </c>
      <c r="J433" t="s">
        <v>4778</v>
      </c>
      <c r="K433" t="s">
        <v>74</v>
      </c>
      <c r="L433" t="s">
        <v>74</v>
      </c>
      <c r="M433" t="s">
        <v>78</v>
      </c>
      <c r="N433" t="s">
        <v>79</v>
      </c>
      <c r="O433" t="s">
        <v>74</v>
      </c>
      <c r="P433" t="s">
        <v>74</v>
      </c>
      <c r="Q433" t="s">
        <v>74</v>
      </c>
      <c r="R433" t="s">
        <v>74</v>
      </c>
      <c r="S433" t="s">
        <v>74</v>
      </c>
      <c r="T433" t="s">
        <v>74</v>
      </c>
      <c r="U433" t="s">
        <v>8614</v>
      </c>
      <c r="V433" t="s">
        <v>8615</v>
      </c>
      <c r="W433" t="s">
        <v>8616</v>
      </c>
      <c r="X433" t="s">
        <v>8617</v>
      </c>
      <c r="Y433" t="s">
        <v>8618</v>
      </c>
      <c r="Z433" t="s">
        <v>8619</v>
      </c>
      <c r="AA433" t="s">
        <v>8620</v>
      </c>
      <c r="AB433" t="s">
        <v>8621</v>
      </c>
      <c r="AC433" t="s">
        <v>8622</v>
      </c>
      <c r="AD433" t="s">
        <v>8623</v>
      </c>
      <c r="AE433" t="s">
        <v>8624</v>
      </c>
      <c r="AF433" t="s">
        <v>74</v>
      </c>
      <c r="AG433">
        <v>30</v>
      </c>
      <c r="AH433">
        <v>178</v>
      </c>
      <c r="AI433">
        <v>192</v>
      </c>
      <c r="AJ433">
        <v>4</v>
      </c>
      <c r="AK433">
        <v>62</v>
      </c>
      <c r="AL433" t="s">
        <v>275</v>
      </c>
      <c r="AM433" t="s">
        <v>250</v>
      </c>
      <c r="AN433" t="s">
        <v>276</v>
      </c>
      <c r="AO433" t="s">
        <v>4790</v>
      </c>
      <c r="AP433" t="s">
        <v>4791</v>
      </c>
      <c r="AQ433" t="s">
        <v>74</v>
      </c>
      <c r="AR433" t="s">
        <v>4778</v>
      </c>
      <c r="AS433" t="s">
        <v>4792</v>
      </c>
      <c r="AT433" t="s">
        <v>7290</v>
      </c>
      <c r="AU433">
        <v>2016</v>
      </c>
      <c r="AV433">
        <v>537</v>
      </c>
      <c r="AW433">
        <v>7618</v>
      </c>
      <c r="AX433" t="s">
        <v>74</v>
      </c>
      <c r="AY433" t="s">
        <v>74</v>
      </c>
      <c r="AZ433" t="s">
        <v>74</v>
      </c>
      <c r="BA433" t="s">
        <v>74</v>
      </c>
      <c r="BB433">
        <v>89</v>
      </c>
      <c r="BC433">
        <v>92</v>
      </c>
      <c r="BD433" t="s">
        <v>74</v>
      </c>
      <c r="BE433" t="s">
        <v>8625</v>
      </c>
      <c r="BF433" t="str">
        <f>HYPERLINK("http://dx.doi.org/10.1038/nature19101","http://dx.doi.org/10.1038/nature19101")</f>
        <v>http://dx.doi.org/10.1038/nature19101</v>
      </c>
      <c r="BG433" t="s">
        <v>74</v>
      </c>
      <c r="BH433" t="s">
        <v>74</v>
      </c>
      <c r="BI433">
        <v>4</v>
      </c>
      <c r="BJ433" t="s">
        <v>719</v>
      </c>
      <c r="BK433" t="s">
        <v>156</v>
      </c>
      <c r="BL433" t="s">
        <v>720</v>
      </c>
      <c r="BM433" t="s">
        <v>8626</v>
      </c>
      <c r="BN433">
        <v>27582222</v>
      </c>
      <c r="BO433" t="s">
        <v>459</v>
      </c>
      <c r="BP433" t="s">
        <v>74</v>
      </c>
      <c r="BQ433" t="s">
        <v>74</v>
      </c>
      <c r="BR433" t="s">
        <v>105</v>
      </c>
      <c r="BS433" t="s">
        <v>8627</v>
      </c>
      <c r="BT433" t="str">
        <f>HYPERLINK("https%3A%2F%2Fwww.webofscience.com%2Fwos%2Fwoscc%2Ffull-record%2FWOS:000382426900044","View Full Record in Web of Science")</f>
        <v>View Full Record in Web of Science</v>
      </c>
    </row>
    <row r="434" spans="1:72" x14ac:dyDescent="0.15">
      <c r="A434" t="s">
        <v>72</v>
      </c>
      <c r="B434" t="s">
        <v>8628</v>
      </c>
      <c r="C434" t="s">
        <v>74</v>
      </c>
      <c r="D434" t="s">
        <v>74</v>
      </c>
      <c r="E434" t="s">
        <v>74</v>
      </c>
      <c r="F434" t="s">
        <v>8629</v>
      </c>
      <c r="G434" t="s">
        <v>74</v>
      </c>
      <c r="H434" t="s">
        <v>74</v>
      </c>
      <c r="I434" t="s">
        <v>8630</v>
      </c>
      <c r="J434" t="s">
        <v>8631</v>
      </c>
      <c r="K434" t="s">
        <v>74</v>
      </c>
      <c r="L434" t="s">
        <v>74</v>
      </c>
      <c r="M434" t="s">
        <v>78</v>
      </c>
      <c r="N434" t="s">
        <v>79</v>
      </c>
      <c r="O434" t="s">
        <v>74</v>
      </c>
      <c r="P434" t="s">
        <v>74</v>
      </c>
      <c r="Q434" t="s">
        <v>74</v>
      </c>
      <c r="R434" t="s">
        <v>74</v>
      </c>
      <c r="S434" t="s">
        <v>74</v>
      </c>
      <c r="T434" t="s">
        <v>74</v>
      </c>
      <c r="U434" t="s">
        <v>8632</v>
      </c>
      <c r="V434" t="s">
        <v>8633</v>
      </c>
      <c r="W434" t="s">
        <v>8634</v>
      </c>
      <c r="X434" t="s">
        <v>8635</v>
      </c>
      <c r="Y434" t="s">
        <v>8636</v>
      </c>
      <c r="Z434" t="s">
        <v>8637</v>
      </c>
      <c r="AA434" t="s">
        <v>8638</v>
      </c>
      <c r="AB434" t="s">
        <v>8639</v>
      </c>
      <c r="AC434" t="s">
        <v>8640</v>
      </c>
      <c r="AD434" t="s">
        <v>8641</v>
      </c>
      <c r="AE434" t="s">
        <v>8642</v>
      </c>
      <c r="AF434" t="s">
        <v>74</v>
      </c>
      <c r="AG434">
        <v>48</v>
      </c>
      <c r="AH434">
        <v>25</v>
      </c>
      <c r="AI434">
        <v>28</v>
      </c>
      <c r="AJ434">
        <v>3</v>
      </c>
      <c r="AK434">
        <v>40</v>
      </c>
      <c r="AL434" t="s">
        <v>275</v>
      </c>
      <c r="AM434" t="s">
        <v>594</v>
      </c>
      <c r="AN434" t="s">
        <v>595</v>
      </c>
      <c r="AO434" t="s">
        <v>8643</v>
      </c>
      <c r="AP434" t="s">
        <v>8644</v>
      </c>
      <c r="AQ434" t="s">
        <v>74</v>
      </c>
      <c r="AR434" t="s">
        <v>8645</v>
      </c>
      <c r="AS434" t="s">
        <v>8646</v>
      </c>
      <c r="AT434" t="s">
        <v>5678</v>
      </c>
      <c r="AU434">
        <v>2016</v>
      </c>
      <c r="AV434">
        <v>9</v>
      </c>
      <c r="AW434">
        <v>9</v>
      </c>
      <c r="AX434" t="s">
        <v>74</v>
      </c>
      <c r="AY434" t="s">
        <v>74</v>
      </c>
      <c r="AZ434" t="s">
        <v>74</v>
      </c>
      <c r="BA434" t="s">
        <v>74</v>
      </c>
      <c r="BB434">
        <v>691</v>
      </c>
      <c r="BC434" t="s">
        <v>5030</v>
      </c>
      <c r="BD434" t="s">
        <v>74</v>
      </c>
      <c r="BE434" t="s">
        <v>8647</v>
      </c>
      <c r="BF434" t="str">
        <f>HYPERLINK("http://dx.doi.org/10.1038/NGEO2769","http://dx.doi.org/10.1038/NGEO2769")</f>
        <v>http://dx.doi.org/10.1038/NGEO2769</v>
      </c>
      <c r="BG434" t="s">
        <v>74</v>
      </c>
      <c r="BH434" t="s">
        <v>74</v>
      </c>
      <c r="BI434">
        <v>7</v>
      </c>
      <c r="BJ434" t="s">
        <v>352</v>
      </c>
      <c r="BK434" t="s">
        <v>156</v>
      </c>
      <c r="BL434" t="s">
        <v>177</v>
      </c>
      <c r="BM434" t="s">
        <v>8648</v>
      </c>
      <c r="BN434" t="s">
        <v>74</v>
      </c>
      <c r="BO434" t="s">
        <v>459</v>
      </c>
      <c r="BP434" t="s">
        <v>74</v>
      </c>
      <c r="BQ434" t="s">
        <v>74</v>
      </c>
      <c r="BR434" t="s">
        <v>105</v>
      </c>
      <c r="BS434" t="s">
        <v>8649</v>
      </c>
      <c r="BT434" t="str">
        <f>HYPERLINK("https%3A%2F%2Fwww.webofscience.com%2Fwos%2Fwoscc%2Ffull-record%2FWOS:000383283700015","View Full Record in Web of Science")</f>
        <v>View Full Record in Web of Science</v>
      </c>
    </row>
    <row r="435" spans="1:72" x14ac:dyDescent="0.15">
      <c r="A435" t="s">
        <v>72</v>
      </c>
      <c r="B435" t="s">
        <v>8650</v>
      </c>
      <c r="C435" t="s">
        <v>74</v>
      </c>
      <c r="D435" t="s">
        <v>74</v>
      </c>
      <c r="E435" t="s">
        <v>74</v>
      </c>
      <c r="F435" t="s">
        <v>8651</v>
      </c>
      <c r="G435" t="s">
        <v>74</v>
      </c>
      <c r="H435" t="s">
        <v>74</v>
      </c>
      <c r="I435" t="s">
        <v>8652</v>
      </c>
      <c r="J435" t="s">
        <v>8653</v>
      </c>
      <c r="K435" t="s">
        <v>74</v>
      </c>
      <c r="L435" t="s">
        <v>74</v>
      </c>
      <c r="M435" t="s">
        <v>78</v>
      </c>
      <c r="N435" t="s">
        <v>79</v>
      </c>
      <c r="O435" t="s">
        <v>74</v>
      </c>
      <c r="P435" t="s">
        <v>74</v>
      </c>
      <c r="Q435" t="s">
        <v>74</v>
      </c>
      <c r="R435" t="s">
        <v>74</v>
      </c>
      <c r="S435" t="s">
        <v>74</v>
      </c>
      <c r="T435" t="s">
        <v>8654</v>
      </c>
      <c r="U435" t="s">
        <v>8655</v>
      </c>
      <c r="V435" t="s">
        <v>8656</v>
      </c>
      <c r="W435" t="s">
        <v>8657</v>
      </c>
      <c r="X435" t="s">
        <v>8658</v>
      </c>
      <c r="Y435" t="s">
        <v>8659</v>
      </c>
      <c r="Z435" t="s">
        <v>8660</v>
      </c>
      <c r="AA435" t="s">
        <v>8661</v>
      </c>
      <c r="AB435" t="s">
        <v>8662</v>
      </c>
      <c r="AC435" t="s">
        <v>8663</v>
      </c>
      <c r="AD435" t="s">
        <v>8663</v>
      </c>
      <c r="AE435" t="s">
        <v>8664</v>
      </c>
      <c r="AF435" t="s">
        <v>74</v>
      </c>
      <c r="AG435">
        <v>31</v>
      </c>
      <c r="AH435">
        <v>9</v>
      </c>
      <c r="AI435">
        <v>10</v>
      </c>
      <c r="AJ435">
        <v>1</v>
      </c>
      <c r="AK435">
        <v>44</v>
      </c>
      <c r="AL435" t="s">
        <v>860</v>
      </c>
      <c r="AM435" t="s">
        <v>861</v>
      </c>
      <c r="AN435" t="s">
        <v>862</v>
      </c>
      <c r="AO435" t="s">
        <v>8665</v>
      </c>
      <c r="AP435" t="s">
        <v>8666</v>
      </c>
      <c r="AQ435" t="s">
        <v>74</v>
      </c>
      <c r="AR435" t="s">
        <v>8667</v>
      </c>
      <c r="AS435" t="s">
        <v>8668</v>
      </c>
      <c r="AT435" t="s">
        <v>5678</v>
      </c>
      <c r="AU435">
        <v>2016</v>
      </c>
      <c r="AV435">
        <v>64</v>
      </c>
      <c r="AW435">
        <v>5</v>
      </c>
      <c r="AX435" t="s">
        <v>74</v>
      </c>
      <c r="AY435" t="s">
        <v>74</v>
      </c>
      <c r="AZ435" t="s">
        <v>74</v>
      </c>
      <c r="BA435" t="s">
        <v>74</v>
      </c>
      <c r="BB435">
        <v>293</v>
      </c>
      <c r="BC435">
        <v>297</v>
      </c>
      <c r="BD435" t="s">
        <v>74</v>
      </c>
      <c r="BE435" t="s">
        <v>8669</v>
      </c>
      <c r="BF435" t="str">
        <f>HYPERLINK("http://dx.doi.org/10.1080/00480169.2016.1191974","http://dx.doi.org/10.1080/00480169.2016.1191974")</f>
        <v>http://dx.doi.org/10.1080/00480169.2016.1191974</v>
      </c>
      <c r="BG435" t="s">
        <v>74</v>
      </c>
      <c r="BH435" t="s">
        <v>74</v>
      </c>
      <c r="BI435">
        <v>5</v>
      </c>
      <c r="BJ435" t="s">
        <v>3008</v>
      </c>
      <c r="BK435" t="s">
        <v>156</v>
      </c>
      <c r="BL435" t="s">
        <v>3008</v>
      </c>
      <c r="BM435" t="s">
        <v>8670</v>
      </c>
      <c r="BN435">
        <v>27211206</v>
      </c>
      <c r="BO435" t="s">
        <v>74</v>
      </c>
      <c r="BP435" t="s">
        <v>74</v>
      </c>
      <c r="BQ435" t="s">
        <v>74</v>
      </c>
      <c r="BR435" t="s">
        <v>105</v>
      </c>
      <c r="BS435" t="s">
        <v>8671</v>
      </c>
      <c r="BT435" t="str">
        <f>HYPERLINK("https%3A%2F%2Fwww.webofscience.com%2Fwos%2Fwoscc%2Ffull-record%2FWOS:000382313100006","View Full Record in Web of Science")</f>
        <v>View Full Record in Web of Science</v>
      </c>
    </row>
    <row r="436" spans="1:72" x14ac:dyDescent="0.15">
      <c r="A436" t="s">
        <v>72</v>
      </c>
      <c r="B436" t="s">
        <v>8672</v>
      </c>
      <c r="C436" t="s">
        <v>74</v>
      </c>
      <c r="D436" t="s">
        <v>74</v>
      </c>
      <c r="E436" t="s">
        <v>74</v>
      </c>
      <c r="F436" t="s">
        <v>8673</v>
      </c>
      <c r="G436" t="s">
        <v>74</v>
      </c>
      <c r="H436" t="s">
        <v>74</v>
      </c>
      <c r="I436" t="s">
        <v>8674</v>
      </c>
      <c r="J436" t="s">
        <v>8675</v>
      </c>
      <c r="K436" t="s">
        <v>74</v>
      </c>
      <c r="L436" t="s">
        <v>74</v>
      </c>
      <c r="M436" t="s">
        <v>78</v>
      </c>
      <c r="N436" t="s">
        <v>79</v>
      </c>
      <c r="O436" t="s">
        <v>74</v>
      </c>
      <c r="P436" t="s">
        <v>74</v>
      </c>
      <c r="Q436" t="s">
        <v>74</v>
      </c>
      <c r="R436" t="s">
        <v>74</v>
      </c>
      <c r="S436" t="s">
        <v>74</v>
      </c>
      <c r="T436" t="s">
        <v>8676</v>
      </c>
      <c r="U436" t="s">
        <v>8677</v>
      </c>
      <c r="V436" t="s">
        <v>8678</v>
      </c>
      <c r="W436" t="s">
        <v>8679</v>
      </c>
      <c r="X436" t="s">
        <v>8680</v>
      </c>
      <c r="Y436" t="s">
        <v>8681</v>
      </c>
      <c r="Z436" t="s">
        <v>6866</v>
      </c>
      <c r="AA436" t="s">
        <v>8682</v>
      </c>
      <c r="AB436" t="s">
        <v>8683</v>
      </c>
      <c r="AC436" t="s">
        <v>8684</v>
      </c>
      <c r="AD436" t="s">
        <v>8685</v>
      </c>
      <c r="AE436" t="s">
        <v>8686</v>
      </c>
      <c r="AF436" t="s">
        <v>74</v>
      </c>
      <c r="AG436">
        <v>51</v>
      </c>
      <c r="AH436">
        <v>20</v>
      </c>
      <c r="AI436">
        <v>20</v>
      </c>
      <c r="AJ436">
        <v>2</v>
      </c>
      <c r="AK436">
        <v>11</v>
      </c>
      <c r="AL436" t="s">
        <v>474</v>
      </c>
      <c r="AM436" t="s">
        <v>304</v>
      </c>
      <c r="AN436" t="s">
        <v>475</v>
      </c>
      <c r="AO436" t="s">
        <v>8687</v>
      </c>
      <c r="AP436" t="s">
        <v>8688</v>
      </c>
      <c r="AQ436" t="s">
        <v>74</v>
      </c>
      <c r="AR436" t="s">
        <v>8689</v>
      </c>
      <c r="AS436" t="s">
        <v>8690</v>
      </c>
      <c r="AT436" t="s">
        <v>5678</v>
      </c>
      <c r="AU436">
        <v>2016</v>
      </c>
      <c r="AV436">
        <v>105</v>
      </c>
      <c r="AW436" t="s">
        <v>74</v>
      </c>
      <c r="AX436" t="s">
        <v>74</v>
      </c>
      <c r="AY436" t="s">
        <v>74</v>
      </c>
      <c r="AZ436" t="s">
        <v>74</v>
      </c>
      <c r="BA436" t="s">
        <v>74</v>
      </c>
      <c r="BB436">
        <v>60</v>
      </c>
      <c r="BC436">
        <v>70</v>
      </c>
      <c r="BD436" t="s">
        <v>74</v>
      </c>
      <c r="BE436" t="s">
        <v>8691</v>
      </c>
      <c r="BF436" t="str">
        <f>HYPERLINK("http://dx.doi.org/10.1016/j.ocemod.2016.08.001","http://dx.doi.org/10.1016/j.ocemod.2016.08.001")</f>
        <v>http://dx.doi.org/10.1016/j.ocemod.2016.08.001</v>
      </c>
      <c r="BG436" t="s">
        <v>74</v>
      </c>
      <c r="BH436" t="s">
        <v>74</v>
      </c>
      <c r="BI436">
        <v>11</v>
      </c>
      <c r="BJ436" t="s">
        <v>8464</v>
      </c>
      <c r="BK436" t="s">
        <v>156</v>
      </c>
      <c r="BL436" t="s">
        <v>8464</v>
      </c>
      <c r="BM436" t="s">
        <v>8692</v>
      </c>
      <c r="BN436" t="s">
        <v>74</v>
      </c>
      <c r="BO436" t="s">
        <v>329</v>
      </c>
      <c r="BP436" t="s">
        <v>74</v>
      </c>
      <c r="BQ436" t="s">
        <v>74</v>
      </c>
      <c r="BR436" t="s">
        <v>105</v>
      </c>
      <c r="BS436" t="s">
        <v>8693</v>
      </c>
      <c r="BT436" t="str">
        <f>HYPERLINK("https%3A%2F%2Fwww.webofscience.com%2Fwos%2Fwoscc%2Ffull-record%2FWOS:000386771800006","View Full Record in Web of Science")</f>
        <v>View Full Record in Web of Science</v>
      </c>
    </row>
    <row r="437" spans="1:72" x14ac:dyDescent="0.15">
      <c r="A437" t="s">
        <v>72</v>
      </c>
      <c r="B437" t="s">
        <v>8694</v>
      </c>
      <c r="C437" t="s">
        <v>74</v>
      </c>
      <c r="D437" t="s">
        <v>74</v>
      </c>
      <c r="E437" t="s">
        <v>74</v>
      </c>
      <c r="F437" t="s">
        <v>8695</v>
      </c>
      <c r="G437" t="s">
        <v>74</v>
      </c>
      <c r="H437" t="s">
        <v>74</v>
      </c>
      <c r="I437" t="s">
        <v>8696</v>
      </c>
      <c r="J437" t="s">
        <v>4215</v>
      </c>
      <c r="K437" t="s">
        <v>74</v>
      </c>
      <c r="L437" t="s">
        <v>74</v>
      </c>
      <c r="M437" t="s">
        <v>78</v>
      </c>
      <c r="N437" t="s">
        <v>79</v>
      </c>
      <c r="O437" t="s">
        <v>74</v>
      </c>
      <c r="P437" t="s">
        <v>74</v>
      </c>
      <c r="Q437" t="s">
        <v>74</v>
      </c>
      <c r="R437" t="s">
        <v>74</v>
      </c>
      <c r="S437" t="s">
        <v>74</v>
      </c>
      <c r="T437" t="s">
        <v>8697</v>
      </c>
      <c r="U437" t="s">
        <v>8698</v>
      </c>
      <c r="V437" t="s">
        <v>8699</v>
      </c>
      <c r="W437" t="s">
        <v>8700</v>
      </c>
      <c r="X437" t="s">
        <v>8701</v>
      </c>
      <c r="Y437" t="s">
        <v>8702</v>
      </c>
      <c r="Z437" t="s">
        <v>8703</v>
      </c>
      <c r="AA437" t="s">
        <v>8704</v>
      </c>
      <c r="AB437" t="s">
        <v>8705</v>
      </c>
      <c r="AC437" t="s">
        <v>8706</v>
      </c>
      <c r="AD437" t="s">
        <v>8707</v>
      </c>
      <c r="AE437" t="s">
        <v>8708</v>
      </c>
      <c r="AF437" t="s">
        <v>74</v>
      </c>
      <c r="AG437">
        <v>47</v>
      </c>
      <c r="AH437">
        <v>50</v>
      </c>
      <c r="AI437">
        <v>54</v>
      </c>
      <c r="AJ437">
        <v>0</v>
      </c>
      <c r="AK437">
        <v>38</v>
      </c>
      <c r="AL437" t="s">
        <v>149</v>
      </c>
      <c r="AM437" t="s">
        <v>123</v>
      </c>
      <c r="AN437" t="s">
        <v>150</v>
      </c>
      <c r="AO437" t="s">
        <v>4228</v>
      </c>
      <c r="AP437" t="s">
        <v>4229</v>
      </c>
      <c r="AQ437" t="s">
        <v>74</v>
      </c>
      <c r="AR437" t="s">
        <v>4215</v>
      </c>
      <c r="AS437" t="s">
        <v>4230</v>
      </c>
      <c r="AT437" t="s">
        <v>5678</v>
      </c>
      <c r="AU437">
        <v>2016</v>
      </c>
      <c r="AV437">
        <v>31</v>
      </c>
      <c r="AW437">
        <v>9</v>
      </c>
      <c r="AX437" t="s">
        <v>74</v>
      </c>
      <c r="AY437" t="s">
        <v>74</v>
      </c>
      <c r="AZ437" t="s">
        <v>74</v>
      </c>
      <c r="BA437" t="s">
        <v>74</v>
      </c>
      <c r="BB437">
        <v>1176</v>
      </c>
      <c r="BC437">
        <v>1192</v>
      </c>
      <c r="BD437" t="s">
        <v>74</v>
      </c>
      <c r="BE437" t="s">
        <v>8709</v>
      </c>
      <c r="BF437" t="str">
        <f>HYPERLINK("http://dx.doi.org/10.1002/2016PA002988","http://dx.doi.org/10.1002/2016PA002988")</f>
        <v>http://dx.doi.org/10.1002/2016PA002988</v>
      </c>
      <c r="BG437" t="s">
        <v>74</v>
      </c>
      <c r="BH437" t="s">
        <v>74</v>
      </c>
      <c r="BI437">
        <v>17</v>
      </c>
      <c r="BJ437" t="s">
        <v>4232</v>
      </c>
      <c r="BK437" t="s">
        <v>156</v>
      </c>
      <c r="BL437" t="s">
        <v>4233</v>
      </c>
      <c r="BM437" t="s">
        <v>6078</v>
      </c>
      <c r="BN437" t="s">
        <v>74</v>
      </c>
      <c r="BO437" t="s">
        <v>74</v>
      </c>
      <c r="BP437" t="s">
        <v>74</v>
      </c>
      <c r="BQ437" t="s">
        <v>74</v>
      </c>
      <c r="BR437" t="s">
        <v>105</v>
      </c>
      <c r="BS437" t="s">
        <v>8710</v>
      </c>
      <c r="BT437" t="str">
        <f>HYPERLINK("https%3A%2F%2Fwww.webofscience.com%2Fwos%2Fwoscc%2Ffull-record%2FWOS:000385742500002","View Full Record in Web of Science")</f>
        <v>View Full Record in Web of Science</v>
      </c>
    </row>
    <row r="438" spans="1:72" x14ac:dyDescent="0.15">
      <c r="A438" t="s">
        <v>72</v>
      </c>
      <c r="B438" t="s">
        <v>8711</v>
      </c>
      <c r="C438" t="s">
        <v>74</v>
      </c>
      <c r="D438" t="s">
        <v>74</v>
      </c>
      <c r="E438" t="s">
        <v>74</v>
      </c>
      <c r="F438" t="s">
        <v>8712</v>
      </c>
      <c r="G438" t="s">
        <v>74</v>
      </c>
      <c r="H438" t="s">
        <v>74</v>
      </c>
      <c r="I438" t="s">
        <v>8713</v>
      </c>
      <c r="J438" t="s">
        <v>8714</v>
      </c>
      <c r="K438" t="s">
        <v>74</v>
      </c>
      <c r="L438" t="s">
        <v>74</v>
      </c>
      <c r="M438" t="s">
        <v>78</v>
      </c>
      <c r="N438" t="s">
        <v>79</v>
      </c>
      <c r="O438" t="s">
        <v>74</v>
      </c>
      <c r="P438" t="s">
        <v>74</v>
      </c>
      <c r="Q438" t="s">
        <v>74</v>
      </c>
      <c r="R438" t="s">
        <v>74</v>
      </c>
      <c r="S438" t="s">
        <v>74</v>
      </c>
      <c r="T438" t="s">
        <v>8715</v>
      </c>
      <c r="U438" t="s">
        <v>8716</v>
      </c>
      <c r="V438" t="s">
        <v>8717</v>
      </c>
      <c r="W438" t="s">
        <v>8718</v>
      </c>
      <c r="X438" t="s">
        <v>8719</v>
      </c>
      <c r="Y438" t="s">
        <v>8720</v>
      </c>
      <c r="Z438" t="s">
        <v>8721</v>
      </c>
      <c r="AA438" t="s">
        <v>8722</v>
      </c>
      <c r="AB438" t="s">
        <v>8723</v>
      </c>
      <c r="AC438" t="s">
        <v>8724</v>
      </c>
      <c r="AD438" t="s">
        <v>8199</v>
      </c>
      <c r="AE438" t="s">
        <v>8725</v>
      </c>
      <c r="AF438" t="s">
        <v>74</v>
      </c>
      <c r="AG438">
        <v>74</v>
      </c>
      <c r="AH438">
        <v>48</v>
      </c>
      <c r="AI438">
        <v>53</v>
      </c>
      <c r="AJ438">
        <v>3</v>
      </c>
      <c r="AK438">
        <v>88</v>
      </c>
      <c r="AL438" t="s">
        <v>501</v>
      </c>
      <c r="AM438" t="s">
        <v>502</v>
      </c>
      <c r="AN438" t="s">
        <v>503</v>
      </c>
      <c r="AO438" t="s">
        <v>8726</v>
      </c>
      <c r="AP438" t="s">
        <v>8727</v>
      </c>
      <c r="AQ438" t="s">
        <v>74</v>
      </c>
      <c r="AR438" t="s">
        <v>8714</v>
      </c>
      <c r="AS438" t="s">
        <v>8728</v>
      </c>
      <c r="AT438" t="s">
        <v>5678</v>
      </c>
      <c r="AU438">
        <v>2016</v>
      </c>
      <c r="AV438">
        <v>18</v>
      </c>
      <c r="AW438">
        <v>5</v>
      </c>
      <c r="AX438" t="s">
        <v>74</v>
      </c>
      <c r="AY438" t="s">
        <v>74</v>
      </c>
      <c r="AZ438" t="s">
        <v>74</v>
      </c>
      <c r="BA438" t="s">
        <v>74</v>
      </c>
      <c r="BB438">
        <v>842</v>
      </c>
      <c r="BC438">
        <v>850</v>
      </c>
      <c r="BD438" t="s">
        <v>74</v>
      </c>
      <c r="BE438" t="s">
        <v>8729</v>
      </c>
      <c r="BF438" t="str">
        <f>HYPERLINK("http://dx.doi.org/10.1111/plb.12456","http://dx.doi.org/10.1111/plb.12456")</f>
        <v>http://dx.doi.org/10.1111/plb.12456</v>
      </c>
      <c r="BG438" t="s">
        <v>74</v>
      </c>
      <c r="BH438" t="s">
        <v>74</v>
      </c>
      <c r="BI438">
        <v>9</v>
      </c>
      <c r="BJ438" t="s">
        <v>1580</v>
      </c>
      <c r="BK438" t="s">
        <v>156</v>
      </c>
      <c r="BL438" t="s">
        <v>1580</v>
      </c>
      <c r="BM438" t="s">
        <v>8730</v>
      </c>
      <c r="BN438">
        <v>27016399</v>
      </c>
      <c r="BO438" t="s">
        <v>258</v>
      </c>
      <c r="BP438" t="s">
        <v>74</v>
      </c>
      <c r="BQ438" t="s">
        <v>74</v>
      </c>
      <c r="BR438" t="s">
        <v>105</v>
      </c>
      <c r="BS438" t="s">
        <v>8731</v>
      </c>
      <c r="BT438" t="str">
        <f>HYPERLINK("https%3A%2F%2Fwww.webofscience.com%2Fwos%2Fwoscc%2Ffull-record%2FWOS:000381027400012","View Full Record in Web of Science")</f>
        <v>View Full Record in Web of Science</v>
      </c>
    </row>
    <row r="439" spans="1:72" x14ac:dyDescent="0.15">
      <c r="A439" t="s">
        <v>72</v>
      </c>
      <c r="B439" t="s">
        <v>8732</v>
      </c>
      <c r="C439" t="s">
        <v>74</v>
      </c>
      <c r="D439" t="s">
        <v>74</v>
      </c>
      <c r="E439" t="s">
        <v>74</v>
      </c>
      <c r="F439" t="s">
        <v>8733</v>
      </c>
      <c r="G439" t="s">
        <v>74</v>
      </c>
      <c r="H439" t="s">
        <v>74</v>
      </c>
      <c r="I439" t="s">
        <v>8734</v>
      </c>
      <c r="J439" t="s">
        <v>631</v>
      </c>
      <c r="K439" t="s">
        <v>74</v>
      </c>
      <c r="L439" t="s">
        <v>74</v>
      </c>
      <c r="M439" t="s">
        <v>78</v>
      </c>
      <c r="N439" t="s">
        <v>79</v>
      </c>
      <c r="O439" t="s">
        <v>74</v>
      </c>
      <c r="P439" t="s">
        <v>74</v>
      </c>
      <c r="Q439" t="s">
        <v>74</v>
      </c>
      <c r="R439" t="s">
        <v>74</v>
      </c>
      <c r="S439" t="s">
        <v>74</v>
      </c>
      <c r="T439" t="s">
        <v>8735</v>
      </c>
      <c r="U439" t="s">
        <v>8736</v>
      </c>
      <c r="V439" t="s">
        <v>8737</v>
      </c>
      <c r="W439" t="s">
        <v>8738</v>
      </c>
      <c r="X439" t="s">
        <v>8739</v>
      </c>
      <c r="Y439" t="s">
        <v>8740</v>
      </c>
      <c r="Z439" t="s">
        <v>8741</v>
      </c>
      <c r="AA439" t="s">
        <v>8742</v>
      </c>
      <c r="AB439" t="s">
        <v>8743</v>
      </c>
      <c r="AC439" t="s">
        <v>8744</v>
      </c>
      <c r="AD439" t="s">
        <v>8745</v>
      </c>
      <c r="AE439" t="s">
        <v>8746</v>
      </c>
      <c r="AF439" t="s">
        <v>74</v>
      </c>
      <c r="AG439">
        <v>47</v>
      </c>
      <c r="AH439">
        <v>4</v>
      </c>
      <c r="AI439">
        <v>4</v>
      </c>
      <c r="AJ439">
        <v>0</v>
      </c>
      <c r="AK439">
        <v>15</v>
      </c>
      <c r="AL439" t="s">
        <v>644</v>
      </c>
      <c r="AM439" t="s">
        <v>594</v>
      </c>
      <c r="AN439" t="s">
        <v>645</v>
      </c>
      <c r="AO439" t="s">
        <v>646</v>
      </c>
      <c r="AP439" t="s">
        <v>647</v>
      </c>
      <c r="AQ439" t="s">
        <v>74</v>
      </c>
      <c r="AR439" t="s">
        <v>648</v>
      </c>
      <c r="AS439" t="s">
        <v>649</v>
      </c>
      <c r="AT439" t="s">
        <v>5678</v>
      </c>
      <c r="AU439">
        <v>2016</v>
      </c>
      <c r="AV439">
        <v>39</v>
      </c>
      <c r="AW439">
        <v>9</v>
      </c>
      <c r="AX439" t="s">
        <v>74</v>
      </c>
      <c r="AY439" t="s">
        <v>74</v>
      </c>
      <c r="AZ439" t="s">
        <v>74</v>
      </c>
      <c r="BA439" t="s">
        <v>74</v>
      </c>
      <c r="BB439">
        <v>1643</v>
      </c>
      <c r="BC439">
        <v>1652</v>
      </c>
      <c r="BD439" t="s">
        <v>74</v>
      </c>
      <c r="BE439" t="s">
        <v>8747</v>
      </c>
      <c r="BF439" t="str">
        <f>HYPERLINK("http://dx.doi.org/10.1007/s00300-016-1888-z","http://dx.doi.org/10.1007/s00300-016-1888-z")</f>
        <v>http://dx.doi.org/10.1007/s00300-016-1888-z</v>
      </c>
      <c r="BG439" t="s">
        <v>74</v>
      </c>
      <c r="BH439" t="s">
        <v>74</v>
      </c>
      <c r="BI439">
        <v>10</v>
      </c>
      <c r="BJ439" t="s">
        <v>652</v>
      </c>
      <c r="BK439" t="s">
        <v>156</v>
      </c>
      <c r="BL439" t="s">
        <v>653</v>
      </c>
      <c r="BM439" t="s">
        <v>6484</v>
      </c>
      <c r="BN439" t="s">
        <v>74</v>
      </c>
      <c r="BO439" t="s">
        <v>74</v>
      </c>
      <c r="BP439" t="s">
        <v>74</v>
      </c>
      <c r="BQ439" t="s">
        <v>74</v>
      </c>
      <c r="BR439" t="s">
        <v>105</v>
      </c>
      <c r="BS439" t="s">
        <v>8748</v>
      </c>
      <c r="BT439" t="str">
        <f>HYPERLINK("https%3A%2F%2Fwww.webofscience.com%2Fwos%2Fwoscc%2Ffull-record%2FWOS:000384551500012","View Full Record in Web of Science")</f>
        <v>View Full Record in Web of Science</v>
      </c>
    </row>
    <row r="440" spans="1:72" x14ac:dyDescent="0.15">
      <c r="A440" t="s">
        <v>72</v>
      </c>
      <c r="B440" t="s">
        <v>8749</v>
      </c>
      <c r="C440" t="s">
        <v>74</v>
      </c>
      <c r="D440" t="s">
        <v>74</v>
      </c>
      <c r="E440" t="s">
        <v>74</v>
      </c>
      <c r="F440" t="s">
        <v>8750</v>
      </c>
      <c r="G440" t="s">
        <v>74</v>
      </c>
      <c r="H440" t="s">
        <v>74</v>
      </c>
      <c r="I440" t="s">
        <v>8751</v>
      </c>
      <c r="J440" t="s">
        <v>631</v>
      </c>
      <c r="K440" t="s">
        <v>74</v>
      </c>
      <c r="L440" t="s">
        <v>74</v>
      </c>
      <c r="M440" t="s">
        <v>78</v>
      </c>
      <c r="N440" t="s">
        <v>79</v>
      </c>
      <c r="O440" t="s">
        <v>74</v>
      </c>
      <c r="P440" t="s">
        <v>74</v>
      </c>
      <c r="Q440" t="s">
        <v>74</v>
      </c>
      <c r="R440" t="s">
        <v>74</v>
      </c>
      <c r="S440" t="s">
        <v>74</v>
      </c>
      <c r="T440" t="s">
        <v>8752</v>
      </c>
      <c r="U440" t="s">
        <v>8753</v>
      </c>
      <c r="V440" t="s">
        <v>8754</v>
      </c>
      <c r="W440" t="s">
        <v>8755</v>
      </c>
      <c r="X440" t="s">
        <v>8756</v>
      </c>
      <c r="Y440" t="s">
        <v>8757</v>
      </c>
      <c r="Z440" t="s">
        <v>8758</v>
      </c>
      <c r="AA440" t="s">
        <v>8759</v>
      </c>
      <c r="AB440" t="s">
        <v>8760</v>
      </c>
      <c r="AC440" t="s">
        <v>8761</v>
      </c>
      <c r="AD440" t="s">
        <v>8762</v>
      </c>
      <c r="AE440" t="s">
        <v>8763</v>
      </c>
      <c r="AF440" t="s">
        <v>74</v>
      </c>
      <c r="AG440">
        <v>57</v>
      </c>
      <c r="AH440">
        <v>19</v>
      </c>
      <c r="AI440">
        <v>19</v>
      </c>
      <c r="AJ440">
        <v>1</v>
      </c>
      <c r="AK440">
        <v>21</v>
      </c>
      <c r="AL440" t="s">
        <v>644</v>
      </c>
      <c r="AM440" t="s">
        <v>594</v>
      </c>
      <c r="AN440" t="s">
        <v>3025</v>
      </c>
      <c r="AO440" t="s">
        <v>646</v>
      </c>
      <c r="AP440" t="s">
        <v>647</v>
      </c>
      <c r="AQ440" t="s">
        <v>74</v>
      </c>
      <c r="AR440" t="s">
        <v>648</v>
      </c>
      <c r="AS440" t="s">
        <v>649</v>
      </c>
      <c r="AT440" t="s">
        <v>5678</v>
      </c>
      <c r="AU440">
        <v>2016</v>
      </c>
      <c r="AV440">
        <v>39</v>
      </c>
      <c r="AW440">
        <v>9</v>
      </c>
      <c r="AX440" t="s">
        <v>74</v>
      </c>
      <c r="AY440" t="s">
        <v>74</v>
      </c>
      <c r="AZ440" t="s">
        <v>74</v>
      </c>
      <c r="BA440" t="s">
        <v>74</v>
      </c>
      <c r="BB440">
        <v>1653</v>
      </c>
      <c r="BC440">
        <v>1662</v>
      </c>
      <c r="BD440" t="s">
        <v>74</v>
      </c>
      <c r="BE440" t="s">
        <v>8764</v>
      </c>
      <c r="BF440" t="str">
        <f>HYPERLINK("http://dx.doi.org/10.1007/s00300-016-1889-y","http://dx.doi.org/10.1007/s00300-016-1889-y")</f>
        <v>http://dx.doi.org/10.1007/s00300-016-1889-y</v>
      </c>
      <c r="BG440" t="s">
        <v>74</v>
      </c>
      <c r="BH440" t="s">
        <v>74</v>
      </c>
      <c r="BI440">
        <v>10</v>
      </c>
      <c r="BJ440" t="s">
        <v>652</v>
      </c>
      <c r="BK440" t="s">
        <v>156</v>
      </c>
      <c r="BL440" t="s">
        <v>653</v>
      </c>
      <c r="BM440" t="s">
        <v>6484</v>
      </c>
      <c r="BN440" t="s">
        <v>74</v>
      </c>
      <c r="BO440" t="s">
        <v>74</v>
      </c>
      <c r="BP440" t="s">
        <v>74</v>
      </c>
      <c r="BQ440" t="s">
        <v>74</v>
      </c>
      <c r="BR440" t="s">
        <v>105</v>
      </c>
      <c r="BS440" t="s">
        <v>8765</v>
      </c>
      <c r="BT440" t="str">
        <f>HYPERLINK("https%3A%2F%2Fwww.webofscience.com%2Fwos%2Fwoscc%2Ffull-record%2FWOS:000384551500013","View Full Record in Web of Science")</f>
        <v>View Full Record in Web of Science</v>
      </c>
    </row>
    <row r="441" spans="1:72" x14ac:dyDescent="0.15">
      <c r="A441" t="s">
        <v>72</v>
      </c>
      <c r="B441" t="s">
        <v>8766</v>
      </c>
      <c r="C441" t="s">
        <v>74</v>
      </c>
      <c r="D441" t="s">
        <v>74</v>
      </c>
      <c r="E441" t="s">
        <v>74</v>
      </c>
      <c r="F441" t="s">
        <v>8767</v>
      </c>
      <c r="G441" t="s">
        <v>74</v>
      </c>
      <c r="H441" t="s">
        <v>74</v>
      </c>
      <c r="I441" t="s">
        <v>8768</v>
      </c>
      <c r="J441" t="s">
        <v>631</v>
      </c>
      <c r="K441" t="s">
        <v>74</v>
      </c>
      <c r="L441" t="s">
        <v>74</v>
      </c>
      <c r="M441" t="s">
        <v>78</v>
      </c>
      <c r="N441" t="s">
        <v>79</v>
      </c>
      <c r="O441" t="s">
        <v>74</v>
      </c>
      <c r="P441" t="s">
        <v>74</v>
      </c>
      <c r="Q441" t="s">
        <v>74</v>
      </c>
      <c r="R441" t="s">
        <v>74</v>
      </c>
      <c r="S441" t="s">
        <v>74</v>
      </c>
      <c r="T441" t="s">
        <v>8769</v>
      </c>
      <c r="U441" t="s">
        <v>8770</v>
      </c>
      <c r="V441" t="s">
        <v>8771</v>
      </c>
      <c r="W441" t="s">
        <v>8772</v>
      </c>
      <c r="X441" t="s">
        <v>8773</v>
      </c>
      <c r="Y441" t="s">
        <v>8774</v>
      </c>
      <c r="Z441" t="s">
        <v>8775</v>
      </c>
      <c r="AA441" t="s">
        <v>8776</v>
      </c>
      <c r="AB441" t="s">
        <v>8777</v>
      </c>
      <c r="AC441" t="s">
        <v>8778</v>
      </c>
      <c r="AD441" t="s">
        <v>8779</v>
      </c>
      <c r="AE441" t="s">
        <v>8780</v>
      </c>
      <c r="AF441" t="s">
        <v>74</v>
      </c>
      <c r="AG441">
        <v>89</v>
      </c>
      <c r="AH441">
        <v>22</v>
      </c>
      <c r="AI441">
        <v>22</v>
      </c>
      <c r="AJ441">
        <v>0</v>
      </c>
      <c r="AK441">
        <v>14</v>
      </c>
      <c r="AL441" t="s">
        <v>644</v>
      </c>
      <c r="AM441" t="s">
        <v>594</v>
      </c>
      <c r="AN441" t="s">
        <v>645</v>
      </c>
      <c r="AO441" t="s">
        <v>646</v>
      </c>
      <c r="AP441" t="s">
        <v>647</v>
      </c>
      <c r="AQ441" t="s">
        <v>74</v>
      </c>
      <c r="AR441" t="s">
        <v>648</v>
      </c>
      <c r="AS441" t="s">
        <v>649</v>
      </c>
      <c r="AT441" t="s">
        <v>5678</v>
      </c>
      <c r="AU441">
        <v>2016</v>
      </c>
      <c r="AV441">
        <v>39</v>
      </c>
      <c r="AW441">
        <v>9</v>
      </c>
      <c r="AX441" t="s">
        <v>74</v>
      </c>
      <c r="AY441" t="s">
        <v>74</v>
      </c>
      <c r="AZ441" t="s">
        <v>74</v>
      </c>
      <c r="BA441" t="s">
        <v>74</v>
      </c>
      <c r="BB441">
        <v>1663</v>
      </c>
      <c r="BC441">
        <v>1677</v>
      </c>
      <c r="BD441" t="s">
        <v>74</v>
      </c>
      <c r="BE441" t="s">
        <v>8781</v>
      </c>
      <c r="BF441" t="str">
        <f>HYPERLINK("http://dx.doi.org/10.1007/s00300-016-1890-5","http://dx.doi.org/10.1007/s00300-016-1890-5")</f>
        <v>http://dx.doi.org/10.1007/s00300-016-1890-5</v>
      </c>
      <c r="BG441" t="s">
        <v>74</v>
      </c>
      <c r="BH441" t="s">
        <v>74</v>
      </c>
      <c r="BI441">
        <v>15</v>
      </c>
      <c r="BJ441" t="s">
        <v>652</v>
      </c>
      <c r="BK441" t="s">
        <v>156</v>
      </c>
      <c r="BL441" t="s">
        <v>653</v>
      </c>
      <c r="BM441" t="s">
        <v>6484</v>
      </c>
      <c r="BN441" t="s">
        <v>74</v>
      </c>
      <c r="BO441" t="s">
        <v>74</v>
      </c>
      <c r="BP441" t="s">
        <v>74</v>
      </c>
      <c r="BQ441" t="s">
        <v>74</v>
      </c>
      <c r="BR441" t="s">
        <v>105</v>
      </c>
      <c r="BS441" t="s">
        <v>8782</v>
      </c>
      <c r="BT441" t="str">
        <f>HYPERLINK("https%3A%2F%2Fwww.webofscience.com%2Fwos%2Fwoscc%2Ffull-record%2FWOS:000384551500014","View Full Record in Web of Science")</f>
        <v>View Full Record in Web of Science</v>
      </c>
    </row>
    <row r="442" spans="1:72" x14ac:dyDescent="0.15">
      <c r="A442" t="s">
        <v>72</v>
      </c>
      <c r="B442" t="s">
        <v>8783</v>
      </c>
      <c r="C442" t="s">
        <v>74</v>
      </c>
      <c r="D442" t="s">
        <v>74</v>
      </c>
      <c r="E442" t="s">
        <v>74</v>
      </c>
      <c r="F442" t="s">
        <v>8784</v>
      </c>
      <c r="G442" t="s">
        <v>74</v>
      </c>
      <c r="H442" t="s">
        <v>74</v>
      </c>
      <c r="I442" t="s">
        <v>8785</v>
      </c>
      <c r="J442" t="s">
        <v>8786</v>
      </c>
      <c r="K442" t="s">
        <v>74</v>
      </c>
      <c r="L442" t="s">
        <v>74</v>
      </c>
      <c r="M442" t="s">
        <v>8787</v>
      </c>
      <c r="N442" t="s">
        <v>79</v>
      </c>
      <c r="O442" t="s">
        <v>74</v>
      </c>
      <c r="P442" t="s">
        <v>74</v>
      </c>
      <c r="Q442" t="s">
        <v>74</v>
      </c>
      <c r="R442" t="s">
        <v>74</v>
      </c>
      <c r="S442" t="s">
        <v>74</v>
      </c>
      <c r="T442" t="s">
        <v>8788</v>
      </c>
      <c r="U442" t="s">
        <v>8789</v>
      </c>
      <c r="V442" t="s">
        <v>8790</v>
      </c>
      <c r="W442" t="s">
        <v>8791</v>
      </c>
      <c r="X442" t="s">
        <v>8792</v>
      </c>
      <c r="Y442" t="s">
        <v>8793</v>
      </c>
      <c r="Z442" t="s">
        <v>4544</v>
      </c>
      <c r="AA442" t="s">
        <v>74</v>
      </c>
      <c r="AB442" t="s">
        <v>8794</v>
      </c>
      <c r="AC442" t="s">
        <v>74</v>
      </c>
      <c r="AD442" t="s">
        <v>74</v>
      </c>
      <c r="AE442" t="s">
        <v>74</v>
      </c>
      <c r="AF442" t="s">
        <v>74</v>
      </c>
      <c r="AG442">
        <v>111</v>
      </c>
      <c r="AH442">
        <v>2</v>
      </c>
      <c r="AI442">
        <v>2</v>
      </c>
      <c r="AJ442">
        <v>1</v>
      </c>
      <c r="AK442">
        <v>32</v>
      </c>
      <c r="AL442" t="s">
        <v>8795</v>
      </c>
      <c r="AM442" t="s">
        <v>8796</v>
      </c>
      <c r="AN442" t="s">
        <v>8797</v>
      </c>
      <c r="AO442" t="s">
        <v>8798</v>
      </c>
      <c r="AP442" t="s">
        <v>74</v>
      </c>
      <c r="AQ442" t="s">
        <v>74</v>
      </c>
      <c r="AR442" t="s">
        <v>8786</v>
      </c>
      <c r="AS442" t="s">
        <v>8799</v>
      </c>
      <c r="AT442" t="s">
        <v>5678</v>
      </c>
      <c r="AU442">
        <v>2016</v>
      </c>
      <c r="AV442">
        <v>27</v>
      </c>
      <c r="AW442">
        <v>3</v>
      </c>
      <c r="AX442" t="s">
        <v>74</v>
      </c>
      <c r="AY442" t="s">
        <v>74</v>
      </c>
      <c r="AZ442" t="s">
        <v>74</v>
      </c>
      <c r="BA442" t="s">
        <v>74</v>
      </c>
      <c r="BB442">
        <v>197</v>
      </c>
      <c r="BC442">
        <v>212</v>
      </c>
      <c r="BD442" t="s">
        <v>74</v>
      </c>
      <c r="BE442" t="s">
        <v>74</v>
      </c>
      <c r="BF442" t="s">
        <v>74</v>
      </c>
      <c r="BG442" t="s">
        <v>74</v>
      </c>
      <c r="BH442" t="s">
        <v>74</v>
      </c>
      <c r="BI442">
        <v>16</v>
      </c>
      <c r="BJ442" t="s">
        <v>352</v>
      </c>
      <c r="BK442" t="s">
        <v>156</v>
      </c>
      <c r="BL442" t="s">
        <v>177</v>
      </c>
      <c r="BM442" t="s">
        <v>8800</v>
      </c>
      <c r="BN442" t="s">
        <v>74</v>
      </c>
      <c r="BO442" t="s">
        <v>74</v>
      </c>
      <c r="BP442" t="s">
        <v>74</v>
      </c>
      <c r="BQ442" t="s">
        <v>74</v>
      </c>
      <c r="BR442" t="s">
        <v>105</v>
      </c>
      <c r="BS442" t="s">
        <v>8801</v>
      </c>
      <c r="BT442" t="str">
        <f>HYPERLINK("https%3A%2F%2Fwww.webofscience.com%2Fwos%2Fwoscc%2Ffull-record%2FWOS:000388370700002","View Full Record in Web of Science")</f>
        <v>View Full Record in Web of Science</v>
      </c>
    </row>
    <row r="443" spans="1:72" x14ac:dyDescent="0.15">
      <c r="A443" t="s">
        <v>72</v>
      </c>
      <c r="B443" t="s">
        <v>8802</v>
      </c>
      <c r="C443" t="s">
        <v>74</v>
      </c>
      <c r="D443" t="s">
        <v>74</v>
      </c>
      <c r="E443" t="s">
        <v>74</v>
      </c>
      <c r="F443" t="s">
        <v>8803</v>
      </c>
      <c r="G443" t="s">
        <v>74</v>
      </c>
      <c r="H443" t="s">
        <v>74</v>
      </c>
      <c r="I443" t="s">
        <v>8804</v>
      </c>
      <c r="J443" t="s">
        <v>1654</v>
      </c>
      <c r="K443" t="s">
        <v>74</v>
      </c>
      <c r="L443" t="s">
        <v>74</v>
      </c>
      <c r="M443" t="s">
        <v>78</v>
      </c>
      <c r="N443" t="s">
        <v>2730</v>
      </c>
      <c r="O443" t="s">
        <v>7279</v>
      </c>
      <c r="P443">
        <v>2014</v>
      </c>
      <c r="Q443" t="s">
        <v>7280</v>
      </c>
      <c r="R443" t="s">
        <v>74</v>
      </c>
      <c r="S443" t="s">
        <v>74</v>
      </c>
      <c r="T443" t="s">
        <v>8805</v>
      </c>
      <c r="U443" t="s">
        <v>8806</v>
      </c>
      <c r="V443" t="s">
        <v>8807</v>
      </c>
      <c r="W443" t="s">
        <v>8808</v>
      </c>
      <c r="X443" t="s">
        <v>8809</v>
      </c>
      <c r="Y443" t="s">
        <v>8810</v>
      </c>
      <c r="Z443" t="s">
        <v>8811</v>
      </c>
      <c r="AA443" t="s">
        <v>8812</v>
      </c>
      <c r="AB443" t="s">
        <v>8813</v>
      </c>
      <c r="AC443" t="s">
        <v>8814</v>
      </c>
      <c r="AD443" t="s">
        <v>8815</v>
      </c>
      <c r="AE443" t="s">
        <v>74</v>
      </c>
      <c r="AF443" t="s">
        <v>74</v>
      </c>
      <c r="AG443">
        <v>107</v>
      </c>
      <c r="AH443">
        <v>58</v>
      </c>
      <c r="AI443">
        <v>60</v>
      </c>
      <c r="AJ443">
        <v>1</v>
      </c>
      <c r="AK443">
        <v>16</v>
      </c>
      <c r="AL443" t="s">
        <v>303</v>
      </c>
      <c r="AM443" t="s">
        <v>304</v>
      </c>
      <c r="AN443" t="s">
        <v>305</v>
      </c>
      <c r="AO443" t="s">
        <v>1666</v>
      </c>
      <c r="AP443" t="s">
        <v>74</v>
      </c>
      <c r="AQ443" t="s">
        <v>74</v>
      </c>
      <c r="AR443" t="s">
        <v>1668</v>
      </c>
      <c r="AS443" t="s">
        <v>1669</v>
      </c>
      <c r="AT443" t="s">
        <v>7290</v>
      </c>
      <c r="AU443">
        <v>2016</v>
      </c>
      <c r="AV443">
        <v>147</v>
      </c>
      <c r="AW443" t="s">
        <v>74</v>
      </c>
      <c r="AX443" t="s">
        <v>74</v>
      </c>
      <c r="AY443" t="s">
        <v>74</v>
      </c>
      <c r="AZ443" t="s">
        <v>650</v>
      </c>
      <c r="BA443" t="s">
        <v>74</v>
      </c>
      <c r="BB443">
        <v>5</v>
      </c>
      <c r="BC443">
        <v>26</v>
      </c>
      <c r="BD443" t="s">
        <v>74</v>
      </c>
      <c r="BE443" t="s">
        <v>8816</v>
      </c>
      <c r="BF443" t="str">
        <f>HYPERLINK("http://dx.doi.org/10.1016/j.quascirev.2016.01.018","http://dx.doi.org/10.1016/j.quascirev.2016.01.018")</f>
        <v>http://dx.doi.org/10.1016/j.quascirev.2016.01.018</v>
      </c>
      <c r="BG443" t="s">
        <v>74</v>
      </c>
      <c r="BH443" t="s">
        <v>74</v>
      </c>
      <c r="BI443">
        <v>22</v>
      </c>
      <c r="BJ443" t="s">
        <v>203</v>
      </c>
      <c r="BK443" t="s">
        <v>2548</v>
      </c>
      <c r="BL443" t="s">
        <v>204</v>
      </c>
      <c r="BM443" t="s">
        <v>7292</v>
      </c>
      <c r="BN443" t="s">
        <v>74</v>
      </c>
      <c r="BO443" t="s">
        <v>626</v>
      </c>
      <c r="BP443" t="s">
        <v>74</v>
      </c>
      <c r="BQ443" t="s">
        <v>74</v>
      </c>
      <c r="BR443" t="s">
        <v>105</v>
      </c>
      <c r="BS443" t="s">
        <v>8817</v>
      </c>
      <c r="BT443" t="str">
        <f>HYPERLINK("https%3A%2F%2Fwww.webofscience.com%2Fwos%2Fwoscc%2Ffull-record%2FWOS:000382409500002","View Full Record in Web of Science")</f>
        <v>View Full Record in Web of Science</v>
      </c>
    </row>
    <row r="444" spans="1:72" x14ac:dyDescent="0.15">
      <c r="A444" t="s">
        <v>72</v>
      </c>
      <c r="B444" t="s">
        <v>8818</v>
      </c>
      <c r="C444" t="s">
        <v>74</v>
      </c>
      <c r="D444" t="s">
        <v>74</v>
      </c>
      <c r="E444" t="s">
        <v>74</v>
      </c>
      <c r="F444" t="s">
        <v>8819</v>
      </c>
      <c r="G444" t="s">
        <v>74</v>
      </c>
      <c r="H444" t="s">
        <v>74</v>
      </c>
      <c r="I444" t="s">
        <v>8820</v>
      </c>
      <c r="J444" t="s">
        <v>1654</v>
      </c>
      <c r="K444" t="s">
        <v>74</v>
      </c>
      <c r="L444" t="s">
        <v>74</v>
      </c>
      <c r="M444" t="s">
        <v>78</v>
      </c>
      <c r="N444" t="s">
        <v>2730</v>
      </c>
      <c r="O444" t="s">
        <v>7279</v>
      </c>
      <c r="P444">
        <v>2014</v>
      </c>
      <c r="Q444" t="s">
        <v>7280</v>
      </c>
      <c r="R444" t="s">
        <v>74</v>
      </c>
      <c r="S444" t="s">
        <v>74</v>
      </c>
      <c r="T444" t="s">
        <v>8821</v>
      </c>
      <c r="U444" t="s">
        <v>8822</v>
      </c>
      <c r="V444" t="s">
        <v>8823</v>
      </c>
      <c r="W444" t="s">
        <v>8824</v>
      </c>
      <c r="X444" t="s">
        <v>8825</v>
      </c>
      <c r="Y444" t="s">
        <v>8826</v>
      </c>
      <c r="Z444" t="s">
        <v>8827</v>
      </c>
      <c r="AA444" t="s">
        <v>8828</v>
      </c>
      <c r="AB444" t="s">
        <v>8829</v>
      </c>
      <c r="AC444" t="s">
        <v>8830</v>
      </c>
      <c r="AD444" t="s">
        <v>8831</v>
      </c>
      <c r="AE444" t="s">
        <v>74</v>
      </c>
      <c r="AF444" t="s">
        <v>74</v>
      </c>
      <c r="AG444">
        <v>115</v>
      </c>
      <c r="AH444">
        <v>42</v>
      </c>
      <c r="AI444">
        <v>43</v>
      </c>
      <c r="AJ444">
        <v>1</v>
      </c>
      <c r="AK444">
        <v>22</v>
      </c>
      <c r="AL444" t="s">
        <v>303</v>
      </c>
      <c r="AM444" t="s">
        <v>304</v>
      </c>
      <c r="AN444" t="s">
        <v>305</v>
      </c>
      <c r="AO444" t="s">
        <v>1666</v>
      </c>
      <c r="AP444" t="s">
        <v>74</v>
      </c>
      <c r="AQ444" t="s">
        <v>74</v>
      </c>
      <c r="AR444" t="s">
        <v>1668</v>
      </c>
      <c r="AS444" t="s">
        <v>1669</v>
      </c>
      <c r="AT444" t="s">
        <v>7290</v>
      </c>
      <c r="AU444">
        <v>2016</v>
      </c>
      <c r="AV444">
        <v>147</v>
      </c>
      <c r="AW444" t="s">
        <v>74</v>
      </c>
      <c r="AX444" t="s">
        <v>74</v>
      </c>
      <c r="AY444" t="s">
        <v>74</v>
      </c>
      <c r="AZ444" t="s">
        <v>650</v>
      </c>
      <c r="BA444" t="s">
        <v>74</v>
      </c>
      <c r="BB444">
        <v>27</v>
      </c>
      <c r="BC444">
        <v>46</v>
      </c>
      <c r="BD444" t="s">
        <v>74</v>
      </c>
      <c r="BE444" t="s">
        <v>8832</v>
      </c>
      <c r="BF444" t="str">
        <f>HYPERLINK("http://dx.doi.org/10.1016/j.quascirev.2016.01.019","http://dx.doi.org/10.1016/j.quascirev.2016.01.019")</f>
        <v>http://dx.doi.org/10.1016/j.quascirev.2016.01.019</v>
      </c>
      <c r="BG444" t="s">
        <v>74</v>
      </c>
      <c r="BH444" t="s">
        <v>74</v>
      </c>
      <c r="BI444">
        <v>20</v>
      </c>
      <c r="BJ444" t="s">
        <v>203</v>
      </c>
      <c r="BK444" t="s">
        <v>2548</v>
      </c>
      <c r="BL444" t="s">
        <v>204</v>
      </c>
      <c r="BM444" t="s">
        <v>7292</v>
      </c>
      <c r="BN444" t="s">
        <v>74</v>
      </c>
      <c r="BO444" t="s">
        <v>329</v>
      </c>
      <c r="BP444" t="s">
        <v>74</v>
      </c>
      <c r="BQ444" t="s">
        <v>74</v>
      </c>
      <c r="BR444" t="s">
        <v>105</v>
      </c>
      <c r="BS444" t="s">
        <v>8833</v>
      </c>
      <c r="BT444" t="str">
        <f>HYPERLINK("https%3A%2F%2Fwww.webofscience.com%2Fwos%2Fwoscc%2Ffull-record%2FWOS:000382409500003","View Full Record in Web of Science")</f>
        <v>View Full Record in Web of Science</v>
      </c>
    </row>
    <row r="445" spans="1:72" x14ac:dyDescent="0.15">
      <c r="A445" t="s">
        <v>72</v>
      </c>
      <c r="B445" t="s">
        <v>8834</v>
      </c>
      <c r="C445" t="s">
        <v>74</v>
      </c>
      <c r="D445" t="s">
        <v>74</v>
      </c>
      <c r="E445" t="s">
        <v>74</v>
      </c>
      <c r="F445" t="s">
        <v>8835</v>
      </c>
      <c r="G445" t="s">
        <v>74</v>
      </c>
      <c r="H445" t="s">
        <v>74</v>
      </c>
      <c r="I445" t="s">
        <v>8836</v>
      </c>
      <c r="J445" t="s">
        <v>1654</v>
      </c>
      <c r="K445" t="s">
        <v>74</v>
      </c>
      <c r="L445" t="s">
        <v>74</v>
      </c>
      <c r="M445" t="s">
        <v>78</v>
      </c>
      <c r="N445" t="s">
        <v>2730</v>
      </c>
      <c r="O445" t="s">
        <v>7279</v>
      </c>
      <c r="P445">
        <v>2014</v>
      </c>
      <c r="Q445" t="s">
        <v>7280</v>
      </c>
      <c r="R445" t="s">
        <v>74</v>
      </c>
      <c r="S445" t="s">
        <v>74</v>
      </c>
      <c r="T445" t="s">
        <v>8837</v>
      </c>
      <c r="U445" t="s">
        <v>8838</v>
      </c>
      <c r="V445" t="s">
        <v>8839</v>
      </c>
      <c r="W445" t="s">
        <v>8840</v>
      </c>
      <c r="X445" t="s">
        <v>8841</v>
      </c>
      <c r="Y445" t="s">
        <v>8842</v>
      </c>
      <c r="Z445" t="s">
        <v>8843</v>
      </c>
      <c r="AA445" t="s">
        <v>8844</v>
      </c>
      <c r="AB445" t="s">
        <v>8845</v>
      </c>
      <c r="AC445" t="s">
        <v>74</v>
      </c>
      <c r="AD445" t="s">
        <v>74</v>
      </c>
      <c r="AE445" t="s">
        <v>74</v>
      </c>
      <c r="AF445" t="s">
        <v>74</v>
      </c>
      <c r="AG445">
        <v>117</v>
      </c>
      <c r="AH445">
        <v>50</v>
      </c>
      <c r="AI445">
        <v>54</v>
      </c>
      <c r="AJ445">
        <v>5</v>
      </c>
      <c r="AK445">
        <v>55</v>
      </c>
      <c r="AL445" t="s">
        <v>303</v>
      </c>
      <c r="AM445" t="s">
        <v>304</v>
      </c>
      <c r="AN445" t="s">
        <v>305</v>
      </c>
      <c r="AO445" t="s">
        <v>1666</v>
      </c>
      <c r="AP445" t="s">
        <v>1667</v>
      </c>
      <c r="AQ445" t="s">
        <v>74</v>
      </c>
      <c r="AR445" t="s">
        <v>1668</v>
      </c>
      <c r="AS445" t="s">
        <v>1669</v>
      </c>
      <c r="AT445" t="s">
        <v>7290</v>
      </c>
      <c r="AU445">
        <v>2016</v>
      </c>
      <c r="AV445">
        <v>147</v>
      </c>
      <c r="AW445" t="s">
        <v>74</v>
      </c>
      <c r="AX445" t="s">
        <v>74</v>
      </c>
      <c r="AY445" t="s">
        <v>74</v>
      </c>
      <c r="AZ445" t="s">
        <v>650</v>
      </c>
      <c r="BA445" t="s">
        <v>74</v>
      </c>
      <c r="BB445">
        <v>406</v>
      </c>
      <c r="BC445">
        <v>421</v>
      </c>
      <c r="BD445" t="s">
        <v>74</v>
      </c>
      <c r="BE445" t="s">
        <v>8846</v>
      </c>
      <c r="BF445" t="str">
        <f>HYPERLINK("http://dx.doi.org/10.1016/j.quascirev.2015.08.014","http://dx.doi.org/10.1016/j.quascirev.2015.08.014")</f>
        <v>http://dx.doi.org/10.1016/j.quascirev.2015.08.014</v>
      </c>
      <c r="BG445" t="s">
        <v>74</v>
      </c>
      <c r="BH445" t="s">
        <v>74</v>
      </c>
      <c r="BI445">
        <v>16</v>
      </c>
      <c r="BJ445" t="s">
        <v>203</v>
      </c>
      <c r="BK445" t="s">
        <v>2548</v>
      </c>
      <c r="BL445" t="s">
        <v>204</v>
      </c>
      <c r="BM445" t="s">
        <v>7292</v>
      </c>
      <c r="BN445" t="s">
        <v>74</v>
      </c>
      <c r="BO445" t="s">
        <v>74</v>
      </c>
      <c r="BP445" t="s">
        <v>74</v>
      </c>
      <c r="BQ445" t="s">
        <v>74</v>
      </c>
      <c r="BR445" t="s">
        <v>105</v>
      </c>
      <c r="BS445" t="s">
        <v>8847</v>
      </c>
      <c r="BT445" t="str">
        <f>HYPERLINK("https%3A%2F%2Fwww.webofscience.com%2Fwos%2Fwoscc%2Ffull-record%2FWOS:000382409500025","View Full Record in Web of Science")</f>
        <v>View Full Record in Web of Science</v>
      </c>
    </row>
    <row r="446" spans="1:72" x14ac:dyDescent="0.15">
      <c r="A446" t="s">
        <v>72</v>
      </c>
      <c r="B446" t="s">
        <v>8848</v>
      </c>
      <c r="C446" t="s">
        <v>74</v>
      </c>
      <c r="D446" t="s">
        <v>74</v>
      </c>
      <c r="E446" t="s">
        <v>74</v>
      </c>
      <c r="F446" t="s">
        <v>8849</v>
      </c>
      <c r="G446" t="s">
        <v>74</v>
      </c>
      <c r="H446" t="s">
        <v>74</v>
      </c>
      <c r="I446" t="s">
        <v>8850</v>
      </c>
      <c r="J446" t="s">
        <v>5932</v>
      </c>
      <c r="K446" t="s">
        <v>74</v>
      </c>
      <c r="L446" t="s">
        <v>74</v>
      </c>
      <c r="M446" t="s">
        <v>5933</v>
      </c>
      <c r="N446" t="s">
        <v>79</v>
      </c>
      <c r="O446" t="s">
        <v>74</v>
      </c>
      <c r="P446" t="s">
        <v>74</v>
      </c>
      <c r="Q446" t="s">
        <v>74</v>
      </c>
      <c r="R446" t="s">
        <v>74</v>
      </c>
      <c r="S446" t="s">
        <v>74</v>
      </c>
      <c r="T446" t="s">
        <v>8851</v>
      </c>
      <c r="U446" t="s">
        <v>8852</v>
      </c>
      <c r="V446" t="s">
        <v>8853</v>
      </c>
      <c r="W446" t="s">
        <v>8854</v>
      </c>
      <c r="X446" t="s">
        <v>8855</v>
      </c>
      <c r="Y446" t="s">
        <v>8856</v>
      </c>
      <c r="Z446" t="s">
        <v>8857</v>
      </c>
      <c r="AA446" t="s">
        <v>8858</v>
      </c>
      <c r="AB446" t="s">
        <v>8859</v>
      </c>
      <c r="AC446" t="s">
        <v>74</v>
      </c>
      <c r="AD446" t="s">
        <v>74</v>
      </c>
      <c r="AE446" t="s">
        <v>74</v>
      </c>
      <c r="AF446" t="s">
        <v>74</v>
      </c>
      <c r="AG446">
        <v>31</v>
      </c>
      <c r="AH446">
        <v>6</v>
      </c>
      <c r="AI446">
        <v>6</v>
      </c>
      <c r="AJ446">
        <v>1</v>
      </c>
      <c r="AK446">
        <v>21</v>
      </c>
      <c r="AL446" t="s">
        <v>5943</v>
      </c>
      <c r="AM446" t="s">
        <v>5944</v>
      </c>
      <c r="AN446" t="s">
        <v>5945</v>
      </c>
      <c r="AO446" t="s">
        <v>5946</v>
      </c>
      <c r="AP446" t="s">
        <v>5947</v>
      </c>
      <c r="AQ446" t="s">
        <v>74</v>
      </c>
      <c r="AR446" t="s">
        <v>5948</v>
      </c>
      <c r="AS446" t="s">
        <v>5949</v>
      </c>
      <c r="AT446" t="s">
        <v>5678</v>
      </c>
      <c r="AU446">
        <v>2016</v>
      </c>
      <c r="AV446">
        <v>39</v>
      </c>
      <c r="AW446">
        <v>8</v>
      </c>
      <c r="AX446" t="s">
        <v>74</v>
      </c>
      <c r="AY446" t="s">
        <v>74</v>
      </c>
      <c r="AZ446" t="s">
        <v>74</v>
      </c>
      <c r="BA446" t="s">
        <v>74</v>
      </c>
      <c r="BB446">
        <v>893</v>
      </c>
      <c r="BC446">
        <v>900</v>
      </c>
      <c r="BD446" t="s">
        <v>74</v>
      </c>
      <c r="BE446" t="s">
        <v>8860</v>
      </c>
      <c r="BF446" t="str">
        <f>HYPERLINK("http://dx.doi.org/10.21577/0100-4042.20160134","http://dx.doi.org/10.21577/0100-4042.20160134")</f>
        <v>http://dx.doi.org/10.21577/0100-4042.20160134</v>
      </c>
      <c r="BG446" t="s">
        <v>74</v>
      </c>
      <c r="BH446" t="s">
        <v>74</v>
      </c>
      <c r="BI446">
        <v>8</v>
      </c>
      <c r="BJ446" t="s">
        <v>5951</v>
      </c>
      <c r="BK446" t="s">
        <v>156</v>
      </c>
      <c r="BL446" t="s">
        <v>5587</v>
      </c>
      <c r="BM446" t="s">
        <v>5952</v>
      </c>
      <c r="BN446" t="s">
        <v>74</v>
      </c>
      <c r="BO446" t="s">
        <v>133</v>
      </c>
      <c r="BP446" t="s">
        <v>74</v>
      </c>
      <c r="BQ446" t="s">
        <v>74</v>
      </c>
      <c r="BR446" t="s">
        <v>105</v>
      </c>
      <c r="BS446" t="s">
        <v>8861</v>
      </c>
      <c r="BT446" t="str">
        <f>HYPERLINK("https%3A%2F%2Fwww.webofscience.com%2Fwos%2Fwoscc%2Ffull-record%2FWOS:000387157800001","View Full Record in Web of Science")</f>
        <v>View Full Record in Web of Science</v>
      </c>
    </row>
    <row r="447" spans="1:72" x14ac:dyDescent="0.15">
      <c r="A447" t="s">
        <v>72</v>
      </c>
      <c r="B447" t="s">
        <v>8862</v>
      </c>
      <c r="C447" t="s">
        <v>74</v>
      </c>
      <c r="D447" t="s">
        <v>74</v>
      </c>
      <c r="E447" t="s">
        <v>74</v>
      </c>
      <c r="F447" t="s">
        <v>8863</v>
      </c>
      <c r="G447" t="s">
        <v>74</v>
      </c>
      <c r="H447" t="s">
        <v>74</v>
      </c>
      <c r="I447" t="s">
        <v>8864</v>
      </c>
      <c r="J447" t="s">
        <v>700</v>
      </c>
      <c r="K447" t="s">
        <v>74</v>
      </c>
      <c r="L447" t="s">
        <v>74</v>
      </c>
      <c r="M447" t="s">
        <v>78</v>
      </c>
      <c r="N447" t="s">
        <v>79</v>
      </c>
      <c r="O447" t="s">
        <v>74</v>
      </c>
      <c r="P447" t="s">
        <v>74</v>
      </c>
      <c r="Q447" t="s">
        <v>74</v>
      </c>
      <c r="R447" t="s">
        <v>74</v>
      </c>
      <c r="S447" t="s">
        <v>74</v>
      </c>
      <c r="T447" t="s">
        <v>8865</v>
      </c>
      <c r="U447" t="s">
        <v>8866</v>
      </c>
      <c r="V447" t="s">
        <v>8867</v>
      </c>
      <c r="W447" t="s">
        <v>8868</v>
      </c>
      <c r="X447" t="s">
        <v>8869</v>
      </c>
      <c r="Y447" t="s">
        <v>8870</v>
      </c>
      <c r="Z447" t="s">
        <v>8871</v>
      </c>
      <c r="AA447" t="s">
        <v>8872</v>
      </c>
      <c r="AB447" t="s">
        <v>8873</v>
      </c>
      <c r="AC447" t="s">
        <v>8874</v>
      </c>
      <c r="AD447" t="s">
        <v>8875</v>
      </c>
      <c r="AE447" t="s">
        <v>8876</v>
      </c>
      <c r="AF447" t="s">
        <v>74</v>
      </c>
      <c r="AG447">
        <v>113</v>
      </c>
      <c r="AH447">
        <v>15</v>
      </c>
      <c r="AI447">
        <v>16</v>
      </c>
      <c r="AJ447">
        <v>0</v>
      </c>
      <c r="AK447">
        <v>22</v>
      </c>
      <c r="AL447" t="s">
        <v>713</v>
      </c>
      <c r="AM447" t="s">
        <v>250</v>
      </c>
      <c r="AN447" t="s">
        <v>714</v>
      </c>
      <c r="AO447" t="s">
        <v>715</v>
      </c>
      <c r="AP447" t="s">
        <v>74</v>
      </c>
      <c r="AQ447" t="s">
        <v>74</v>
      </c>
      <c r="AR447" t="s">
        <v>716</v>
      </c>
      <c r="AS447" t="s">
        <v>717</v>
      </c>
      <c r="AT447" t="s">
        <v>5678</v>
      </c>
      <c r="AU447">
        <v>2016</v>
      </c>
      <c r="AV447">
        <v>3</v>
      </c>
      <c r="AW447">
        <v>9</v>
      </c>
      <c r="AX447" t="s">
        <v>74</v>
      </c>
      <c r="AY447" t="s">
        <v>74</v>
      </c>
      <c r="AZ447" t="s">
        <v>74</v>
      </c>
      <c r="BA447" t="s">
        <v>74</v>
      </c>
      <c r="BB447" t="s">
        <v>74</v>
      </c>
      <c r="BC447" t="s">
        <v>74</v>
      </c>
      <c r="BD447">
        <v>160284</v>
      </c>
      <c r="BE447" t="s">
        <v>8877</v>
      </c>
      <c r="BF447" t="str">
        <f>HYPERLINK("http://dx.doi.org/10.1098/rsos.160284","http://dx.doi.org/10.1098/rsos.160284")</f>
        <v>http://dx.doi.org/10.1098/rsos.160284</v>
      </c>
      <c r="BG447" t="s">
        <v>74</v>
      </c>
      <c r="BH447" t="s">
        <v>74</v>
      </c>
      <c r="BI447">
        <v>21</v>
      </c>
      <c r="BJ447" t="s">
        <v>719</v>
      </c>
      <c r="BK447" t="s">
        <v>156</v>
      </c>
      <c r="BL447" t="s">
        <v>720</v>
      </c>
      <c r="BM447" t="s">
        <v>8878</v>
      </c>
      <c r="BN447">
        <v>27703692</v>
      </c>
      <c r="BO447" t="s">
        <v>8879</v>
      </c>
      <c r="BP447" t="s">
        <v>74</v>
      </c>
      <c r="BQ447" t="s">
        <v>74</v>
      </c>
      <c r="BR447" t="s">
        <v>105</v>
      </c>
      <c r="BS447" t="s">
        <v>8880</v>
      </c>
      <c r="BT447" t="str">
        <f>HYPERLINK("https%3A%2F%2Fwww.webofscience.com%2Fwos%2Fwoscc%2Ffull-record%2FWOS:000389236700014","View Full Record in Web of Science")</f>
        <v>View Full Record in Web of Science</v>
      </c>
    </row>
    <row r="448" spans="1:72" x14ac:dyDescent="0.15">
      <c r="A448" t="s">
        <v>72</v>
      </c>
      <c r="B448" t="s">
        <v>8881</v>
      </c>
      <c r="C448" t="s">
        <v>74</v>
      </c>
      <c r="D448" t="s">
        <v>74</v>
      </c>
      <c r="E448" t="s">
        <v>74</v>
      </c>
      <c r="F448" t="s">
        <v>8882</v>
      </c>
      <c r="G448" t="s">
        <v>74</v>
      </c>
      <c r="H448" t="s">
        <v>74</v>
      </c>
      <c r="I448" t="s">
        <v>8883</v>
      </c>
      <c r="J448" t="s">
        <v>8884</v>
      </c>
      <c r="K448" t="s">
        <v>74</v>
      </c>
      <c r="L448" t="s">
        <v>74</v>
      </c>
      <c r="M448" t="s">
        <v>78</v>
      </c>
      <c r="N448" t="s">
        <v>587</v>
      </c>
      <c r="O448" t="s">
        <v>74</v>
      </c>
      <c r="P448" t="s">
        <v>74</v>
      </c>
      <c r="Q448" t="s">
        <v>74</v>
      </c>
      <c r="R448" t="s">
        <v>74</v>
      </c>
      <c r="S448" t="s">
        <v>74</v>
      </c>
      <c r="T448" t="s">
        <v>74</v>
      </c>
      <c r="U448" t="s">
        <v>8885</v>
      </c>
      <c r="V448" t="s">
        <v>74</v>
      </c>
      <c r="W448" t="s">
        <v>8886</v>
      </c>
      <c r="X448" t="s">
        <v>8887</v>
      </c>
      <c r="Y448" t="s">
        <v>8888</v>
      </c>
      <c r="Z448" t="s">
        <v>8889</v>
      </c>
      <c r="AA448" t="s">
        <v>8890</v>
      </c>
      <c r="AB448" t="s">
        <v>8891</v>
      </c>
      <c r="AC448" t="s">
        <v>74</v>
      </c>
      <c r="AD448" t="s">
        <v>74</v>
      </c>
      <c r="AE448" t="s">
        <v>74</v>
      </c>
      <c r="AF448" t="s">
        <v>74</v>
      </c>
      <c r="AG448">
        <v>51</v>
      </c>
      <c r="AH448">
        <v>23</v>
      </c>
      <c r="AI448">
        <v>25</v>
      </c>
      <c r="AJ448">
        <v>0</v>
      </c>
      <c r="AK448">
        <v>22</v>
      </c>
      <c r="AL448" t="s">
        <v>7868</v>
      </c>
      <c r="AM448" t="s">
        <v>6459</v>
      </c>
      <c r="AN448" t="s">
        <v>7869</v>
      </c>
      <c r="AO448" t="s">
        <v>8892</v>
      </c>
      <c r="AP448" t="s">
        <v>8893</v>
      </c>
      <c r="AQ448" t="s">
        <v>74</v>
      </c>
      <c r="AR448" t="s">
        <v>8894</v>
      </c>
      <c r="AS448" t="s">
        <v>8895</v>
      </c>
      <c r="AT448" t="s">
        <v>5678</v>
      </c>
      <c r="AU448">
        <v>2016</v>
      </c>
      <c r="AV448">
        <v>11</v>
      </c>
      <c r="AW448">
        <v>5</v>
      </c>
      <c r="AX448" t="s">
        <v>74</v>
      </c>
      <c r="AY448" t="s">
        <v>74</v>
      </c>
      <c r="AZ448" t="s">
        <v>74</v>
      </c>
      <c r="BA448" t="s">
        <v>74</v>
      </c>
      <c r="BB448">
        <v>855</v>
      </c>
      <c r="BC448">
        <v>859</v>
      </c>
      <c r="BD448" t="s">
        <v>74</v>
      </c>
      <c r="BE448" t="s">
        <v>8896</v>
      </c>
      <c r="BF448" t="str">
        <f>HYPERLINK("http://dx.doi.org/10.1007/s11625-016-0382-4","http://dx.doi.org/10.1007/s11625-016-0382-4")</f>
        <v>http://dx.doi.org/10.1007/s11625-016-0382-4</v>
      </c>
      <c r="BG448" t="s">
        <v>74</v>
      </c>
      <c r="BH448" t="s">
        <v>74</v>
      </c>
      <c r="BI448">
        <v>5</v>
      </c>
      <c r="BJ448" t="s">
        <v>8897</v>
      </c>
      <c r="BK448" t="s">
        <v>156</v>
      </c>
      <c r="BL448" t="s">
        <v>8898</v>
      </c>
      <c r="BM448" t="s">
        <v>8899</v>
      </c>
      <c r="BN448" t="s">
        <v>74</v>
      </c>
      <c r="BO448" t="s">
        <v>74</v>
      </c>
      <c r="BP448" t="s">
        <v>74</v>
      </c>
      <c r="BQ448" t="s">
        <v>74</v>
      </c>
      <c r="BR448" t="s">
        <v>105</v>
      </c>
      <c r="BS448" t="s">
        <v>8900</v>
      </c>
      <c r="BT448" t="str">
        <f>HYPERLINK("https%3A%2F%2Fwww.webofscience.com%2Fwos%2Fwoscc%2Ffull-record%2FWOS:000381603100010","View Full Record in Web of Science")</f>
        <v>View Full Record in Web of Science</v>
      </c>
    </row>
    <row r="449" spans="1:72" x14ac:dyDescent="0.15">
      <c r="A449" t="s">
        <v>72</v>
      </c>
      <c r="B449" t="s">
        <v>8901</v>
      </c>
      <c r="C449" t="s">
        <v>74</v>
      </c>
      <c r="D449" t="s">
        <v>74</v>
      </c>
      <c r="E449" t="s">
        <v>74</v>
      </c>
      <c r="F449" t="s">
        <v>8902</v>
      </c>
      <c r="G449" t="s">
        <v>74</v>
      </c>
      <c r="H449" t="s">
        <v>74</v>
      </c>
      <c r="I449" t="s">
        <v>8903</v>
      </c>
      <c r="J449" t="s">
        <v>3772</v>
      </c>
      <c r="K449" t="s">
        <v>74</v>
      </c>
      <c r="L449" t="s">
        <v>74</v>
      </c>
      <c r="M449" t="s">
        <v>78</v>
      </c>
      <c r="N449" t="s">
        <v>79</v>
      </c>
      <c r="O449" t="s">
        <v>74</v>
      </c>
      <c r="P449" t="s">
        <v>74</v>
      </c>
      <c r="Q449" t="s">
        <v>74</v>
      </c>
      <c r="R449" t="s">
        <v>74</v>
      </c>
      <c r="S449" t="s">
        <v>74</v>
      </c>
      <c r="T449" t="s">
        <v>8904</v>
      </c>
      <c r="U449" t="s">
        <v>8905</v>
      </c>
      <c r="V449" t="s">
        <v>8906</v>
      </c>
      <c r="W449" t="s">
        <v>8907</v>
      </c>
      <c r="X449" t="s">
        <v>8908</v>
      </c>
      <c r="Y449" t="s">
        <v>8909</v>
      </c>
      <c r="Z449" t="s">
        <v>8910</v>
      </c>
      <c r="AA449" t="s">
        <v>74</v>
      </c>
      <c r="AB449" t="s">
        <v>8911</v>
      </c>
      <c r="AC449" t="s">
        <v>8912</v>
      </c>
      <c r="AD449" t="s">
        <v>8913</v>
      </c>
      <c r="AE449" t="s">
        <v>8914</v>
      </c>
      <c r="AF449" t="s">
        <v>74</v>
      </c>
      <c r="AG449">
        <v>72</v>
      </c>
      <c r="AH449">
        <v>53</v>
      </c>
      <c r="AI449">
        <v>55</v>
      </c>
      <c r="AJ449">
        <v>0</v>
      </c>
      <c r="AK449">
        <v>34</v>
      </c>
      <c r="AL449" t="s">
        <v>92</v>
      </c>
      <c r="AM449" t="s">
        <v>93</v>
      </c>
      <c r="AN449" t="s">
        <v>94</v>
      </c>
      <c r="AO449" t="s">
        <v>3785</v>
      </c>
      <c r="AP449" t="s">
        <v>3786</v>
      </c>
      <c r="AQ449" t="s">
        <v>74</v>
      </c>
      <c r="AR449" t="s">
        <v>3787</v>
      </c>
      <c r="AS449" t="s">
        <v>3788</v>
      </c>
      <c r="AT449" t="s">
        <v>5678</v>
      </c>
      <c r="AU449">
        <v>2016</v>
      </c>
      <c r="AV449">
        <v>482</v>
      </c>
      <c r="AW449" t="s">
        <v>74</v>
      </c>
      <c r="AX449" t="s">
        <v>74</v>
      </c>
      <c r="AY449" t="s">
        <v>74</v>
      </c>
      <c r="AZ449" t="s">
        <v>74</v>
      </c>
      <c r="BA449" t="s">
        <v>74</v>
      </c>
      <c r="BB449">
        <v>38</v>
      </c>
      <c r="BC449">
        <v>55</v>
      </c>
      <c r="BD449" t="s">
        <v>74</v>
      </c>
      <c r="BE449" t="s">
        <v>8915</v>
      </c>
      <c r="BF449" t="str">
        <f>HYPERLINK("http://dx.doi.org/10.1016/j.jembe.2016.05.001","http://dx.doi.org/10.1016/j.jembe.2016.05.001")</f>
        <v>http://dx.doi.org/10.1016/j.jembe.2016.05.001</v>
      </c>
      <c r="BG449" t="s">
        <v>74</v>
      </c>
      <c r="BH449" t="s">
        <v>74</v>
      </c>
      <c r="BI449">
        <v>18</v>
      </c>
      <c r="BJ449" t="s">
        <v>693</v>
      </c>
      <c r="BK449" t="s">
        <v>156</v>
      </c>
      <c r="BL449" t="s">
        <v>694</v>
      </c>
      <c r="BM449" t="s">
        <v>8916</v>
      </c>
      <c r="BN449" t="s">
        <v>74</v>
      </c>
      <c r="BO449" t="s">
        <v>104</v>
      </c>
      <c r="BP449" t="s">
        <v>74</v>
      </c>
      <c r="BQ449" t="s">
        <v>74</v>
      </c>
      <c r="BR449" t="s">
        <v>105</v>
      </c>
      <c r="BS449" t="s">
        <v>8917</v>
      </c>
      <c r="BT449" t="str">
        <f>HYPERLINK("https%3A%2F%2Fwww.webofscience.com%2Fwos%2Fwoscc%2Ffull-record%2FWOS:000379370700005","View Full Record in Web of Science")</f>
        <v>View Full Record in Web of Science</v>
      </c>
    </row>
    <row r="450" spans="1:72" x14ac:dyDescent="0.15">
      <c r="A450" t="s">
        <v>72</v>
      </c>
      <c r="B450" t="s">
        <v>8918</v>
      </c>
      <c r="C450" t="s">
        <v>74</v>
      </c>
      <c r="D450" t="s">
        <v>74</v>
      </c>
      <c r="E450" t="s">
        <v>74</v>
      </c>
      <c r="F450" t="s">
        <v>8919</v>
      </c>
      <c r="G450" t="s">
        <v>74</v>
      </c>
      <c r="H450" t="s">
        <v>74</v>
      </c>
      <c r="I450" t="s">
        <v>8920</v>
      </c>
      <c r="J450" t="s">
        <v>8921</v>
      </c>
      <c r="K450" t="s">
        <v>74</v>
      </c>
      <c r="L450" t="s">
        <v>74</v>
      </c>
      <c r="M450" t="s">
        <v>78</v>
      </c>
      <c r="N450" t="s">
        <v>79</v>
      </c>
      <c r="O450" t="s">
        <v>74</v>
      </c>
      <c r="P450" t="s">
        <v>74</v>
      </c>
      <c r="Q450" t="s">
        <v>74</v>
      </c>
      <c r="R450" t="s">
        <v>74</v>
      </c>
      <c r="S450" t="s">
        <v>74</v>
      </c>
      <c r="T450" t="s">
        <v>8922</v>
      </c>
      <c r="U450" t="s">
        <v>8923</v>
      </c>
      <c r="V450" t="s">
        <v>8924</v>
      </c>
      <c r="W450" t="s">
        <v>8925</v>
      </c>
      <c r="X450" t="s">
        <v>8926</v>
      </c>
      <c r="Y450" t="s">
        <v>8927</v>
      </c>
      <c r="Z450" t="s">
        <v>8928</v>
      </c>
      <c r="AA450" t="s">
        <v>74</v>
      </c>
      <c r="AB450" t="s">
        <v>74</v>
      </c>
      <c r="AC450" t="s">
        <v>74</v>
      </c>
      <c r="AD450" t="s">
        <v>74</v>
      </c>
      <c r="AE450" t="s">
        <v>74</v>
      </c>
      <c r="AF450" t="s">
        <v>74</v>
      </c>
      <c r="AG450">
        <v>47</v>
      </c>
      <c r="AH450">
        <v>9</v>
      </c>
      <c r="AI450">
        <v>10</v>
      </c>
      <c r="AJ450">
        <v>2</v>
      </c>
      <c r="AK450">
        <v>22</v>
      </c>
      <c r="AL450" t="s">
        <v>644</v>
      </c>
      <c r="AM450" t="s">
        <v>594</v>
      </c>
      <c r="AN450" t="s">
        <v>3025</v>
      </c>
      <c r="AO450" t="s">
        <v>8929</v>
      </c>
      <c r="AP450" t="s">
        <v>8930</v>
      </c>
      <c r="AQ450" t="s">
        <v>74</v>
      </c>
      <c r="AR450" t="s">
        <v>8931</v>
      </c>
      <c r="AS450" t="s">
        <v>8932</v>
      </c>
      <c r="AT450" t="s">
        <v>5678</v>
      </c>
      <c r="AU450">
        <v>2016</v>
      </c>
      <c r="AV450">
        <v>10</v>
      </c>
      <c r="AW450">
        <v>3</v>
      </c>
      <c r="AX450" t="s">
        <v>74</v>
      </c>
      <c r="AY450" t="s">
        <v>74</v>
      </c>
      <c r="AZ450" t="s">
        <v>74</v>
      </c>
      <c r="BA450" t="s">
        <v>74</v>
      </c>
      <c r="BB450">
        <v>479</v>
      </c>
      <c r="BC450">
        <v>486</v>
      </c>
      <c r="BD450" t="s">
        <v>74</v>
      </c>
      <c r="BE450" t="s">
        <v>8933</v>
      </c>
      <c r="BF450" t="str">
        <f>HYPERLINK("http://dx.doi.org/10.1007/s11707-016-0561-8","http://dx.doi.org/10.1007/s11707-016-0561-8")</f>
        <v>http://dx.doi.org/10.1007/s11707-016-0561-8</v>
      </c>
      <c r="BG450" t="s">
        <v>74</v>
      </c>
      <c r="BH450" t="s">
        <v>74</v>
      </c>
      <c r="BI450">
        <v>8</v>
      </c>
      <c r="BJ450" t="s">
        <v>352</v>
      </c>
      <c r="BK450" t="s">
        <v>156</v>
      </c>
      <c r="BL450" t="s">
        <v>177</v>
      </c>
      <c r="BM450" t="s">
        <v>8934</v>
      </c>
      <c r="BN450" t="s">
        <v>74</v>
      </c>
      <c r="BO450" t="s">
        <v>74</v>
      </c>
      <c r="BP450" t="s">
        <v>74</v>
      </c>
      <c r="BQ450" t="s">
        <v>74</v>
      </c>
      <c r="BR450" t="s">
        <v>105</v>
      </c>
      <c r="BS450" t="s">
        <v>8935</v>
      </c>
      <c r="BT450" t="str">
        <f>HYPERLINK("https%3A%2F%2Fwww.webofscience.com%2Fwos%2Fwoscc%2Ffull-record%2FWOS:000379077000007","View Full Record in Web of Science")</f>
        <v>View Full Record in Web of Science</v>
      </c>
    </row>
    <row r="451" spans="1:72" x14ac:dyDescent="0.15">
      <c r="A451" t="s">
        <v>72</v>
      </c>
      <c r="B451" t="s">
        <v>8936</v>
      </c>
      <c r="C451" t="s">
        <v>74</v>
      </c>
      <c r="D451" t="s">
        <v>74</v>
      </c>
      <c r="E451" t="s">
        <v>74</v>
      </c>
      <c r="F451" t="s">
        <v>8937</v>
      </c>
      <c r="G451" t="s">
        <v>74</v>
      </c>
      <c r="H451" t="s">
        <v>74</v>
      </c>
      <c r="I451" t="s">
        <v>8938</v>
      </c>
      <c r="J451" t="s">
        <v>8939</v>
      </c>
      <c r="K451" t="s">
        <v>74</v>
      </c>
      <c r="L451" t="s">
        <v>74</v>
      </c>
      <c r="M451" t="s">
        <v>78</v>
      </c>
      <c r="N451" t="s">
        <v>79</v>
      </c>
      <c r="O451" t="s">
        <v>74</v>
      </c>
      <c r="P451" t="s">
        <v>74</v>
      </c>
      <c r="Q451" t="s">
        <v>74</v>
      </c>
      <c r="R451" t="s">
        <v>74</v>
      </c>
      <c r="S451" t="s">
        <v>74</v>
      </c>
      <c r="T451" t="s">
        <v>8940</v>
      </c>
      <c r="U451" t="s">
        <v>8941</v>
      </c>
      <c r="V451" t="s">
        <v>8942</v>
      </c>
      <c r="W451" t="s">
        <v>8943</v>
      </c>
      <c r="X451" t="s">
        <v>8944</v>
      </c>
      <c r="Y451" t="s">
        <v>8945</v>
      </c>
      <c r="Z451" t="s">
        <v>8946</v>
      </c>
      <c r="AA451" t="s">
        <v>74</v>
      </c>
      <c r="AB451" t="s">
        <v>8947</v>
      </c>
      <c r="AC451" t="s">
        <v>74</v>
      </c>
      <c r="AD451" t="s">
        <v>74</v>
      </c>
      <c r="AE451" t="s">
        <v>74</v>
      </c>
      <c r="AF451" t="s">
        <v>74</v>
      </c>
      <c r="AG451">
        <v>84</v>
      </c>
      <c r="AH451">
        <v>7</v>
      </c>
      <c r="AI451">
        <v>7</v>
      </c>
      <c r="AJ451">
        <v>0</v>
      </c>
      <c r="AK451">
        <v>39</v>
      </c>
      <c r="AL451" t="s">
        <v>644</v>
      </c>
      <c r="AM451" t="s">
        <v>740</v>
      </c>
      <c r="AN451" t="s">
        <v>741</v>
      </c>
      <c r="AO451" t="s">
        <v>8948</v>
      </c>
      <c r="AP451" t="s">
        <v>8949</v>
      </c>
      <c r="AQ451" t="s">
        <v>74</v>
      </c>
      <c r="AR451" t="s">
        <v>8939</v>
      </c>
      <c r="AS451" t="s">
        <v>8950</v>
      </c>
      <c r="AT451" t="s">
        <v>5678</v>
      </c>
      <c r="AU451">
        <v>2016</v>
      </c>
      <c r="AV451">
        <v>777</v>
      </c>
      <c r="AW451">
        <v>1</v>
      </c>
      <c r="AX451" t="s">
        <v>74</v>
      </c>
      <c r="AY451" t="s">
        <v>74</v>
      </c>
      <c r="AZ451" t="s">
        <v>74</v>
      </c>
      <c r="BA451" t="s">
        <v>74</v>
      </c>
      <c r="BB451">
        <v>119</v>
      </c>
      <c r="BC451">
        <v>138</v>
      </c>
      <c r="BD451" t="s">
        <v>74</v>
      </c>
      <c r="BE451" t="s">
        <v>8951</v>
      </c>
      <c r="BF451" t="str">
        <f>HYPERLINK("http://dx.doi.org/10.1007/s10750-016-2770-2","http://dx.doi.org/10.1007/s10750-016-2770-2")</f>
        <v>http://dx.doi.org/10.1007/s10750-016-2770-2</v>
      </c>
      <c r="BG451" t="s">
        <v>74</v>
      </c>
      <c r="BH451" t="s">
        <v>74</v>
      </c>
      <c r="BI451">
        <v>20</v>
      </c>
      <c r="BJ451" t="s">
        <v>457</v>
      </c>
      <c r="BK451" t="s">
        <v>156</v>
      </c>
      <c r="BL451" t="s">
        <v>457</v>
      </c>
      <c r="BM451" t="s">
        <v>8952</v>
      </c>
      <c r="BN451" t="s">
        <v>74</v>
      </c>
      <c r="BO451" t="s">
        <v>74</v>
      </c>
      <c r="BP451" t="s">
        <v>74</v>
      </c>
      <c r="BQ451" t="s">
        <v>74</v>
      </c>
      <c r="BR451" t="s">
        <v>105</v>
      </c>
      <c r="BS451" t="s">
        <v>8953</v>
      </c>
      <c r="BT451" t="str">
        <f>HYPERLINK("https%3A%2F%2Fwww.webofscience.com%2Fwos%2Fwoscc%2Ffull-record%2FWOS:000379019900009","View Full Record in Web of Science")</f>
        <v>View Full Record in Web of Science</v>
      </c>
    </row>
    <row r="452" spans="1:72" x14ac:dyDescent="0.15">
      <c r="A452" t="s">
        <v>72</v>
      </c>
      <c r="B452" t="s">
        <v>8954</v>
      </c>
      <c r="C452" t="s">
        <v>74</v>
      </c>
      <c r="D452" t="s">
        <v>74</v>
      </c>
      <c r="E452" t="s">
        <v>74</v>
      </c>
      <c r="F452" t="s">
        <v>8955</v>
      </c>
      <c r="G452" t="s">
        <v>74</v>
      </c>
      <c r="H452" t="s">
        <v>74</v>
      </c>
      <c r="I452" t="s">
        <v>8956</v>
      </c>
      <c r="J452" t="s">
        <v>8957</v>
      </c>
      <c r="K452" t="s">
        <v>74</v>
      </c>
      <c r="L452" t="s">
        <v>74</v>
      </c>
      <c r="M452" t="s">
        <v>78</v>
      </c>
      <c r="N452" t="s">
        <v>79</v>
      </c>
      <c r="O452" t="s">
        <v>74</v>
      </c>
      <c r="P452" t="s">
        <v>74</v>
      </c>
      <c r="Q452" t="s">
        <v>74</v>
      </c>
      <c r="R452" t="s">
        <v>74</v>
      </c>
      <c r="S452" t="s">
        <v>74</v>
      </c>
      <c r="T452" t="s">
        <v>8958</v>
      </c>
      <c r="U452" t="s">
        <v>8959</v>
      </c>
      <c r="V452" t="s">
        <v>8960</v>
      </c>
      <c r="W452" t="s">
        <v>8961</v>
      </c>
      <c r="X452" t="s">
        <v>8962</v>
      </c>
      <c r="Y452" t="s">
        <v>8963</v>
      </c>
      <c r="Z452" t="s">
        <v>8964</v>
      </c>
      <c r="AA452" t="s">
        <v>8965</v>
      </c>
      <c r="AB452" t="s">
        <v>8966</v>
      </c>
      <c r="AC452" t="s">
        <v>8967</v>
      </c>
      <c r="AD452" t="s">
        <v>8968</v>
      </c>
      <c r="AE452" t="s">
        <v>8969</v>
      </c>
      <c r="AF452" t="s">
        <v>74</v>
      </c>
      <c r="AG452">
        <v>59</v>
      </c>
      <c r="AH452">
        <v>15</v>
      </c>
      <c r="AI452">
        <v>16</v>
      </c>
      <c r="AJ452">
        <v>1</v>
      </c>
      <c r="AK452">
        <v>39</v>
      </c>
      <c r="AL452" t="s">
        <v>303</v>
      </c>
      <c r="AM452" t="s">
        <v>304</v>
      </c>
      <c r="AN452" t="s">
        <v>305</v>
      </c>
      <c r="AO452" t="s">
        <v>8970</v>
      </c>
      <c r="AP452" t="s">
        <v>74</v>
      </c>
      <c r="AQ452" t="s">
        <v>74</v>
      </c>
      <c r="AR452" t="s">
        <v>8971</v>
      </c>
      <c r="AS452" t="s">
        <v>8972</v>
      </c>
      <c r="AT452" t="s">
        <v>7290</v>
      </c>
      <c r="AU452">
        <v>2016</v>
      </c>
      <c r="AV452">
        <v>128</v>
      </c>
      <c r="AW452" t="s">
        <v>74</v>
      </c>
      <c r="AX452" t="s">
        <v>74</v>
      </c>
      <c r="AY452" t="s">
        <v>74</v>
      </c>
      <c r="AZ452" t="s">
        <v>74</v>
      </c>
      <c r="BA452" t="s">
        <v>74</v>
      </c>
      <c r="BB452">
        <v>14</v>
      </c>
      <c r="BC452">
        <v>29</v>
      </c>
      <c r="BD452" t="s">
        <v>74</v>
      </c>
      <c r="BE452" t="s">
        <v>8973</v>
      </c>
      <c r="BF452" t="str">
        <f>HYPERLINK("http://dx.doi.org/10.1016/j.pss.2016.05.004","http://dx.doi.org/10.1016/j.pss.2016.05.004")</f>
        <v>http://dx.doi.org/10.1016/j.pss.2016.05.004</v>
      </c>
      <c r="BG452" t="s">
        <v>74</v>
      </c>
      <c r="BH452" t="s">
        <v>74</v>
      </c>
      <c r="BI452">
        <v>16</v>
      </c>
      <c r="BJ452" t="s">
        <v>748</v>
      </c>
      <c r="BK452" t="s">
        <v>156</v>
      </c>
      <c r="BL452" t="s">
        <v>748</v>
      </c>
      <c r="BM452" t="s">
        <v>8974</v>
      </c>
      <c r="BN452" t="s">
        <v>74</v>
      </c>
      <c r="BO452" t="s">
        <v>74</v>
      </c>
      <c r="BP452" t="s">
        <v>74</v>
      </c>
      <c r="BQ452" t="s">
        <v>74</v>
      </c>
      <c r="BR452" t="s">
        <v>105</v>
      </c>
      <c r="BS452" t="s">
        <v>8975</v>
      </c>
      <c r="BT452" t="str">
        <f>HYPERLINK("https%3A%2F%2Fwww.webofscience.com%2Fwos%2Fwoscc%2Ffull-record%2FWOS:000378961300002","View Full Record in Web of Science")</f>
        <v>View Full Record in Web of Science</v>
      </c>
    </row>
    <row r="453" spans="1:72" x14ac:dyDescent="0.15">
      <c r="A453" t="s">
        <v>72</v>
      </c>
      <c r="B453" t="s">
        <v>8976</v>
      </c>
      <c r="C453" t="s">
        <v>74</v>
      </c>
      <c r="D453" t="s">
        <v>74</v>
      </c>
      <c r="E453" t="s">
        <v>74</v>
      </c>
      <c r="F453" t="s">
        <v>8977</v>
      </c>
      <c r="G453" t="s">
        <v>74</v>
      </c>
      <c r="H453" t="s">
        <v>74</v>
      </c>
      <c r="I453" t="s">
        <v>8978</v>
      </c>
      <c r="J453" t="s">
        <v>8979</v>
      </c>
      <c r="K453" t="s">
        <v>74</v>
      </c>
      <c r="L453" t="s">
        <v>74</v>
      </c>
      <c r="M453" t="s">
        <v>78</v>
      </c>
      <c r="N453" t="s">
        <v>79</v>
      </c>
      <c r="O453" t="s">
        <v>74</v>
      </c>
      <c r="P453" t="s">
        <v>74</v>
      </c>
      <c r="Q453" t="s">
        <v>74</v>
      </c>
      <c r="R453" t="s">
        <v>74</v>
      </c>
      <c r="S453" t="s">
        <v>74</v>
      </c>
      <c r="T453" t="s">
        <v>8980</v>
      </c>
      <c r="U453" t="s">
        <v>8981</v>
      </c>
      <c r="V453" t="s">
        <v>8982</v>
      </c>
      <c r="W453" t="s">
        <v>8983</v>
      </c>
      <c r="X453" t="s">
        <v>8984</v>
      </c>
      <c r="Y453" t="s">
        <v>8985</v>
      </c>
      <c r="Z453" t="s">
        <v>8986</v>
      </c>
      <c r="AA453" t="s">
        <v>8987</v>
      </c>
      <c r="AB453" t="s">
        <v>8988</v>
      </c>
      <c r="AC453" t="s">
        <v>8989</v>
      </c>
      <c r="AD453" t="s">
        <v>8990</v>
      </c>
      <c r="AE453" t="s">
        <v>8991</v>
      </c>
      <c r="AF453" t="s">
        <v>74</v>
      </c>
      <c r="AG453">
        <v>54</v>
      </c>
      <c r="AH453">
        <v>22</v>
      </c>
      <c r="AI453">
        <v>24</v>
      </c>
      <c r="AJ453">
        <v>2</v>
      </c>
      <c r="AK453">
        <v>19</v>
      </c>
      <c r="AL453" t="s">
        <v>1437</v>
      </c>
      <c r="AM453" t="s">
        <v>594</v>
      </c>
      <c r="AN453" t="s">
        <v>1438</v>
      </c>
      <c r="AO453" t="s">
        <v>8992</v>
      </c>
      <c r="AP453" t="s">
        <v>8993</v>
      </c>
      <c r="AQ453" t="s">
        <v>74</v>
      </c>
      <c r="AR453" t="s">
        <v>8994</v>
      </c>
      <c r="AS453" t="s">
        <v>8995</v>
      </c>
      <c r="AT453" t="s">
        <v>7290</v>
      </c>
      <c r="AU453">
        <v>2016</v>
      </c>
      <c r="AV453">
        <v>178</v>
      </c>
      <c r="AW453" t="s">
        <v>74</v>
      </c>
      <c r="AX453" t="s">
        <v>74</v>
      </c>
      <c r="AY453" t="s">
        <v>74</v>
      </c>
      <c r="AZ453" t="s">
        <v>74</v>
      </c>
      <c r="BA453" t="s">
        <v>74</v>
      </c>
      <c r="BB453">
        <v>329</v>
      </c>
      <c r="BC453">
        <v>346</v>
      </c>
      <c r="BD453" t="s">
        <v>74</v>
      </c>
      <c r="BE453" t="s">
        <v>8996</v>
      </c>
      <c r="BF453" t="str">
        <f>HYPERLINK("http://dx.doi.org/10.1016/j.atmosres.2016.03.029","http://dx.doi.org/10.1016/j.atmosres.2016.03.029")</f>
        <v>http://dx.doi.org/10.1016/j.atmosres.2016.03.029</v>
      </c>
      <c r="BG453" t="s">
        <v>74</v>
      </c>
      <c r="BH453" t="s">
        <v>74</v>
      </c>
      <c r="BI453">
        <v>18</v>
      </c>
      <c r="BJ453" t="s">
        <v>2482</v>
      </c>
      <c r="BK453" t="s">
        <v>156</v>
      </c>
      <c r="BL453" t="s">
        <v>2482</v>
      </c>
      <c r="BM453" t="s">
        <v>8997</v>
      </c>
      <c r="BN453" t="s">
        <v>74</v>
      </c>
      <c r="BO453" t="s">
        <v>74</v>
      </c>
      <c r="BP453" t="s">
        <v>74</v>
      </c>
      <c r="BQ453" t="s">
        <v>74</v>
      </c>
      <c r="BR453" t="s">
        <v>105</v>
      </c>
      <c r="BS453" t="s">
        <v>8998</v>
      </c>
      <c r="BT453" t="str">
        <f>HYPERLINK("https%3A%2F%2Fwww.webofscience.com%2Fwos%2Fwoscc%2Ffull-record%2FWOS:000378360700030","View Full Record in Web of Science")</f>
        <v>View Full Record in Web of Science</v>
      </c>
    </row>
    <row r="454" spans="1:72" x14ac:dyDescent="0.15">
      <c r="A454" t="s">
        <v>72</v>
      </c>
      <c r="B454" t="s">
        <v>8999</v>
      </c>
      <c r="C454" t="s">
        <v>74</v>
      </c>
      <c r="D454" t="s">
        <v>74</v>
      </c>
      <c r="E454" t="s">
        <v>74</v>
      </c>
      <c r="F454" t="s">
        <v>9000</v>
      </c>
      <c r="G454" t="s">
        <v>74</v>
      </c>
      <c r="H454" t="s">
        <v>74</v>
      </c>
      <c r="I454" t="s">
        <v>9001</v>
      </c>
      <c r="J454" t="s">
        <v>9002</v>
      </c>
      <c r="K454" t="s">
        <v>74</v>
      </c>
      <c r="L454" t="s">
        <v>74</v>
      </c>
      <c r="M454" t="s">
        <v>78</v>
      </c>
      <c r="N454" t="s">
        <v>79</v>
      </c>
      <c r="O454" t="s">
        <v>74</v>
      </c>
      <c r="P454" t="s">
        <v>74</v>
      </c>
      <c r="Q454" t="s">
        <v>74</v>
      </c>
      <c r="R454" t="s">
        <v>74</v>
      </c>
      <c r="S454" t="s">
        <v>74</v>
      </c>
      <c r="T454" t="s">
        <v>9003</v>
      </c>
      <c r="U454" t="s">
        <v>9004</v>
      </c>
      <c r="V454" t="s">
        <v>9005</v>
      </c>
      <c r="W454" t="s">
        <v>9006</v>
      </c>
      <c r="X454" t="s">
        <v>4954</v>
      </c>
      <c r="Y454" t="s">
        <v>9007</v>
      </c>
      <c r="Z454" t="s">
        <v>4956</v>
      </c>
      <c r="AA454" t="s">
        <v>74</v>
      </c>
      <c r="AB454" t="s">
        <v>4957</v>
      </c>
      <c r="AC454" t="s">
        <v>4958</v>
      </c>
      <c r="AD454" t="s">
        <v>4959</v>
      </c>
      <c r="AE454" t="s">
        <v>9008</v>
      </c>
      <c r="AF454" t="s">
        <v>74</v>
      </c>
      <c r="AG454">
        <v>34</v>
      </c>
      <c r="AH454">
        <v>11</v>
      </c>
      <c r="AI454">
        <v>11</v>
      </c>
      <c r="AJ454">
        <v>1</v>
      </c>
      <c r="AK454">
        <v>42</v>
      </c>
      <c r="AL454" t="s">
        <v>196</v>
      </c>
      <c r="AM454" t="s">
        <v>93</v>
      </c>
      <c r="AN454" t="s">
        <v>197</v>
      </c>
      <c r="AO454" t="s">
        <v>9009</v>
      </c>
      <c r="AP454" t="s">
        <v>9010</v>
      </c>
      <c r="AQ454" t="s">
        <v>74</v>
      </c>
      <c r="AR454" t="s">
        <v>9002</v>
      </c>
      <c r="AS454" t="s">
        <v>9011</v>
      </c>
      <c r="AT454" t="s">
        <v>7290</v>
      </c>
      <c r="AU454">
        <v>2016</v>
      </c>
      <c r="AV454">
        <v>277</v>
      </c>
      <c r="AW454" t="s">
        <v>74</v>
      </c>
      <c r="AX454" t="s">
        <v>74</v>
      </c>
      <c r="AY454" t="s">
        <v>74</v>
      </c>
      <c r="AZ454" t="s">
        <v>74</v>
      </c>
      <c r="BA454" t="s">
        <v>74</v>
      </c>
      <c r="BB454">
        <v>10</v>
      </c>
      <c r="BC454">
        <v>22</v>
      </c>
      <c r="BD454" t="s">
        <v>74</v>
      </c>
      <c r="BE454" t="s">
        <v>9012</v>
      </c>
      <c r="BF454" t="str">
        <f>HYPERLINK("http://dx.doi.org/10.1016/j.geoderma.2016.05.001","http://dx.doi.org/10.1016/j.geoderma.2016.05.001")</f>
        <v>http://dx.doi.org/10.1016/j.geoderma.2016.05.001</v>
      </c>
      <c r="BG454" t="s">
        <v>74</v>
      </c>
      <c r="BH454" t="s">
        <v>74</v>
      </c>
      <c r="BI454">
        <v>13</v>
      </c>
      <c r="BJ454" t="s">
        <v>9013</v>
      </c>
      <c r="BK454" t="s">
        <v>156</v>
      </c>
      <c r="BL454" t="s">
        <v>9014</v>
      </c>
      <c r="BM454" t="s">
        <v>9015</v>
      </c>
      <c r="BN454" t="s">
        <v>74</v>
      </c>
      <c r="BO454" t="s">
        <v>104</v>
      </c>
      <c r="BP454" t="s">
        <v>74</v>
      </c>
      <c r="BQ454" t="s">
        <v>74</v>
      </c>
      <c r="BR454" t="s">
        <v>105</v>
      </c>
      <c r="BS454" t="s">
        <v>9016</v>
      </c>
      <c r="BT454" t="str">
        <f>HYPERLINK("https%3A%2F%2Fwww.webofscience.com%2Fwos%2Fwoscc%2Ffull-record%2FWOS:000378192300002","View Full Record in Web of Science")</f>
        <v>View Full Record in Web of Science</v>
      </c>
    </row>
    <row r="455" spans="1:72" x14ac:dyDescent="0.15">
      <c r="A455" t="s">
        <v>72</v>
      </c>
      <c r="B455" t="s">
        <v>9017</v>
      </c>
      <c r="C455" t="s">
        <v>74</v>
      </c>
      <c r="D455" t="s">
        <v>74</v>
      </c>
      <c r="E455" t="s">
        <v>74</v>
      </c>
      <c r="F455" t="s">
        <v>9018</v>
      </c>
      <c r="G455" t="s">
        <v>74</v>
      </c>
      <c r="H455" t="s">
        <v>74</v>
      </c>
      <c r="I455" t="s">
        <v>9019</v>
      </c>
      <c r="J455" t="s">
        <v>1560</v>
      </c>
      <c r="K455" t="s">
        <v>74</v>
      </c>
      <c r="L455" t="s">
        <v>74</v>
      </c>
      <c r="M455" t="s">
        <v>78</v>
      </c>
      <c r="N455" t="s">
        <v>79</v>
      </c>
      <c r="O455" t="s">
        <v>74</v>
      </c>
      <c r="P455" t="s">
        <v>74</v>
      </c>
      <c r="Q455" t="s">
        <v>74</v>
      </c>
      <c r="R455" t="s">
        <v>74</v>
      </c>
      <c r="S455" t="s">
        <v>74</v>
      </c>
      <c r="T455" t="s">
        <v>9020</v>
      </c>
      <c r="U455" t="s">
        <v>9021</v>
      </c>
      <c r="V455" t="s">
        <v>9022</v>
      </c>
      <c r="W455" t="s">
        <v>9023</v>
      </c>
      <c r="X455" t="s">
        <v>9024</v>
      </c>
      <c r="Y455" t="s">
        <v>9025</v>
      </c>
      <c r="Z455" t="s">
        <v>9026</v>
      </c>
      <c r="AA455" t="s">
        <v>9027</v>
      </c>
      <c r="AB455" t="s">
        <v>9028</v>
      </c>
      <c r="AC455" t="s">
        <v>9029</v>
      </c>
      <c r="AD455" t="s">
        <v>9030</v>
      </c>
      <c r="AE455" t="s">
        <v>9031</v>
      </c>
      <c r="AF455" t="s">
        <v>74</v>
      </c>
      <c r="AG455">
        <v>31</v>
      </c>
      <c r="AH455">
        <v>8</v>
      </c>
      <c r="AI455">
        <v>9</v>
      </c>
      <c r="AJ455">
        <v>0</v>
      </c>
      <c r="AK455">
        <v>9</v>
      </c>
      <c r="AL455" t="s">
        <v>1572</v>
      </c>
      <c r="AM455" t="s">
        <v>1573</v>
      </c>
      <c r="AN455" t="s">
        <v>1574</v>
      </c>
      <c r="AO455" t="s">
        <v>1575</v>
      </c>
      <c r="AP455" t="s">
        <v>1576</v>
      </c>
      <c r="AQ455" t="s">
        <v>74</v>
      </c>
      <c r="AR455" t="s">
        <v>1560</v>
      </c>
      <c r="AS455" t="s">
        <v>1577</v>
      </c>
      <c r="AT455" t="s">
        <v>9032</v>
      </c>
      <c r="AU455">
        <v>2016</v>
      </c>
      <c r="AV455">
        <v>272</v>
      </c>
      <c r="AW455">
        <v>3</v>
      </c>
      <c r="AX455" t="s">
        <v>74</v>
      </c>
      <c r="AY455" t="s">
        <v>74</v>
      </c>
      <c r="AZ455" t="s">
        <v>74</v>
      </c>
      <c r="BA455" t="s">
        <v>74</v>
      </c>
      <c r="BB455">
        <v>184</v>
      </c>
      <c r="BC455">
        <v>190</v>
      </c>
      <c r="BD455" t="s">
        <v>74</v>
      </c>
      <c r="BE455" t="s">
        <v>9033</v>
      </c>
      <c r="BF455" t="str">
        <f>HYPERLINK("http://dx.doi.org/10.11646/phytotaxa.272.3.2","http://dx.doi.org/10.11646/phytotaxa.272.3.2")</f>
        <v>http://dx.doi.org/10.11646/phytotaxa.272.3.2</v>
      </c>
      <c r="BG455" t="s">
        <v>74</v>
      </c>
      <c r="BH455" t="s">
        <v>74</v>
      </c>
      <c r="BI455">
        <v>7</v>
      </c>
      <c r="BJ455" t="s">
        <v>1580</v>
      </c>
      <c r="BK455" t="s">
        <v>156</v>
      </c>
      <c r="BL455" t="s">
        <v>1580</v>
      </c>
      <c r="BM455" t="s">
        <v>9034</v>
      </c>
      <c r="BN455" t="s">
        <v>74</v>
      </c>
      <c r="BO455" t="s">
        <v>74</v>
      </c>
      <c r="BP455" t="s">
        <v>74</v>
      </c>
      <c r="BQ455" t="s">
        <v>74</v>
      </c>
      <c r="BR455" t="s">
        <v>105</v>
      </c>
      <c r="BS455" t="s">
        <v>9035</v>
      </c>
      <c r="BT455" t="str">
        <f>HYPERLINK("https%3A%2F%2Fwww.webofscience.com%2Fwos%2Fwoscc%2Ffull-record%2FWOS:000388740700002","View Full Record in Web of Science")</f>
        <v>View Full Record in Web of Science</v>
      </c>
    </row>
    <row r="456" spans="1:72" x14ac:dyDescent="0.15">
      <c r="A456" t="s">
        <v>72</v>
      </c>
      <c r="B456" t="s">
        <v>9036</v>
      </c>
      <c r="C456" t="s">
        <v>74</v>
      </c>
      <c r="D456" t="s">
        <v>74</v>
      </c>
      <c r="E456" t="s">
        <v>74</v>
      </c>
      <c r="F456" t="s">
        <v>9037</v>
      </c>
      <c r="G456" t="s">
        <v>74</v>
      </c>
      <c r="H456" t="s">
        <v>74</v>
      </c>
      <c r="I456" t="s">
        <v>9038</v>
      </c>
      <c r="J456" t="s">
        <v>1499</v>
      </c>
      <c r="K456" t="s">
        <v>74</v>
      </c>
      <c r="L456" t="s">
        <v>74</v>
      </c>
      <c r="M456" t="s">
        <v>78</v>
      </c>
      <c r="N456" t="s">
        <v>79</v>
      </c>
      <c r="O456" t="s">
        <v>74</v>
      </c>
      <c r="P456" t="s">
        <v>74</v>
      </c>
      <c r="Q456" t="s">
        <v>74</v>
      </c>
      <c r="R456" t="s">
        <v>74</v>
      </c>
      <c r="S456" t="s">
        <v>74</v>
      </c>
      <c r="T456" t="s">
        <v>9039</v>
      </c>
      <c r="U456" t="s">
        <v>9040</v>
      </c>
      <c r="V456" t="s">
        <v>9041</v>
      </c>
      <c r="W456" t="s">
        <v>9042</v>
      </c>
      <c r="X456" t="s">
        <v>9043</v>
      </c>
      <c r="Y456" t="s">
        <v>9044</v>
      </c>
      <c r="Z456" t="s">
        <v>9045</v>
      </c>
      <c r="AA456" t="s">
        <v>9046</v>
      </c>
      <c r="AB456" t="s">
        <v>9047</v>
      </c>
      <c r="AC456" t="s">
        <v>9048</v>
      </c>
      <c r="AD456" t="s">
        <v>9049</v>
      </c>
      <c r="AE456" t="s">
        <v>9050</v>
      </c>
      <c r="AF456" t="s">
        <v>74</v>
      </c>
      <c r="AG456">
        <v>84</v>
      </c>
      <c r="AH456">
        <v>22</v>
      </c>
      <c r="AI456">
        <v>22</v>
      </c>
      <c r="AJ456">
        <v>2</v>
      </c>
      <c r="AK456">
        <v>35</v>
      </c>
      <c r="AL456" t="s">
        <v>1512</v>
      </c>
      <c r="AM456" t="s">
        <v>250</v>
      </c>
      <c r="AN456" t="s">
        <v>1513</v>
      </c>
      <c r="AO456" t="s">
        <v>1514</v>
      </c>
      <c r="AP456" t="s">
        <v>74</v>
      </c>
      <c r="AQ456" t="s">
        <v>74</v>
      </c>
      <c r="AR456" t="s">
        <v>1499</v>
      </c>
      <c r="AS456" t="s">
        <v>1515</v>
      </c>
      <c r="AT456" t="s">
        <v>9032</v>
      </c>
      <c r="AU456">
        <v>2016</v>
      </c>
      <c r="AV456">
        <v>4</v>
      </c>
      <c r="AW456" t="s">
        <v>74</v>
      </c>
      <c r="AX456" t="s">
        <v>74</v>
      </c>
      <c r="AY456" t="s">
        <v>74</v>
      </c>
      <c r="AZ456" t="s">
        <v>74</v>
      </c>
      <c r="BA456" t="s">
        <v>74</v>
      </c>
      <c r="BB456" t="s">
        <v>74</v>
      </c>
      <c r="BC456" t="s">
        <v>74</v>
      </c>
      <c r="BD456" t="s">
        <v>9051</v>
      </c>
      <c r="BE456" t="s">
        <v>9052</v>
      </c>
      <c r="BF456" t="str">
        <f>HYPERLINK("http://dx.doi.org/10.7717/peerj.2382","http://dx.doi.org/10.7717/peerj.2382")</f>
        <v>http://dx.doi.org/10.7717/peerj.2382</v>
      </c>
      <c r="BG456" t="s">
        <v>74</v>
      </c>
      <c r="BH456" t="s">
        <v>74</v>
      </c>
      <c r="BI456">
        <v>19</v>
      </c>
      <c r="BJ456" t="s">
        <v>719</v>
      </c>
      <c r="BK456" t="s">
        <v>156</v>
      </c>
      <c r="BL456" t="s">
        <v>720</v>
      </c>
      <c r="BM456" t="s">
        <v>9053</v>
      </c>
      <c r="BN456">
        <v>27635346</v>
      </c>
      <c r="BO456" t="s">
        <v>1975</v>
      </c>
      <c r="BP456" t="s">
        <v>74</v>
      </c>
      <c r="BQ456" t="s">
        <v>74</v>
      </c>
      <c r="BR456" t="s">
        <v>105</v>
      </c>
      <c r="BS456" t="s">
        <v>9054</v>
      </c>
      <c r="BT456" t="str">
        <f>HYPERLINK("https%3A%2F%2Fwww.webofscience.com%2Fwos%2Fwoscc%2Ffull-record%2FWOS:000383263900005","View Full Record in Web of Science")</f>
        <v>View Full Record in Web of Science</v>
      </c>
    </row>
    <row r="457" spans="1:72" x14ac:dyDescent="0.15">
      <c r="A457" t="s">
        <v>72</v>
      </c>
      <c r="B457" t="s">
        <v>9055</v>
      </c>
      <c r="C457" t="s">
        <v>74</v>
      </c>
      <c r="D457" t="s">
        <v>74</v>
      </c>
      <c r="E457" t="s">
        <v>74</v>
      </c>
      <c r="F457" t="s">
        <v>9056</v>
      </c>
      <c r="G457" t="s">
        <v>74</v>
      </c>
      <c r="H457" t="s">
        <v>74</v>
      </c>
      <c r="I457" t="s">
        <v>9057</v>
      </c>
      <c r="J457" t="s">
        <v>1860</v>
      </c>
      <c r="K457" t="s">
        <v>74</v>
      </c>
      <c r="L457" t="s">
        <v>74</v>
      </c>
      <c r="M457" t="s">
        <v>78</v>
      </c>
      <c r="N457" t="s">
        <v>79</v>
      </c>
      <c r="O457" t="s">
        <v>74</v>
      </c>
      <c r="P457" t="s">
        <v>74</v>
      </c>
      <c r="Q457" t="s">
        <v>74</v>
      </c>
      <c r="R457" t="s">
        <v>74</v>
      </c>
      <c r="S457" t="s">
        <v>74</v>
      </c>
      <c r="T457" t="s">
        <v>74</v>
      </c>
      <c r="U457" t="s">
        <v>9058</v>
      </c>
      <c r="V457" t="s">
        <v>9059</v>
      </c>
      <c r="W457" t="s">
        <v>9060</v>
      </c>
      <c r="X457" t="s">
        <v>9061</v>
      </c>
      <c r="Y457" t="s">
        <v>9062</v>
      </c>
      <c r="Z457" t="s">
        <v>9063</v>
      </c>
      <c r="AA457" t="s">
        <v>9064</v>
      </c>
      <c r="AB457" t="s">
        <v>9065</v>
      </c>
      <c r="AC457" t="s">
        <v>9066</v>
      </c>
      <c r="AD457" t="s">
        <v>9067</v>
      </c>
      <c r="AE457" t="s">
        <v>9068</v>
      </c>
      <c r="AF457" t="s">
        <v>74</v>
      </c>
      <c r="AG457">
        <v>30</v>
      </c>
      <c r="AH457">
        <v>6</v>
      </c>
      <c r="AI457">
        <v>6</v>
      </c>
      <c r="AJ457">
        <v>0</v>
      </c>
      <c r="AK457">
        <v>11</v>
      </c>
      <c r="AL457" t="s">
        <v>1305</v>
      </c>
      <c r="AM457" t="s">
        <v>1306</v>
      </c>
      <c r="AN457" t="s">
        <v>1307</v>
      </c>
      <c r="AO457" t="s">
        <v>1872</v>
      </c>
      <c r="AP457" t="s">
        <v>1873</v>
      </c>
      <c r="AQ457" t="s">
        <v>74</v>
      </c>
      <c r="AR457" t="s">
        <v>1874</v>
      </c>
      <c r="AS457" t="s">
        <v>1875</v>
      </c>
      <c r="AT457" t="s">
        <v>9069</v>
      </c>
      <c r="AU457">
        <v>2016</v>
      </c>
      <c r="AV457">
        <v>16</v>
      </c>
      <c r="AW457">
        <v>16</v>
      </c>
      <c r="AX457" t="s">
        <v>74</v>
      </c>
      <c r="AY457" t="s">
        <v>74</v>
      </c>
      <c r="AZ457" t="s">
        <v>74</v>
      </c>
      <c r="BA457" t="s">
        <v>74</v>
      </c>
      <c r="BB457">
        <v>10725</v>
      </c>
      <c r="BC457">
        <v>10734</v>
      </c>
      <c r="BD457" t="s">
        <v>74</v>
      </c>
      <c r="BE457" t="s">
        <v>9070</v>
      </c>
      <c r="BF457" t="str">
        <f>HYPERLINK("http://dx.doi.org/10.5194/acp-16-10725-2016","http://dx.doi.org/10.5194/acp-16-10725-2016")</f>
        <v>http://dx.doi.org/10.5194/acp-16-10725-2016</v>
      </c>
      <c r="BG457" t="s">
        <v>74</v>
      </c>
      <c r="BH457" t="s">
        <v>74</v>
      </c>
      <c r="BI457">
        <v>10</v>
      </c>
      <c r="BJ457" t="s">
        <v>1286</v>
      </c>
      <c r="BK457" t="s">
        <v>156</v>
      </c>
      <c r="BL457" t="s">
        <v>825</v>
      </c>
      <c r="BM457" t="s">
        <v>9071</v>
      </c>
      <c r="BN457" t="s">
        <v>74</v>
      </c>
      <c r="BO457" t="s">
        <v>1467</v>
      </c>
      <c r="BP457" t="s">
        <v>74</v>
      </c>
      <c r="BQ457" t="s">
        <v>74</v>
      </c>
      <c r="BR457" t="s">
        <v>105</v>
      </c>
      <c r="BS457" t="s">
        <v>9072</v>
      </c>
      <c r="BT457" t="str">
        <f>HYPERLINK("https%3A%2F%2Fwww.webofscience.com%2Fwos%2Fwoscc%2Ffull-record%2FWOS:000383743600002","View Full Record in Web of Science")</f>
        <v>View Full Record in Web of Science</v>
      </c>
    </row>
    <row r="458" spans="1:72" x14ac:dyDescent="0.15">
      <c r="A458" t="s">
        <v>72</v>
      </c>
      <c r="B458" t="s">
        <v>9073</v>
      </c>
      <c r="C458" t="s">
        <v>74</v>
      </c>
      <c r="D458" t="s">
        <v>74</v>
      </c>
      <c r="E458" t="s">
        <v>74</v>
      </c>
      <c r="F458" t="s">
        <v>9074</v>
      </c>
      <c r="G458" t="s">
        <v>74</v>
      </c>
      <c r="H458" t="s">
        <v>74</v>
      </c>
      <c r="I458" t="s">
        <v>9075</v>
      </c>
      <c r="J458" t="s">
        <v>1072</v>
      </c>
      <c r="K458" t="s">
        <v>74</v>
      </c>
      <c r="L458" t="s">
        <v>74</v>
      </c>
      <c r="M458" t="s">
        <v>78</v>
      </c>
      <c r="N458" t="s">
        <v>79</v>
      </c>
      <c r="O458" t="s">
        <v>74</v>
      </c>
      <c r="P458" t="s">
        <v>74</v>
      </c>
      <c r="Q458" t="s">
        <v>74</v>
      </c>
      <c r="R458" t="s">
        <v>74</v>
      </c>
      <c r="S458" t="s">
        <v>74</v>
      </c>
      <c r="T458" t="s">
        <v>74</v>
      </c>
      <c r="U458" t="s">
        <v>9076</v>
      </c>
      <c r="V458" t="s">
        <v>9077</v>
      </c>
      <c r="W458" t="s">
        <v>9078</v>
      </c>
      <c r="X458" t="s">
        <v>9079</v>
      </c>
      <c r="Y458" t="s">
        <v>9080</v>
      </c>
      <c r="Z458" t="s">
        <v>9081</v>
      </c>
      <c r="AA458" t="s">
        <v>9082</v>
      </c>
      <c r="AB458" t="s">
        <v>9083</v>
      </c>
      <c r="AC458" t="s">
        <v>9084</v>
      </c>
      <c r="AD458" t="s">
        <v>9085</v>
      </c>
      <c r="AE458" t="s">
        <v>9086</v>
      </c>
      <c r="AF458" t="s">
        <v>74</v>
      </c>
      <c r="AG458">
        <v>47</v>
      </c>
      <c r="AH458">
        <v>43</v>
      </c>
      <c r="AI458">
        <v>46</v>
      </c>
      <c r="AJ458">
        <v>0</v>
      </c>
      <c r="AK458">
        <v>39</v>
      </c>
      <c r="AL458" t="s">
        <v>1074</v>
      </c>
      <c r="AM458" t="s">
        <v>1075</v>
      </c>
      <c r="AN458" t="s">
        <v>1076</v>
      </c>
      <c r="AO458" t="s">
        <v>1077</v>
      </c>
      <c r="AP458" t="s">
        <v>74</v>
      </c>
      <c r="AQ458" t="s">
        <v>74</v>
      </c>
      <c r="AR458" t="s">
        <v>1072</v>
      </c>
      <c r="AS458" t="s">
        <v>1078</v>
      </c>
      <c r="AT458" t="s">
        <v>9069</v>
      </c>
      <c r="AU458">
        <v>2016</v>
      </c>
      <c r="AV458">
        <v>11</v>
      </c>
      <c r="AW458">
        <v>8</v>
      </c>
      <c r="AX458" t="s">
        <v>74</v>
      </c>
      <c r="AY458" t="s">
        <v>74</v>
      </c>
      <c r="AZ458" t="s">
        <v>74</v>
      </c>
      <c r="BA458" t="s">
        <v>74</v>
      </c>
      <c r="BB458" t="s">
        <v>74</v>
      </c>
      <c r="BC458" t="s">
        <v>74</v>
      </c>
      <c r="BD458" t="s">
        <v>9087</v>
      </c>
      <c r="BE458" t="s">
        <v>9088</v>
      </c>
      <c r="BF458" t="str">
        <f>HYPERLINK("http://dx.doi.org/10.1371/journal.pone.0158343","http://dx.doi.org/10.1371/journal.pone.0158343")</f>
        <v>http://dx.doi.org/10.1371/journal.pone.0158343</v>
      </c>
      <c r="BG458" t="s">
        <v>74</v>
      </c>
      <c r="BH458" t="s">
        <v>74</v>
      </c>
      <c r="BI458">
        <v>14</v>
      </c>
      <c r="BJ458" t="s">
        <v>719</v>
      </c>
      <c r="BK458" t="s">
        <v>156</v>
      </c>
      <c r="BL458" t="s">
        <v>720</v>
      </c>
      <c r="BM458" t="s">
        <v>9089</v>
      </c>
      <c r="BN458">
        <v>27574986</v>
      </c>
      <c r="BO458" t="s">
        <v>1916</v>
      </c>
      <c r="BP458" t="s">
        <v>74</v>
      </c>
      <c r="BQ458" t="s">
        <v>74</v>
      </c>
      <c r="BR458" t="s">
        <v>105</v>
      </c>
      <c r="BS458" t="s">
        <v>9090</v>
      </c>
      <c r="BT458" t="str">
        <f>HYPERLINK("https%3A%2F%2Fwww.webofscience.com%2Fwos%2Fwoscc%2Ffull-record%2FWOS:000382877200002","View Full Record in Web of Science")</f>
        <v>View Full Record in Web of Science</v>
      </c>
    </row>
    <row r="459" spans="1:72" x14ac:dyDescent="0.15">
      <c r="A459" t="s">
        <v>72</v>
      </c>
      <c r="B459" t="s">
        <v>9091</v>
      </c>
      <c r="C459" t="s">
        <v>74</v>
      </c>
      <c r="D459" t="s">
        <v>74</v>
      </c>
      <c r="E459" t="s">
        <v>74</v>
      </c>
      <c r="F459" t="s">
        <v>9092</v>
      </c>
      <c r="G459" t="s">
        <v>74</v>
      </c>
      <c r="H459" t="s">
        <v>74</v>
      </c>
      <c r="I459" t="s">
        <v>9093</v>
      </c>
      <c r="J459" t="s">
        <v>1860</v>
      </c>
      <c r="K459" t="s">
        <v>74</v>
      </c>
      <c r="L459" t="s">
        <v>74</v>
      </c>
      <c r="M459" t="s">
        <v>78</v>
      </c>
      <c r="N459" t="s">
        <v>317</v>
      </c>
      <c r="O459" t="s">
        <v>74</v>
      </c>
      <c r="P459" t="s">
        <v>74</v>
      </c>
      <c r="Q459" t="s">
        <v>74</v>
      </c>
      <c r="R459" t="s">
        <v>74</v>
      </c>
      <c r="S459" t="s">
        <v>74</v>
      </c>
      <c r="T459" t="s">
        <v>74</v>
      </c>
      <c r="U459" t="s">
        <v>9094</v>
      </c>
      <c r="V459" t="s">
        <v>9095</v>
      </c>
      <c r="W459" t="s">
        <v>9096</v>
      </c>
      <c r="X459" t="s">
        <v>9097</v>
      </c>
      <c r="Y459" t="s">
        <v>9098</v>
      </c>
      <c r="Z459" t="s">
        <v>9099</v>
      </c>
      <c r="AA459" t="s">
        <v>9100</v>
      </c>
      <c r="AB459" t="s">
        <v>9101</v>
      </c>
      <c r="AC459" t="s">
        <v>9102</v>
      </c>
      <c r="AD459" t="s">
        <v>9103</v>
      </c>
      <c r="AE459" t="s">
        <v>9104</v>
      </c>
      <c r="AF459" t="s">
        <v>74</v>
      </c>
      <c r="AG459">
        <v>185</v>
      </c>
      <c r="AH459">
        <v>53</v>
      </c>
      <c r="AI459">
        <v>55</v>
      </c>
      <c r="AJ459">
        <v>3</v>
      </c>
      <c r="AK459">
        <v>97</v>
      </c>
      <c r="AL459" t="s">
        <v>1305</v>
      </c>
      <c r="AM459" t="s">
        <v>1306</v>
      </c>
      <c r="AN459" t="s">
        <v>1307</v>
      </c>
      <c r="AO459" t="s">
        <v>1872</v>
      </c>
      <c r="AP459" t="s">
        <v>1873</v>
      </c>
      <c r="AQ459" t="s">
        <v>74</v>
      </c>
      <c r="AR459" t="s">
        <v>1874</v>
      </c>
      <c r="AS459" t="s">
        <v>1875</v>
      </c>
      <c r="AT459" t="s">
        <v>9069</v>
      </c>
      <c r="AU459">
        <v>2016</v>
      </c>
      <c r="AV459">
        <v>16</v>
      </c>
      <c r="AW459">
        <v>16</v>
      </c>
      <c r="AX459" t="s">
        <v>74</v>
      </c>
      <c r="AY459" t="s">
        <v>74</v>
      </c>
      <c r="AZ459" t="s">
        <v>74</v>
      </c>
      <c r="BA459" t="s">
        <v>74</v>
      </c>
      <c r="BB459">
        <v>10735</v>
      </c>
      <c r="BC459">
        <v>10763</v>
      </c>
      <c r="BD459" t="s">
        <v>74</v>
      </c>
      <c r="BE459" t="s">
        <v>9105</v>
      </c>
      <c r="BF459" t="str">
        <f>HYPERLINK("http://dx.doi.org/10.5194/acp-16-10735-2016","http://dx.doi.org/10.5194/acp-16-10735-2016")</f>
        <v>http://dx.doi.org/10.5194/acp-16-10735-2016</v>
      </c>
      <c r="BG459" t="s">
        <v>74</v>
      </c>
      <c r="BH459" t="s">
        <v>74</v>
      </c>
      <c r="BI459">
        <v>29</v>
      </c>
      <c r="BJ459" t="s">
        <v>1286</v>
      </c>
      <c r="BK459" t="s">
        <v>156</v>
      </c>
      <c r="BL459" t="s">
        <v>825</v>
      </c>
      <c r="BM459" t="s">
        <v>9071</v>
      </c>
      <c r="BN459" t="s">
        <v>74</v>
      </c>
      <c r="BO459" t="s">
        <v>1314</v>
      </c>
      <c r="BP459" t="s">
        <v>74</v>
      </c>
      <c r="BQ459" t="s">
        <v>74</v>
      </c>
      <c r="BR459" t="s">
        <v>105</v>
      </c>
      <c r="BS459" t="s">
        <v>9106</v>
      </c>
      <c r="BT459" t="str">
        <f>HYPERLINK("https%3A%2F%2Fwww.webofscience.com%2Fwos%2Fwoscc%2Ffull-record%2FWOS:000383743600003","View Full Record in Web of Science")</f>
        <v>View Full Record in Web of Science</v>
      </c>
    </row>
    <row r="460" spans="1:72" x14ac:dyDescent="0.15">
      <c r="A460" t="s">
        <v>72</v>
      </c>
      <c r="B460" t="s">
        <v>9107</v>
      </c>
      <c r="C460" t="s">
        <v>74</v>
      </c>
      <c r="D460" t="s">
        <v>74</v>
      </c>
      <c r="E460" t="s">
        <v>74</v>
      </c>
      <c r="F460" t="s">
        <v>9108</v>
      </c>
      <c r="G460" t="s">
        <v>74</v>
      </c>
      <c r="H460" t="s">
        <v>74</v>
      </c>
      <c r="I460" t="s">
        <v>9109</v>
      </c>
      <c r="J460" t="s">
        <v>1586</v>
      </c>
      <c r="K460" t="s">
        <v>74</v>
      </c>
      <c r="L460" t="s">
        <v>74</v>
      </c>
      <c r="M460" t="s">
        <v>78</v>
      </c>
      <c r="N460" t="s">
        <v>79</v>
      </c>
      <c r="O460" t="s">
        <v>74</v>
      </c>
      <c r="P460" t="s">
        <v>74</v>
      </c>
      <c r="Q460" t="s">
        <v>74</v>
      </c>
      <c r="R460" t="s">
        <v>74</v>
      </c>
      <c r="S460" t="s">
        <v>74</v>
      </c>
      <c r="T460" t="s">
        <v>9110</v>
      </c>
      <c r="U460" t="s">
        <v>9111</v>
      </c>
      <c r="V460" t="s">
        <v>9112</v>
      </c>
      <c r="W460" t="s">
        <v>9113</v>
      </c>
      <c r="X460" t="s">
        <v>9114</v>
      </c>
      <c r="Y460" t="s">
        <v>9115</v>
      </c>
      <c r="Z460" t="s">
        <v>9116</v>
      </c>
      <c r="AA460" t="s">
        <v>9117</v>
      </c>
      <c r="AB460" t="s">
        <v>9118</v>
      </c>
      <c r="AC460" t="s">
        <v>9119</v>
      </c>
      <c r="AD460" t="s">
        <v>9120</v>
      </c>
      <c r="AE460" t="s">
        <v>9121</v>
      </c>
      <c r="AF460" t="s">
        <v>74</v>
      </c>
      <c r="AG460">
        <v>49</v>
      </c>
      <c r="AH460">
        <v>36</v>
      </c>
      <c r="AI460">
        <v>42</v>
      </c>
      <c r="AJ460">
        <v>0</v>
      </c>
      <c r="AK460">
        <v>35</v>
      </c>
      <c r="AL460" t="s">
        <v>1599</v>
      </c>
      <c r="AM460" t="s">
        <v>123</v>
      </c>
      <c r="AN460" t="s">
        <v>1600</v>
      </c>
      <c r="AO460" t="s">
        <v>1601</v>
      </c>
      <c r="AP460" t="s">
        <v>9122</v>
      </c>
      <c r="AQ460" t="s">
        <v>74</v>
      </c>
      <c r="AR460" t="s">
        <v>1602</v>
      </c>
      <c r="AS460" t="s">
        <v>1603</v>
      </c>
      <c r="AT460" t="s">
        <v>9069</v>
      </c>
      <c r="AU460">
        <v>2016</v>
      </c>
      <c r="AV460">
        <v>113</v>
      </c>
      <c r="AW460">
        <v>35</v>
      </c>
      <c r="AX460" t="s">
        <v>74</v>
      </c>
      <c r="AY460" t="s">
        <v>74</v>
      </c>
      <c r="AZ460" t="s">
        <v>74</v>
      </c>
      <c r="BA460" t="s">
        <v>74</v>
      </c>
      <c r="BB460">
        <v>9710</v>
      </c>
      <c r="BC460">
        <v>9715</v>
      </c>
      <c r="BD460" t="s">
        <v>74</v>
      </c>
      <c r="BE460" t="s">
        <v>9123</v>
      </c>
      <c r="BF460" t="str">
        <f>HYPERLINK("http://dx.doi.org/10.1073/pnas.1524766113","http://dx.doi.org/10.1073/pnas.1524766113")</f>
        <v>http://dx.doi.org/10.1073/pnas.1524766113</v>
      </c>
      <c r="BG460" t="s">
        <v>74</v>
      </c>
      <c r="BH460" t="s">
        <v>74</v>
      </c>
      <c r="BI460">
        <v>6</v>
      </c>
      <c r="BJ460" t="s">
        <v>719</v>
      </c>
      <c r="BK460" t="s">
        <v>156</v>
      </c>
      <c r="BL460" t="s">
        <v>720</v>
      </c>
      <c r="BM460" t="s">
        <v>9124</v>
      </c>
      <c r="BN460">
        <v>27528680</v>
      </c>
      <c r="BO460" t="s">
        <v>9125</v>
      </c>
      <c r="BP460" t="s">
        <v>74</v>
      </c>
      <c r="BQ460" t="s">
        <v>74</v>
      </c>
      <c r="BR460" t="s">
        <v>105</v>
      </c>
      <c r="BS460" t="s">
        <v>9126</v>
      </c>
      <c r="BT460" t="str">
        <f>HYPERLINK("https%3A%2F%2Fwww.webofscience.com%2Fwos%2Fwoscc%2Ffull-record%2FWOS:000383090700035","View Full Record in Web of Science")</f>
        <v>View Full Record in Web of Science</v>
      </c>
    </row>
    <row r="461" spans="1:72" x14ac:dyDescent="0.15">
      <c r="A461" t="s">
        <v>72</v>
      </c>
      <c r="B461" t="s">
        <v>9127</v>
      </c>
      <c r="C461" t="s">
        <v>74</v>
      </c>
      <c r="D461" t="s">
        <v>74</v>
      </c>
      <c r="E461" t="s">
        <v>74</v>
      </c>
      <c r="F461" t="s">
        <v>9128</v>
      </c>
      <c r="G461" t="s">
        <v>74</v>
      </c>
      <c r="H461" t="s">
        <v>74</v>
      </c>
      <c r="I461" t="s">
        <v>9129</v>
      </c>
      <c r="J461" t="s">
        <v>1088</v>
      </c>
      <c r="K461" t="s">
        <v>74</v>
      </c>
      <c r="L461" t="s">
        <v>74</v>
      </c>
      <c r="M461" t="s">
        <v>78</v>
      </c>
      <c r="N461" t="s">
        <v>79</v>
      </c>
      <c r="O461" t="s">
        <v>74</v>
      </c>
      <c r="P461" t="s">
        <v>74</v>
      </c>
      <c r="Q461" t="s">
        <v>74</v>
      </c>
      <c r="R461" t="s">
        <v>74</v>
      </c>
      <c r="S461" t="s">
        <v>74</v>
      </c>
      <c r="T461" t="s">
        <v>9130</v>
      </c>
      <c r="U461" t="s">
        <v>9131</v>
      </c>
      <c r="V461" t="s">
        <v>9132</v>
      </c>
      <c r="W461" t="s">
        <v>9133</v>
      </c>
      <c r="X461" t="s">
        <v>9134</v>
      </c>
      <c r="Y461" t="s">
        <v>9135</v>
      </c>
      <c r="Z461" t="s">
        <v>9136</v>
      </c>
      <c r="AA461" t="s">
        <v>9137</v>
      </c>
      <c r="AB461" t="s">
        <v>9138</v>
      </c>
      <c r="AC461" t="s">
        <v>9139</v>
      </c>
      <c r="AD461" t="s">
        <v>9140</v>
      </c>
      <c r="AE461" t="s">
        <v>9141</v>
      </c>
      <c r="AF461" t="s">
        <v>74</v>
      </c>
      <c r="AG461">
        <v>38</v>
      </c>
      <c r="AH461">
        <v>20</v>
      </c>
      <c r="AI461">
        <v>21</v>
      </c>
      <c r="AJ461">
        <v>1</v>
      </c>
      <c r="AK461">
        <v>32</v>
      </c>
      <c r="AL461" t="s">
        <v>149</v>
      </c>
      <c r="AM461" t="s">
        <v>123</v>
      </c>
      <c r="AN461" t="s">
        <v>150</v>
      </c>
      <c r="AO461" t="s">
        <v>1100</v>
      </c>
      <c r="AP461" t="s">
        <v>1101</v>
      </c>
      <c r="AQ461" t="s">
        <v>74</v>
      </c>
      <c r="AR461" t="s">
        <v>1102</v>
      </c>
      <c r="AS461" t="s">
        <v>1103</v>
      </c>
      <c r="AT461" t="s">
        <v>9142</v>
      </c>
      <c r="AU461">
        <v>2016</v>
      </c>
      <c r="AV461">
        <v>43</v>
      </c>
      <c r="AW461">
        <v>16</v>
      </c>
      <c r="AX461" t="s">
        <v>74</v>
      </c>
      <c r="AY461" t="s">
        <v>74</v>
      </c>
      <c r="AZ461" t="s">
        <v>74</v>
      </c>
      <c r="BA461" t="s">
        <v>74</v>
      </c>
      <c r="BB461">
        <v>8806</v>
      </c>
      <c r="BC461">
        <v>8814</v>
      </c>
      <c r="BD461" t="s">
        <v>74</v>
      </c>
      <c r="BE461" t="s">
        <v>9143</v>
      </c>
      <c r="BF461" t="str">
        <f>HYPERLINK("http://dx.doi.org/10.1002/2016GL070255","http://dx.doi.org/10.1002/2016GL070255")</f>
        <v>http://dx.doi.org/10.1002/2016GL070255</v>
      </c>
      <c r="BG461" t="s">
        <v>74</v>
      </c>
      <c r="BH461" t="s">
        <v>74</v>
      </c>
      <c r="BI461">
        <v>9</v>
      </c>
      <c r="BJ461" t="s">
        <v>352</v>
      </c>
      <c r="BK461" t="s">
        <v>156</v>
      </c>
      <c r="BL461" t="s">
        <v>177</v>
      </c>
      <c r="BM461" t="s">
        <v>9144</v>
      </c>
      <c r="BN461" t="s">
        <v>74</v>
      </c>
      <c r="BO461" t="s">
        <v>104</v>
      </c>
      <c r="BP461" t="s">
        <v>74</v>
      </c>
      <c r="BQ461" t="s">
        <v>74</v>
      </c>
      <c r="BR461" t="s">
        <v>105</v>
      </c>
      <c r="BS461" t="s">
        <v>9145</v>
      </c>
      <c r="BT461" t="str">
        <f>HYPERLINK("https%3A%2F%2Fwww.webofscience.com%2Fwos%2Fwoscc%2Ffull-record%2FWOS:000384443800057","View Full Record in Web of Science")</f>
        <v>View Full Record in Web of Science</v>
      </c>
    </row>
    <row r="462" spans="1:72" x14ac:dyDescent="0.15">
      <c r="A462" t="s">
        <v>72</v>
      </c>
      <c r="B462" t="s">
        <v>9146</v>
      </c>
      <c r="C462" t="s">
        <v>74</v>
      </c>
      <c r="D462" t="s">
        <v>74</v>
      </c>
      <c r="E462" t="s">
        <v>74</v>
      </c>
      <c r="F462" t="s">
        <v>9147</v>
      </c>
      <c r="G462" t="s">
        <v>74</v>
      </c>
      <c r="H462" t="s">
        <v>74</v>
      </c>
      <c r="I462" t="s">
        <v>9148</v>
      </c>
      <c r="J462" t="s">
        <v>1088</v>
      </c>
      <c r="K462" t="s">
        <v>74</v>
      </c>
      <c r="L462" t="s">
        <v>74</v>
      </c>
      <c r="M462" t="s">
        <v>78</v>
      </c>
      <c r="N462" t="s">
        <v>79</v>
      </c>
      <c r="O462" t="s">
        <v>74</v>
      </c>
      <c r="P462" t="s">
        <v>74</v>
      </c>
      <c r="Q462" t="s">
        <v>74</v>
      </c>
      <c r="R462" t="s">
        <v>74</v>
      </c>
      <c r="S462" t="s">
        <v>74</v>
      </c>
      <c r="T462" t="s">
        <v>9149</v>
      </c>
      <c r="U462" t="s">
        <v>9150</v>
      </c>
      <c r="V462" t="s">
        <v>9151</v>
      </c>
      <c r="W462" t="s">
        <v>9152</v>
      </c>
      <c r="X462" t="s">
        <v>9153</v>
      </c>
      <c r="Y462" t="s">
        <v>9154</v>
      </c>
      <c r="Z462" t="s">
        <v>9155</v>
      </c>
      <c r="AA462" t="s">
        <v>9156</v>
      </c>
      <c r="AB462" t="s">
        <v>9157</v>
      </c>
      <c r="AC462" t="s">
        <v>9158</v>
      </c>
      <c r="AD462" t="s">
        <v>9159</v>
      </c>
      <c r="AE462" t="s">
        <v>9160</v>
      </c>
      <c r="AF462" t="s">
        <v>74</v>
      </c>
      <c r="AG462">
        <v>56</v>
      </c>
      <c r="AH462">
        <v>40</v>
      </c>
      <c r="AI462">
        <v>43</v>
      </c>
      <c r="AJ462">
        <v>10</v>
      </c>
      <c r="AK462">
        <v>77</v>
      </c>
      <c r="AL462" t="s">
        <v>149</v>
      </c>
      <c r="AM462" t="s">
        <v>123</v>
      </c>
      <c r="AN462" t="s">
        <v>150</v>
      </c>
      <c r="AO462" t="s">
        <v>1100</v>
      </c>
      <c r="AP462" t="s">
        <v>1101</v>
      </c>
      <c r="AQ462" t="s">
        <v>74</v>
      </c>
      <c r="AR462" t="s">
        <v>1102</v>
      </c>
      <c r="AS462" t="s">
        <v>1103</v>
      </c>
      <c r="AT462" t="s">
        <v>9142</v>
      </c>
      <c r="AU462">
        <v>2016</v>
      </c>
      <c r="AV462">
        <v>43</v>
      </c>
      <c r="AW462">
        <v>16</v>
      </c>
      <c r="AX462" t="s">
        <v>74</v>
      </c>
      <c r="AY462" t="s">
        <v>74</v>
      </c>
      <c r="AZ462" t="s">
        <v>74</v>
      </c>
      <c r="BA462" t="s">
        <v>74</v>
      </c>
      <c r="BB462">
        <v>8554</v>
      </c>
      <c r="BC462">
        <v>8562</v>
      </c>
      <c r="BD462" t="s">
        <v>74</v>
      </c>
      <c r="BE462" t="s">
        <v>9161</v>
      </c>
      <c r="BF462" t="str">
        <f>HYPERLINK("http://dx.doi.org/10.1002/2016GL069847","http://dx.doi.org/10.1002/2016GL069847")</f>
        <v>http://dx.doi.org/10.1002/2016GL069847</v>
      </c>
      <c r="BG462" t="s">
        <v>74</v>
      </c>
      <c r="BH462" t="s">
        <v>74</v>
      </c>
      <c r="BI462">
        <v>9</v>
      </c>
      <c r="BJ462" t="s">
        <v>352</v>
      </c>
      <c r="BK462" t="s">
        <v>156</v>
      </c>
      <c r="BL462" t="s">
        <v>177</v>
      </c>
      <c r="BM462" t="s">
        <v>9144</v>
      </c>
      <c r="BN462" t="s">
        <v>74</v>
      </c>
      <c r="BO462" t="s">
        <v>104</v>
      </c>
      <c r="BP462" t="s">
        <v>74</v>
      </c>
      <c r="BQ462" t="s">
        <v>74</v>
      </c>
      <c r="BR462" t="s">
        <v>105</v>
      </c>
      <c r="BS462" t="s">
        <v>9162</v>
      </c>
      <c r="BT462" t="str">
        <f>HYPERLINK("https%3A%2F%2Fwww.webofscience.com%2Fwos%2Fwoscc%2Ffull-record%2FWOS:000384443800027","View Full Record in Web of Science")</f>
        <v>View Full Record in Web of Science</v>
      </c>
    </row>
    <row r="463" spans="1:72" x14ac:dyDescent="0.15">
      <c r="A463" t="s">
        <v>72</v>
      </c>
      <c r="B463" t="s">
        <v>9163</v>
      </c>
      <c r="C463" t="s">
        <v>74</v>
      </c>
      <c r="D463" t="s">
        <v>74</v>
      </c>
      <c r="E463" t="s">
        <v>74</v>
      </c>
      <c r="F463" t="s">
        <v>9164</v>
      </c>
      <c r="G463" t="s">
        <v>74</v>
      </c>
      <c r="H463" t="s">
        <v>74</v>
      </c>
      <c r="I463" t="s">
        <v>9165</v>
      </c>
      <c r="J463" t="s">
        <v>1088</v>
      </c>
      <c r="K463" t="s">
        <v>74</v>
      </c>
      <c r="L463" t="s">
        <v>74</v>
      </c>
      <c r="M463" t="s">
        <v>78</v>
      </c>
      <c r="N463" t="s">
        <v>79</v>
      </c>
      <c r="O463" t="s">
        <v>74</v>
      </c>
      <c r="P463" t="s">
        <v>74</v>
      </c>
      <c r="Q463" t="s">
        <v>74</v>
      </c>
      <c r="R463" t="s">
        <v>74</v>
      </c>
      <c r="S463" t="s">
        <v>74</v>
      </c>
      <c r="T463" t="s">
        <v>9166</v>
      </c>
      <c r="U463" t="s">
        <v>9167</v>
      </c>
      <c r="V463" t="s">
        <v>9168</v>
      </c>
      <c r="W463" t="s">
        <v>9169</v>
      </c>
      <c r="X463" t="s">
        <v>9170</v>
      </c>
      <c r="Y463" t="s">
        <v>9171</v>
      </c>
      <c r="Z463" t="s">
        <v>9172</v>
      </c>
      <c r="AA463" t="s">
        <v>9173</v>
      </c>
      <c r="AB463" t="s">
        <v>9174</v>
      </c>
      <c r="AC463" t="s">
        <v>9175</v>
      </c>
      <c r="AD463" t="s">
        <v>9176</v>
      </c>
      <c r="AE463" t="s">
        <v>9177</v>
      </c>
      <c r="AF463" t="s">
        <v>74</v>
      </c>
      <c r="AG463">
        <v>40</v>
      </c>
      <c r="AH463">
        <v>48</v>
      </c>
      <c r="AI463">
        <v>58</v>
      </c>
      <c r="AJ463">
        <v>3</v>
      </c>
      <c r="AK463">
        <v>24</v>
      </c>
      <c r="AL463" t="s">
        <v>149</v>
      </c>
      <c r="AM463" t="s">
        <v>123</v>
      </c>
      <c r="AN463" t="s">
        <v>150</v>
      </c>
      <c r="AO463" t="s">
        <v>1100</v>
      </c>
      <c r="AP463" t="s">
        <v>1101</v>
      </c>
      <c r="AQ463" t="s">
        <v>74</v>
      </c>
      <c r="AR463" t="s">
        <v>1102</v>
      </c>
      <c r="AS463" t="s">
        <v>1103</v>
      </c>
      <c r="AT463" t="s">
        <v>9142</v>
      </c>
      <c r="AU463">
        <v>2016</v>
      </c>
      <c r="AV463">
        <v>43</v>
      </c>
      <c r="AW463">
        <v>16</v>
      </c>
      <c r="AX463" t="s">
        <v>74</v>
      </c>
      <c r="AY463" t="s">
        <v>74</v>
      </c>
      <c r="AZ463" t="s">
        <v>74</v>
      </c>
      <c r="BA463" t="s">
        <v>74</v>
      </c>
      <c r="BB463">
        <v>8563</v>
      </c>
      <c r="BC463">
        <v>8571</v>
      </c>
      <c r="BD463" t="s">
        <v>74</v>
      </c>
      <c r="BE463" t="s">
        <v>9178</v>
      </c>
      <c r="BF463" t="str">
        <f>HYPERLINK("http://dx.doi.org/10.1002/2016GL069511","http://dx.doi.org/10.1002/2016GL069511")</f>
        <v>http://dx.doi.org/10.1002/2016GL069511</v>
      </c>
      <c r="BG463" t="s">
        <v>74</v>
      </c>
      <c r="BH463" t="s">
        <v>74</v>
      </c>
      <c r="BI463">
        <v>9</v>
      </c>
      <c r="BJ463" t="s">
        <v>352</v>
      </c>
      <c r="BK463" t="s">
        <v>156</v>
      </c>
      <c r="BL463" t="s">
        <v>177</v>
      </c>
      <c r="BM463" t="s">
        <v>9144</v>
      </c>
      <c r="BN463" t="s">
        <v>74</v>
      </c>
      <c r="BO463" t="s">
        <v>8418</v>
      </c>
      <c r="BP463" t="s">
        <v>74</v>
      </c>
      <c r="BQ463" t="s">
        <v>74</v>
      </c>
      <c r="BR463" t="s">
        <v>105</v>
      </c>
      <c r="BS463" t="s">
        <v>9179</v>
      </c>
      <c r="BT463" t="str">
        <f>HYPERLINK("https%3A%2F%2Fwww.webofscience.com%2Fwos%2Fwoscc%2Ffull-record%2FWOS:000384443800028","View Full Record in Web of Science")</f>
        <v>View Full Record in Web of Science</v>
      </c>
    </row>
    <row r="464" spans="1:72" x14ac:dyDescent="0.15">
      <c r="A464" t="s">
        <v>72</v>
      </c>
      <c r="B464" t="s">
        <v>9180</v>
      </c>
      <c r="C464" t="s">
        <v>74</v>
      </c>
      <c r="D464" t="s">
        <v>74</v>
      </c>
      <c r="E464" t="s">
        <v>74</v>
      </c>
      <c r="F464" t="s">
        <v>9181</v>
      </c>
      <c r="G464" t="s">
        <v>74</v>
      </c>
      <c r="H464" t="s">
        <v>74</v>
      </c>
      <c r="I464" t="s">
        <v>9182</v>
      </c>
      <c r="J464" t="s">
        <v>1088</v>
      </c>
      <c r="K464" t="s">
        <v>74</v>
      </c>
      <c r="L464" t="s">
        <v>74</v>
      </c>
      <c r="M464" t="s">
        <v>78</v>
      </c>
      <c r="N464" t="s">
        <v>79</v>
      </c>
      <c r="O464" t="s">
        <v>74</v>
      </c>
      <c r="P464" t="s">
        <v>74</v>
      </c>
      <c r="Q464" t="s">
        <v>74</v>
      </c>
      <c r="R464" t="s">
        <v>74</v>
      </c>
      <c r="S464" t="s">
        <v>74</v>
      </c>
      <c r="T464" t="s">
        <v>9183</v>
      </c>
      <c r="U464" t="s">
        <v>9184</v>
      </c>
      <c r="V464" t="s">
        <v>9185</v>
      </c>
      <c r="W464" t="s">
        <v>9186</v>
      </c>
      <c r="X464" t="s">
        <v>9187</v>
      </c>
      <c r="Y464" t="s">
        <v>9188</v>
      </c>
      <c r="Z464" t="s">
        <v>9189</v>
      </c>
      <c r="AA464" t="s">
        <v>74</v>
      </c>
      <c r="AB464" t="s">
        <v>9190</v>
      </c>
      <c r="AC464" t="s">
        <v>9191</v>
      </c>
      <c r="AD464" t="s">
        <v>9192</v>
      </c>
      <c r="AE464" t="s">
        <v>9193</v>
      </c>
      <c r="AF464" t="s">
        <v>74</v>
      </c>
      <c r="AG464">
        <v>58</v>
      </c>
      <c r="AH464">
        <v>66</v>
      </c>
      <c r="AI464">
        <v>70</v>
      </c>
      <c r="AJ464">
        <v>6</v>
      </c>
      <c r="AK464">
        <v>113</v>
      </c>
      <c r="AL464" t="s">
        <v>149</v>
      </c>
      <c r="AM464" t="s">
        <v>123</v>
      </c>
      <c r="AN464" t="s">
        <v>150</v>
      </c>
      <c r="AO464" t="s">
        <v>1100</v>
      </c>
      <c r="AP464" t="s">
        <v>1101</v>
      </c>
      <c r="AQ464" t="s">
        <v>74</v>
      </c>
      <c r="AR464" t="s">
        <v>1102</v>
      </c>
      <c r="AS464" t="s">
        <v>1103</v>
      </c>
      <c r="AT464" t="s">
        <v>9142</v>
      </c>
      <c r="AU464">
        <v>2016</v>
      </c>
      <c r="AV464">
        <v>43</v>
      </c>
      <c r="AW464">
        <v>16</v>
      </c>
      <c r="AX464" t="s">
        <v>74</v>
      </c>
      <c r="AY464" t="s">
        <v>74</v>
      </c>
      <c r="AZ464" t="s">
        <v>74</v>
      </c>
      <c r="BA464" t="s">
        <v>74</v>
      </c>
      <c r="BB464">
        <v>8580</v>
      </c>
      <c r="BC464">
        <v>8589</v>
      </c>
      <c r="BD464" t="s">
        <v>74</v>
      </c>
      <c r="BE464" t="s">
        <v>9194</v>
      </c>
      <c r="BF464" t="str">
        <f>HYPERLINK("http://dx.doi.org/10.1002/2016GL069656","http://dx.doi.org/10.1002/2016GL069656")</f>
        <v>http://dx.doi.org/10.1002/2016GL069656</v>
      </c>
      <c r="BG464" t="s">
        <v>74</v>
      </c>
      <c r="BH464" t="s">
        <v>74</v>
      </c>
      <c r="BI464">
        <v>10</v>
      </c>
      <c r="BJ464" t="s">
        <v>352</v>
      </c>
      <c r="BK464" t="s">
        <v>156</v>
      </c>
      <c r="BL464" t="s">
        <v>177</v>
      </c>
      <c r="BM464" t="s">
        <v>9144</v>
      </c>
      <c r="BN464" t="s">
        <v>74</v>
      </c>
      <c r="BO464" t="s">
        <v>74</v>
      </c>
      <c r="BP464" t="s">
        <v>74</v>
      </c>
      <c r="BQ464" t="s">
        <v>74</v>
      </c>
      <c r="BR464" t="s">
        <v>105</v>
      </c>
      <c r="BS464" t="s">
        <v>9195</v>
      </c>
      <c r="BT464" t="str">
        <f>HYPERLINK("https%3A%2F%2Fwww.webofscience.com%2Fwos%2Fwoscc%2Ffull-record%2FWOS:000384443800030","View Full Record in Web of Science")</f>
        <v>View Full Record in Web of Science</v>
      </c>
    </row>
    <row r="465" spans="1:72" x14ac:dyDescent="0.15">
      <c r="A465" t="s">
        <v>72</v>
      </c>
      <c r="B465" t="s">
        <v>9196</v>
      </c>
      <c r="C465" t="s">
        <v>74</v>
      </c>
      <c r="D465" t="s">
        <v>74</v>
      </c>
      <c r="E465" t="s">
        <v>74</v>
      </c>
      <c r="F465" t="s">
        <v>9197</v>
      </c>
      <c r="G465" t="s">
        <v>74</v>
      </c>
      <c r="H465" t="s">
        <v>74</v>
      </c>
      <c r="I465" t="s">
        <v>9198</v>
      </c>
      <c r="J465" t="s">
        <v>2512</v>
      </c>
      <c r="K465" t="s">
        <v>74</v>
      </c>
      <c r="L465" t="s">
        <v>74</v>
      </c>
      <c r="M465" t="s">
        <v>78</v>
      </c>
      <c r="N465" t="s">
        <v>79</v>
      </c>
      <c r="O465" t="s">
        <v>74</v>
      </c>
      <c r="P465" t="s">
        <v>74</v>
      </c>
      <c r="Q465" t="s">
        <v>74</v>
      </c>
      <c r="R465" t="s">
        <v>74</v>
      </c>
      <c r="S465" t="s">
        <v>74</v>
      </c>
      <c r="T465" t="s">
        <v>74</v>
      </c>
      <c r="U465" t="s">
        <v>9199</v>
      </c>
      <c r="V465" t="s">
        <v>9200</v>
      </c>
      <c r="W465" t="s">
        <v>9201</v>
      </c>
      <c r="X465" t="s">
        <v>9202</v>
      </c>
      <c r="Y465" t="s">
        <v>9203</v>
      </c>
      <c r="Z465" t="s">
        <v>9204</v>
      </c>
      <c r="AA465" t="s">
        <v>9205</v>
      </c>
      <c r="AB465" t="s">
        <v>9206</v>
      </c>
      <c r="AC465" t="s">
        <v>9207</v>
      </c>
      <c r="AD465" t="s">
        <v>9207</v>
      </c>
      <c r="AE465" t="s">
        <v>9208</v>
      </c>
      <c r="AF465" t="s">
        <v>74</v>
      </c>
      <c r="AG465">
        <v>47</v>
      </c>
      <c r="AH465">
        <v>66</v>
      </c>
      <c r="AI465">
        <v>73</v>
      </c>
      <c r="AJ465">
        <v>3</v>
      </c>
      <c r="AK465">
        <v>45</v>
      </c>
      <c r="AL465" t="s">
        <v>149</v>
      </c>
      <c r="AM465" t="s">
        <v>123</v>
      </c>
      <c r="AN465" t="s">
        <v>150</v>
      </c>
      <c r="AO465" t="s">
        <v>2525</v>
      </c>
      <c r="AP465" t="s">
        <v>2526</v>
      </c>
      <c r="AQ465" t="s">
        <v>74</v>
      </c>
      <c r="AR465" t="s">
        <v>2527</v>
      </c>
      <c r="AS465" t="s">
        <v>2528</v>
      </c>
      <c r="AT465" t="s">
        <v>9209</v>
      </c>
      <c r="AU465">
        <v>2016</v>
      </c>
      <c r="AV465">
        <v>121</v>
      </c>
      <c r="AW465">
        <v>16</v>
      </c>
      <c r="AX465" t="s">
        <v>74</v>
      </c>
      <c r="AY465" t="s">
        <v>74</v>
      </c>
      <c r="AZ465" t="s">
        <v>74</v>
      </c>
      <c r="BA465" t="s">
        <v>74</v>
      </c>
      <c r="BB465">
        <v>9324</v>
      </c>
      <c r="BC465">
        <v>9341</v>
      </c>
      <c r="BD465" t="s">
        <v>74</v>
      </c>
      <c r="BE465" t="s">
        <v>9210</v>
      </c>
      <c r="BF465" t="str">
        <f>HYPERLINK("http://dx.doi.org/10.1002/2016JD025305","http://dx.doi.org/10.1002/2016JD025305")</f>
        <v>http://dx.doi.org/10.1002/2016JD025305</v>
      </c>
      <c r="BG465" t="s">
        <v>74</v>
      </c>
      <c r="BH465" t="s">
        <v>74</v>
      </c>
      <c r="BI465">
        <v>18</v>
      </c>
      <c r="BJ465" t="s">
        <v>2482</v>
      </c>
      <c r="BK465" t="s">
        <v>156</v>
      </c>
      <c r="BL465" t="s">
        <v>2482</v>
      </c>
      <c r="BM465" t="s">
        <v>9211</v>
      </c>
      <c r="BN465" t="s">
        <v>74</v>
      </c>
      <c r="BO465" t="s">
        <v>74</v>
      </c>
      <c r="BP465" t="s">
        <v>74</v>
      </c>
      <c r="BQ465" t="s">
        <v>74</v>
      </c>
      <c r="BR465" t="s">
        <v>105</v>
      </c>
      <c r="BS465" t="s">
        <v>9212</v>
      </c>
      <c r="BT465" t="str">
        <f>HYPERLINK("https%3A%2F%2Fwww.webofscience.com%2Fwos%2Fwoscc%2Ffull-record%2FWOS:000386207200004","View Full Record in Web of Science")</f>
        <v>View Full Record in Web of Science</v>
      </c>
    </row>
    <row r="466" spans="1:72" x14ac:dyDescent="0.15">
      <c r="A466" t="s">
        <v>72</v>
      </c>
      <c r="B466" t="s">
        <v>9213</v>
      </c>
      <c r="C466" t="s">
        <v>74</v>
      </c>
      <c r="D466" t="s">
        <v>74</v>
      </c>
      <c r="E466" t="s">
        <v>74</v>
      </c>
      <c r="F466" t="s">
        <v>9214</v>
      </c>
      <c r="G466" t="s">
        <v>74</v>
      </c>
      <c r="H466" t="s">
        <v>74</v>
      </c>
      <c r="I466" t="s">
        <v>9215</v>
      </c>
      <c r="J466" t="s">
        <v>9216</v>
      </c>
      <c r="K466" t="s">
        <v>74</v>
      </c>
      <c r="L466" t="s">
        <v>74</v>
      </c>
      <c r="M466" t="s">
        <v>78</v>
      </c>
      <c r="N466" t="s">
        <v>79</v>
      </c>
      <c r="O466" t="s">
        <v>74</v>
      </c>
      <c r="P466" t="s">
        <v>74</v>
      </c>
      <c r="Q466" t="s">
        <v>74</v>
      </c>
      <c r="R466" t="s">
        <v>74</v>
      </c>
      <c r="S466" t="s">
        <v>74</v>
      </c>
      <c r="T466" t="s">
        <v>9217</v>
      </c>
      <c r="U466" t="s">
        <v>9218</v>
      </c>
      <c r="V466" t="s">
        <v>9219</v>
      </c>
      <c r="W466" t="s">
        <v>9220</v>
      </c>
      <c r="X466" t="s">
        <v>9221</v>
      </c>
      <c r="Y466" t="s">
        <v>9222</v>
      </c>
      <c r="Z466" t="s">
        <v>9223</v>
      </c>
      <c r="AA466" t="s">
        <v>74</v>
      </c>
      <c r="AB466" t="s">
        <v>1751</v>
      </c>
      <c r="AC466" t="s">
        <v>9224</v>
      </c>
      <c r="AD466" t="s">
        <v>9225</v>
      </c>
      <c r="AE466" t="s">
        <v>9226</v>
      </c>
      <c r="AF466" t="s">
        <v>74</v>
      </c>
      <c r="AG466">
        <v>28</v>
      </c>
      <c r="AH466">
        <v>9</v>
      </c>
      <c r="AI466">
        <v>11</v>
      </c>
      <c r="AJ466">
        <v>0</v>
      </c>
      <c r="AK466">
        <v>18</v>
      </c>
      <c r="AL466" t="s">
        <v>952</v>
      </c>
      <c r="AM466" t="s">
        <v>953</v>
      </c>
      <c r="AN466" t="s">
        <v>954</v>
      </c>
      <c r="AO466" t="s">
        <v>9227</v>
      </c>
      <c r="AP466" t="s">
        <v>9228</v>
      </c>
      <c r="AQ466" t="s">
        <v>74</v>
      </c>
      <c r="AR466" t="s">
        <v>9229</v>
      </c>
      <c r="AS466" t="s">
        <v>9230</v>
      </c>
      <c r="AT466" t="s">
        <v>9231</v>
      </c>
      <c r="AU466">
        <v>2016</v>
      </c>
      <c r="AV466">
        <v>477</v>
      </c>
      <c r="AW466">
        <v>3</v>
      </c>
      <c r="AX466" t="s">
        <v>74</v>
      </c>
      <c r="AY466" t="s">
        <v>74</v>
      </c>
      <c r="AZ466" t="s">
        <v>74</v>
      </c>
      <c r="BA466" t="s">
        <v>74</v>
      </c>
      <c r="BB466">
        <v>395</v>
      </c>
      <c r="BC466">
        <v>400</v>
      </c>
      <c r="BD466" t="s">
        <v>74</v>
      </c>
      <c r="BE466" t="s">
        <v>9232</v>
      </c>
      <c r="BF466" t="str">
        <f>HYPERLINK("http://dx.doi.org/10.1016/j.bbrc.2016.06.090","http://dx.doi.org/10.1016/j.bbrc.2016.06.090")</f>
        <v>http://dx.doi.org/10.1016/j.bbrc.2016.06.090</v>
      </c>
      <c r="BG466" t="s">
        <v>74</v>
      </c>
      <c r="BH466" t="s">
        <v>74</v>
      </c>
      <c r="BI466">
        <v>6</v>
      </c>
      <c r="BJ466" t="s">
        <v>1760</v>
      </c>
      <c r="BK466" t="s">
        <v>156</v>
      </c>
      <c r="BL466" t="s">
        <v>1760</v>
      </c>
      <c r="BM466" t="s">
        <v>9233</v>
      </c>
      <c r="BN466">
        <v>27329814</v>
      </c>
      <c r="BO466" t="s">
        <v>74</v>
      </c>
      <c r="BP466" t="s">
        <v>74</v>
      </c>
      <c r="BQ466" t="s">
        <v>74</v>
      </c>
      <c r="BR466" t="s">
        <v>105</v>
      </c>
      <c r="BS466" t="s">
        <v>9234</v>
      </c>
      <c r="BT466" t="str">
        <f>HYPERLINK("https%3A%2F%2Fwww.webofscience.com%2Fwos%2Fwoscc%2Ffull-record%2FWOS:000380732000014","View Full Record in Web of Science")</f>
        <v>View Full Record in Web of Science</v>
      </c>
    </row>
    <row r="467" spans="1:72" x14ac:dyDescent="0.15">
      <c r="A467" t="s">
        <v>72</v>
      </c>
      <c r="B467" t="s">
        <v>9235</v>
      </c>
      <c r="C467" t="s">
        <v>74</v>
      </c>
      <c r="D467" t="s">
        <v>74</v>
      </c>
      <c r="E467" t="s">
        <v>74</v>
      </c>
      <c r="F467" t="s">
        <v>9236</v>
      </c>
      <c r="G467" t="s">
        <v>74</v>
      </c>
      <c r="H467" t="s">
        <v>74</v>
      </c>
      <c r="I467" t="s">
        <v>9237</v>
      </c>
      <c r="J467" t="s">
        <v>9216</v>
      </c>
      <c r="K467" t="s">
        <v>74</v>
      </c>
      <c r="L467" t="s">
        <v>74</v>
      </c>
      <c r="M467" t="s">
        <v>78</v>
      </c>
      <c r="N467" t="s">
        <v>79</v>
      </c>
      <c r="O467" t="s">
        <v>74</v>
      </c>
      <c r="P467" t="s">
        <v>74</v>
      </c>
      <c r="Q467" t="s">
        <v>74</v>
      </c>
      <c r="R467" t="s">
        <v>74</v>
      </c>
      <c r="S467" t="s">
        <v>74</v>
      </c>
      <c r="T467" t="s">
        <v>9238</v>
      </c>
      <c r="U467" t="s">
        <v>9239</v>
      </c>
      <c r="V467" t="s">
        <v>9240</v>
      </c>
      <c r="W467" t="s">
        <v>9241</v>
      </c>
      <c r="X467" t="s">
        <v>9242</v>
      </c>
      <c r="Y467" t="s">
        <v>9243</v>
      </c>
      <c r="Z467" t="s">
        <v>9244</v>
      </c>
      <c r="AA467" t="s">
        <v>9245</v>
      </c>
      <c r="AB467" t="s">
        <v>9246</v>
      </c>
      <c r="AC467" t="s">
        <v>74</v>
      </c>
      <c r="AD467" t="s">
        <v>74</v>
      </c>
      <c r="AE467" t="s">
        <v>74</v>
      </c>
      <c r="AF467" t="s">
        <v>74</v>
      </c>
      <c r="AG467">
        <v>25</v>
      </c>
      <c r="AH467">
        <v>21</v>
      </c>
      <c r="AI467">
        <v>28</v>
      </c>
      <c r="AJ467">
        <v>0</v>
      </c>
      <c r="AK467">
        <v>36</v>
      </c>
      <c r="AL467" t="s">
        <v>952</v>
      </c>
      <c r="AM467" t="s">
        <v>953</v>
      </c>
      <c r="AN467" t="s">
        <v>954</v>
      </c>
      <c r="AO467" t="s">
        <v>9227</v>
      </c>
      <c r="AP467" t="s">
        <v>9228</v>
      </c>
      <c r="AQ467" t="s">
        <v>74</v>
      </c>
      <c r="AR467" t="s">
        <v>9229</v>
      </c>
      <c r="AS467" t="s">
        <v>9230</v>
      </c>
      <c r="AT467" t="s">
        <v>9231</v>
      </c>
      <c r="AU467">
        <v>2016</v>
      </c>
      <c r="AV467">
        <v>477</v>
      </c>
      <c r="AW467">
        <v>3</v>
      </c>
      <c r="AX467" t="s">
        <v>74</v>
      </c>
      <c r="AY467" t="s">
        <v>74</v>
      </c>
      <c r="AZ467" t="s">
        <v>74</v>
      </c>
      <c r="BA467" t="s">
        <v>74</v>
      </c>
      <c r="BB467">
        <v>401</v>
      </c>
      <c r="BC467">
        <v>405</v>
      </c>
      <c r="BD467" t="s">
        <v>74</v>
      </c>
      <c r="BE467" t="s">
        <v>9247</v>
      </c>
      <c r="BF467" t="str">
        <f>HYPERLINK("http://dx.doi.org/10.1016/j.bbrc.2016.06.089","http://dx.doi.org/10.1016/j.bbrc.2016.06.089")</f>
        <v>http://dx.doi.org/10.1016/j.bbrc.2016.06.089</v>
      </c>
      <c r="BG467" t="s">
        <v>74</v>
      </c>
      <c r="BH467" t="s">
        <v>74</v>
      </c>
      <c r="BI467">
        <v>5</v>
      </c>
      <c r="BJ467" t="s">
        <v>1760</v>
      </c>
      <c r="BK467" t="s">
        <v>156</v>
      </c>
      <c r="BL467" t="s">
        <v>1760</v>
      </c>
      <c r="BM467" t="s">
        <v>9233</v>
      </c>
      <c r="BN467">
        <v>27329812</v>
      </c>
      <c r="BO467" t="s">
        <v>1002</v>
      </c>
      <c r="BP467" t="s">
        <v>74</v>
      </c>
      <c r="BQ467" t="s">
        <v>74</v>
      </c>
      <c r="BR467" t="s">
        <v>105</v>
      </c>
      <c r="BS467" t="s">
        <v>9248</v>
      </c>
      <c r="BT467" t="str">
        <f>HYPERLINK("https%3A%2F%2Fwww.webofscience.com%2Fwos%2Fwoscc%2Ffull-record%2FWOS:000380732000015","View Full Record in Web of Science")</f>
        <v>View Full Record in Web of Science</v>
      </c>
    </row>
    <row r="468" spans="1:72" x14ac:dyDescent="0.15">
      <c r="A468" t="s">
        <v>72</v>
      </c>
      <c r="B468" t="s">
        <v>9249</v>
      </c>
      <c r="C468" t="s">
        <v>74</v>
      </c>
      <c r="D468" t="s">
        <v>74</v>
      </c>
      <c r="E468" t="s">
        <v>74</v>
      </c>
      <c r="F468" t="s">
        <v>9250</v>
      </c>
      <c r="G468" t="s">
        <v>74</v>
      </c>
      <c r="H468" t="s">
        <v>74</v>
      </c>
      <c r="I468" t="s">
        <v>9251</v>
      </c>
      <c r="J468" t="s">
        <v>1560</v>
      </c>
      <c r="K468" t="s">
        <v>74</v>
      </c>
      <c r="L468" t="s">
        <v>74</v>
      </c>
      <c r="M468" t="s">
        <v>78</v>
      </c>
      <c r="N468" t="s">
        <v>79</v>
      </c>
      <c r="O468" t="s">
        <v>74</v>
      </c>
      <c r="P468" t="s">
        <v>74</v>
      </c>
      <c r="Q468" t="s">
        <v>74</v>
      </c>
      <c r="R468" t="s">
        <v>74</v>
      </c>
      <c r="S468" t="s">
        <v>74</v>
      </c>
      <c r="T468" t="s">
        <v>9252</v>
      </c>
      <c r="U468" t="s">
        <v>9253</v>
      </c>
      <c r="V468" t="s">
        <v>9254</v>
      </c>
      <c r="W468" t="s">
        <v>9255</v>
      </c>
      <c r="X468" t="s">
        <v>9256</v>
      </c>
      <c r="Y468" t="s">
        <v>9257</v>
      </c>
      <c r="Z468" t="s">
        <v>9258</v>
      </c>
      <c r="AA468" t="s">
        <v>9027</v>
      </c>
      <c r="AB468" t="s">
        <v>9259</v>
      </c>
      <c r="AC468" t="s">
        <v>9260</v>
      </c>
      <c r="AD468" t="s">
        <v>9261</v>
      </c>
      <c r="AE468" t="s">
        <v>9262</v>
      </c>
      <c r="AF468" t="s">
        <v>74</v>
      </c>
      <c r="AG468">
        <v>105</v>
      </c>
      <c r="AH468">
        <v>24</v>
      </c>
      <c r="AI468">
        <v>26</v>
      </c>
      <c r="AJ468">
        <v>1</v>
      </c>
      <c r="AK468">
        <v>11</v>
      </c>
      <c r="AL468" t="s">
        <v>1572</v>
      </c>
      <c r="AM468" t="s">
        <v>1573</v>
      </c>
      <c r="AN468" t="s">
        <v>9263</v>
      </c>
      <c r="AO468" t="s">
        <v>1575</v>
      </c>
      <c r="AP468" t="s">
        <v>1576</v>
      </c>
      <c r="AQ468" t="s">
        <v>74</v>
      </c>
      <c r="AR468" t="s">
        <v>1560</v>
      </c>
      <c r="AS468" t="s">
        <v>1577</v>
      </c>
      <c r="AT468" t="s">
        <v>9231</v>
      </c>
      <c r="AU468">
        <v>2016</v>
      </c>
      <c r="AV468">
        <v>272</v>
      </c>
      <c r="AW468">
        <v>1</v>
      </c>
      <c r="AX468" t="s">
        <v>74</v>
      </c>
      <c r="AY468" t="s">
        <v>74</v>
      </c>
      <c r="AZ468" t="s">
        <v>74</v>
      </c>
      <c r="BA468" t="s">
        <v>74</v>
      </c>
      <c r="BB468">
        <v>37</v>
      </c>
      <c r="BC468">
        <v>62</v>
      </c>
      <c r="BD468" t="s">
        <v>74</v>
      </c>
      <c r="BE468" t="s">
        <v>9264</v>
      </c>
      <c r="BF468" t="str">
        <f>HYPERLINK("http://dx.doi.org/10.11646/phytotaxa.272.1.2","http://dx.doi.org/10.11646/phytotaxa.272.1.2")</f>
        <v>http://dx.doi.org/10.11646/phytotaxa.272.1.2</v>
      </c>
      <c r="BG468" t="s">
        <v>74</v>
      </c>
      <c r="BH468" t="s">
        <v>74</v>
      </c>
      <c r="BI468">
        <v>26</v>
      </c>
      <c r="BJ468" t="s">
        <v>1580</v>
      </c>
      <c r="BK468" t="s">
        <v>156</v>
      </c>
      <c r="BL468" t="s">
        <v>1580</v>
      </c>
      <c r="BM468" t="s">
        <v>9265</v>
      </c>
      <c r="BN468" t="s">
        <v>74</v>
      </c>
      <c r="BO468" t="s">
        <v>74</v>
      </c>
      <c r="BP468" t="s">
        <v>74</v>
      </c>
      <c r="BQ468" t="s">
        <v>74</v>
      </c>
      <c r="BR468" t="s">
        <v>105</v>
      </c>
      <c r="BS468" t="s">
        <v>9266</v>
      </c>
      <c r="BT468" t="str">
        <f>HYPERLINK("https%3A%2F%2Fwww.webofscience.com%2Fwos%2Fwoscc%2Ffull-record%2FWOS:000382176300002","View Full Record in Web of Science")</f>
        <v>View Full Record in Web of Science</v>
      </c>
    </row>
    <row r="469" spans="1:72" x14ac:dyDescent="0.15">
      <c r="A469" t="s">
        <v>72</v>
      </c>
      <c r="B469" t="s">
        <v>9267</v>
      </c>
      <c r="C469" t="s">
        <v>74</v>
      </c>
      <c r="D469" t="s">
        <v>74</v>
      </c>
      <c r="E469" t="s">
        <v>74</v>
      </c>
      <c r="F469" t="s">
        <v>9268</v>
      </c>
      <c r="G469" t="s">
        <v>74</v>
      </c>
      <c r="H469" t="s">
        <v>74</v>
      </c>
      <c r="I469" t="s">
        <v>9269</v>
      </c>
      <c r="J469" t="s">
        <v>1838</v>
      </c>
      <c r="K469" t="s">
        <v>74</v>
      </c>
      <c r="L469" t="s">
        <v>74</v>
      </c>
      <c r="M469" t="s">
        <v>78</v>
      </c>
      <c r="N469" t="s">
        <v>79</v>
      </c>
      <c r="O469" t="s">
        <v>74</v>
      </c>
      <c r="P469" t="s">
        <v>74</v>
      </c>
      <c r="Q469" t="s">
        <v>74</v>
      </c>
      <c r="R469" t="s">
        <v>74</v>
      </c>
      <c r="S469" t="s">
        <v>74</v>
      </c>
      <c r="T469" t="s">
        <v>74</v>
      </c>
      <c r="U469" t="s">
        <v>9270</v>
      </c>
      <c r="V469" t="s">
        <v>9271</v>
      </c>
      <c r="W469" t="s">
        <v>9272</v>
      </c>
      <c r="X469" t="s">
        <v>9273</v>
      </c>
      <c r="Y469" t="s">
        <v>9274</v>
      </c>
      <c r="Z469" t="s">
        <v>9275</v>
      </c>
      <c r="AA469" t="s">
        <v>9276</v>
      </c>
      <c r="AB469" t="s">
        <v>9277</v>
      </c>
      <c r="AC469" t="s">
        <v>9278</v>
      </c>
      <c r="AD469" t="s">
        <v>9279</v>
      </c>
      <c r="AE469" t="s">
        <v>9280</v>
      </c>
      <c r="AF469" t="s">
        <v>74</v>
      </c>
      <c r="AG469">
        <v>78</v>
      </c>
      <c r="AH469">
        <v>11</v>
      </c>
      <c r="AI469">
        <v>11</v>
      </c>
      <c r="AJ469">
        <v>1</v>
      </c>
      <c r="AK469">
        <v>12</v>
      </c>
      <c r="AL469" t="s">
        <v>1305</v>
      </c>
      <c r="AM469" t="s">
        <v>1306</v>
      </c>
      <c r="AN469" t="s">
        <v>1307</v>
      </c>
      <c r="AO469" t="s">
        <v>1850</v>
      </c>
      <c r="AP469" t="s">
        <v>1851</v>
      </c>
      <c r="AQ469" t="s">
        <v>74</v>
      </c>
      <c r="AR469" t="s">
        <v>1852</v>
      </c>
      <c r="AS469" t="s">
        <v>1853</v>
      </c>
      <c r="AT469" t="s">
        <v>9281</v>
      </c>
      <c r="AU469">
        <v>2016</v>
      </c>
      <c r="AV469">
        <v>12</v>
      </c>
      <c r="AW469">
        <v>8</v>
      </c>
      <c r="AX469" t="s">
        <v>74</v>
      </c>
      <c r="AY469" t="s">
        <v>74</v>
      </c>
      <c r="AZ469" t="s">
        <v>74</v>
      </c>
      <c r="BA469" t="s">
        <v>74</v>
      </c>
      <c r="BB469">
        <v>1721</v>
      </c>
      <c r="BC469">
        <v>1737</v>
      </c>
      <c r="BD469" t="s">
        <v>74</v>
      </c>
      <c r="BE469" t="s">
        <v>9282</v>
      </c>
      <c r="BF469" t="str">
        <f>HYPERLINK("http://dx.doi.org/10.5194/cp-12-1721-2016","http://dx.doi.org/10.5194/cp-12-1721-2016")</f>
        <v>http://dx.doi.org/10.5194/cp-12-1721-2016</v>
      </c>
      <c r="BG469" t="s">
        <v>74</v>
      </c>
      <c r="BH469" t="s">
        <v>74</v>
      </c>
      <c r="BI469">
        <v>17</v>
      </c>
      <c r="BJ469" t="s">
        <v>1336</v>
      </c>
      <c r="BK469" t="s">
        <v>156</v>
      </c>
      <c r="BL469" t="s">
        <v>1337</v>
      </c>
      <c r="BM469" t="s">
        <v>9283</v>
      </c>
      <c r="BN469" t="s">
        <v>74</v>
      </c>
      <c r="BO469" t="s">
        <v>1975</v>
      </c>
      <c r="BP469" t="s">
        <v>74</v>
      </c>
      <c r="BQ469" t="s">
        <v>74</v>
      </c>
      <c r="BR469" t="s">
        <v>105</v>
      </c>
      <c r="BS469" t="s">
        <v>9284</v>
      </c>
      <c r="BT469" t="str">
        <f>HYPERLINK("https%3A%2F%2Fwww.webofscience.com%2Fwos%2Fwoscc%2Ffull-record%2FWOS:000383798900001","View Full Record in Web of Science")</f>
        <v>View Full Record in Web of Science</v>
      </c>
    </row>
    <row r="470" spans="1:72" x14ac:dyDescent="0.15">
      <c r="A470" t="s">
        <v>72</v>
      </c>
      <c r="B470" t="s">
        <v>9285</v>
      </c>
      <c r="C470" t="s">
        <v>74</v>
      </c>
      <c r="D470" t="s">
        <v>74</v>
      </c>
      <c r="E470" t="s">
        <v>74</v>
      </c>
      <c r="F470" t="s">
        <v>9286</v>
      </c>
      <c r="G470" t="s">
        <v>74</v>
      </c>
      <c r="H470" t="s">
        <v>9287</v>
      </c>
      <c r="I470" t="s">
        <v>9288</v>
      </c>
      <c r="J470" t="s">
        <v>4778</v>
      </c>
      <c r="K470" t="s">
        <v>74</v>
      </c>
      <c r="L470" t="s">
        <v>74</v>
      </c>
      <c r="M470" t="s">
        <v>78</v>
      </c>
      <c r="N470" t="s">
        <v>79</v>
      </c>
      <c r="O470" t="s">
        <v>74</v>
      </c>
      <c r="P470" t="s">
        <v>74</v>
      </c>
      <c r="Q470" t="s">
        <v>74</v>
      </c>
      <c r="R470" t="s">
        <v>74</v>
      </c>
      <c r="S470" t="s">
        <v>74</v>
      </c>
      <c r="T470" t="s">
        <v>74</v>
      </c>
      <c r="U470" t="s">
        <v>9289</v>
      </c>
      <c r="V470" t="s">
        <v>9290</v>
      </c>
      <c r="W470" t="s">
        <v>9291</v>
      </c>
      <c r="X470" t="s">
        <v>9292</v>
      </c>
      <c r="Y470" t="s">
        <v>9293</v>
      </c>
      <c r="Z470" t="s">
        <v>9294</v>
      </c>
      <c r="AA470" t="s">
        <v>9295</v>
      </c>
      <c r="AB470" t="s">
        <v>9296</v>
      </c>
      <c r="AC470" t="s">
        <v>9297</v>
      </c>
      <c r="AD470" t="s">
        <v>9298</v>
      </c>
      <c r="AE470" t="s">
        <v>9299</v>
      </c>
      <c r="AF470" t="s">
        <v>74</v>
      </c>
      <c r="AG470">
        <v>131</v>
      </c>
      <c r="AH470">
        <v>201</v>
      </c>
      <c r="AI470">
        <v>227</v>
      </c>
      <c r="AJ470">
        <v>16</v>
      </c>
      <c r="AK470">
        <v>232</v>
      </c>
      <c r="AL470" t="s">
        <v>275</v>
      </c>
      <c r="AM470" t="s">
        <v>250</v>
      </c>
      <c r="AN470" t="s">
        <v>276</v>
      </c>
      <c r="AO470" t="s">
        <v>4790</v>
      </c>
      <c r="AP470" t="s">
        <v>4791</v>
      </c>
      <c r="AQ470" t="s">
        <v>74</v>
      </c>
      <c r="AR470" t="s">
        <v>4778</v>
      </c>
      <c r="AS470" t="s">
        <v>4792</v>
      </c>
      <c r="AT470" t="s">
        <v>9281</v>
      </c>
      <c r="AU470">
        <v>2016</v>
      </c>
      <c r="AV470">
        <v>536</v>
      </c>
      <c r="AW470">
        <v>7617</v>
      </c>
      <c r="AX470" t="s">
        <v>74</v>
      </c>
      <c r="AY470" t="s">
        <v>74</v>
      </c>
      <c r="AZ470" t="s">
        <v>74</v>
      </c>
      <c r="BA470" t="s">
        <v>74</v>
      </c>
      <c r="BB470">
        <v>411</v>
      </c>
      <c r="BC470" t="s">
        <v>5030</v>
      </c>
      <c r="BD470" t="s">
        <v>74</v>
      </c>
      <c r="BE470" t="s">
        <v>9300</v>
      </c>
      <c r="BF470" t="str">
        <f>HYPERLINK("http://dx.doi.org/10.1038/nature19082","http://dx.doi.org/10.1038/nature19082")</f>
        <v>http://dx.doi.org/10.1038/nature19082</v>
      </c>
      <c r="BG470" t="s">
        <v>74</v>
      </c>
      <c r="BH470" t="s">
        <v>74</v>
      </c>
      <c r="BI470">
        <v>22</v>
      </c>
      <c r="BJ470" t="s">
        <v>719</v>
      </c>
      <c r="BK470" t="s">
        <v>156</v>
      </c>
      <c r="BL470" t="s">
        <v>720</v>
      </c>
      <c r="BM470" t="s">
        <v>9301</v>
      </c>
      <c r="BN470">
        <v>27558063</v>
      </c>
      <c r="BO470" t="s">
        <v>4859</v>
      </c>
      <c r="BP470" t="s">
        <v>1447</v>
      </c>
      <c r="BQ470" t="s">
        <v>1448</v>
      </c>
      <c r="BR470" t="s">
        <v>105</v>
      </c>
      <c r="BS470" t="s">
        <v>9302</v>
      </c>
      <c r="BT470" t="str">
        <f>HYPERLINK("https%3A%2F%2Fwww.webofscience.com%2Fwos%2Fwoscc%2Ffull-record%2FWOS:000382646600033","View Full Record in Web of Science")</f>
        <v>View Full Record in Web of Science</v>
      </c>
    </row>
    <row r="471" spans="1:72" x14ac:dyDescent="0.15">
      <c r="A471" t="s">
        <v>72</v>
      </c>
      <c r="B471" t="s">
        <v>9303</v>
      </c>
      <c r="C471" t="s">
        <v>74</v>
      </c>
      <c r="D471" t="s">
        <v>74</v>
      </c>
      <c r="E471" t="s">
        <v>74</v>
      </c>
      <c r="F471" t="s">
        <v>9304</v>
      </c>
      <c r="G471" t="s">
        <v>74</v>
      </c>
      <c r="H471" t="s">
        <v>74</v>
      </c>
      <c r="I471" t="s">
        <v>9305</v>
      </c>
      <c r="J471" t="s">
        <v>1072</v>
      </c>
      <c r="K471" t="s">
        <v>74</v>
      </c>
      <c r="L471" t="s">
        <v>74</v>
      </c>
      <c r="M471" t="s">
        <v>78</v>
      </c>
      <c r="N471" t="s">
        <v>79</v>
      </c>
      <c r="O471" t="s">
        <v>74</v>
      </c>
      <c r="P471" t="s">
        <v>74</v>
      </c>
      <c r="Q471" t="s">
        <v>74</v>
      </c>
      <c r="R471" t="s">
        <v>74</v>
      </c>
      <c r="S471" t="s">
        <v>74</v>
      </c>
      <c r="T471" t="s">
        <v>74</v>
      </c>
      <c r="U471" t="s">
        <v>9306</v>
      </c>
      <c r="V471" t="s">
        <v>9307</v>
      </c>
      <c r="W471" t="s">
        <v>9308</v>
      </c>
      <c r="X471" t="s">
        <v>9309</v>
      </c>
      <c r="Y471" t="s">
        <v>9310</v>
      </c>
      <c r="Z471" t="s">
        <v>9311</v>
      </c>
      <c r="AA471" t="s">
        <v>9312</v>
      </c>
      <c r="AB471" t="s">
        <v>9313</v>
      </c>
      <c r="AC471" t="s">
        <v>9314</v>
      </c>
      <c r="AD471" t="s">
        <v>9315</v>
      </c>
      <c r="AE471" t="s">
        <v>9316</v>
      </c>
      <c r="AF471" t="s">
        <v>74</v>
      </c>
      <c r="AG471">
        <v>84</v>
      </c>
      <c r="AH471">
        <v>15</v>
      </c>
      <c r="AI471">
        <v>15</v>
      </c>
      <c r="AJ471">
        <v>0</v>
      </c>
      <c r="AK471">
        <v>12</v>
      </c>
      <c r="AL471" t="s">
        <v>1074</v>
      </c>
      <c r="AM471" t="s">
        <v>1075</v>
      </c>
      <c r="AN471" t="s">
        <v>1076</v>
      </c>
      <c r="AO471" t="s">
        <v>1077</v>
      </c>
      <c r="AP471" t="s">
        <v>74</v>
      </c>
      <c r="AQ471" t="s">
        <v>74</v>
      </c>
      <c r="AR471" t="s">
        <v>1072</v>
      </c>
      <c r="AS471" t="s">
        <v>1078</v>
      </c>
      <c r="AT471" t="s">
        <v>9317</v>
      </c>
      <c r="AU471">
        <v>2016</v>
      </c>
      <c r="AV471">
        <v>11</v>
      </c>
      <c r="AW471">
        <v>8</v>
      </c>
      <c r="AX471" t="s">
        <v>74</v>
      </c>
      <c r="AY471" t="s">
        <v>74</v>
      </c>
      <c r="AZ471" t="s">
        <v>74</v>
      </c>
      <c r="BA471" t="s">
        <v>74</v>
      </c>
      <c r="BB471" t="s">
        <v>74</v>
      </c>
      <c r="BC471" t="s">
        <v>74</v>
      </c>
      <c r="BD471" t="s">
        <v>9318</v>
      </c>
      <c r="BE471" t="s">
        <v>9319</v>
      </c>
      <c r="BF471" t="str">
        <f>HYPERLINK("http://dx.doi.org/10.1371/journal.pone.0160718","http://dx.doi.org/10.1371/journal.pone.0160718")</f>
        <v>http://dx.doi.org/10.1371/journal.pone.0160718</v>
      </c>
      <c r="BG471" t="s">
        <v>74</v>
      </c>
      <c r="BH471" t="s">
        <v>74</v>
      </c>
      <c r="BI471">
        <v>33</v>
      </c>
      <c r="BJ471" t="s">
        <v>719</v>
      </c>
      <c r="BK471" t="s">
        <v>156</v>
      </c>
      <c r="BL471" t="s">
        <v>720</v>
      </c>
      <c r="BM471" t="s">
        <v>9320</v>
      </c>
      <c r="BN471">
        <v>27557130</v>
      </c>
      <c r="BO471" t="s">
        <v>133</v>
      </c>
      <c r="BP471" t="s">
        <v>74</v>
      </c>
      <c r="BQ471" t="s">
        <v>74</v>
      </c>
      <c r="BR471" t="s">
        <v>105</v>
      </c>
      <c r="BS471" t="s">
        <v>9321</v>
      </c>
      <c r="BT471" t="str">
        <f>HYPERLINK("https%3A%2F%2Fwww.webofscience.com%2Fwos%2Fwoscc%2Ffull-record%2FWOS:000382258100019","View Full Record in Web of Science")</f>
        <v>View Full Record in Web of Science</v>
      </c>
    </row>
    <row r="472" spans="1:72" x14ac:dyDescent="0.15">
      <c r="A472" t="s">
        <v>72</v>
      </c>
      <c r="B472" t="s">
        <v>9322</v>
      </c>
      <c r="C472" t="s">
        <v>74</v>
      </c>
      <c r="D472" t="s">
        <v>74</v>
      </c>
      <c r="E472" t="s">
        <v>74</v>
      </c>
      <c r="F472" t="s">
        <v>9323</v>
      </c>
      <c r="G472" t="s">
        <v>74</v>
      </c>
      <c r="H472" t="s">
        <v>74</v>
      </c>
      <c r="I472" t="s">
        <v>9324</v>
      </c>
      <c r="J472" t="s">
        <v>1072</v>
      </c>
      <c r="K472" t="s">
        <v>74</v>
      </c>
      <c r="L472" t="s">
        <v>74</v>
      </c>
      <c r="M472" t="s">
        <v>78</v>
      </c>
      <c r="N472" t="s">
        <v>79</v>
      </c>
      <c r="O472" t="s">
        <v>74</v>
      </c>
      <c r="P472" t="s">
        <v>74</v>
      </c>
      <c r="Q472" t="s">
        <v>74</v>
      </c>
      <c r="R472" t="s">
        <v>74</v>
      </c>
      <c r="S472" t="s">
        <v>74</v>
      </c>
      <c r="T472" t="s">
        <v>74</v>
      </c>
      <c r="U472" t="s">
        <v>9325</v>
      </c>
      <c r="V472" t="s">
        <v>9326</v>
      </c>
      <c r="W472" t="s">
        <v>9327</v>
      </c>
      <c r="X472" t="s">
        <v>9328</v>
      </c>
      <c r="Y472" t="s">
        <v>9329</v>
      </c>
      <c r="Z472" t="s">
        <v>9330</v>
      </c>
      <c r="AA472" t="s">
        <v>9331</v>
      </c>
      <c r="AB472" t="s">
        <v>9332</v>
      </c>
      <c r="AC472" t="s">
        <v>9333</v>
      </c>
      <c r="AD472" t="s">
        <v>9334</v>
      </c>
      <c r="AE472" t="s">
        <v>9335</v>
      </c>
      <c r="AF472" t="s">
        <v>74</v>
      </c>
      <c r="AG472">
        <v>100</v>
      </c>
      <c r="AH472">
        <v>6</v>
      </c>
      <c r="AI472">
        <v>6</v>
      </c>
      <c r="AJ472">
        <v>1</v>
      </c>
      <c r="AK472">
        <v>29</v>
      </c>
      <c r="AL472" t="s">
        <v>1074</v>
      </c>
      <c r="AM472" t="s">
        <v>1075</v>
      </c>
      <c r="AN472" t="s">
        <v>1076</v>
      </c>
      <c r="AO472" t="s">
        <v>1077</v>
      </c>
      <c r="AP472" t="s">
        <v>74</v>
      </c>
      <c r="AQ472" t="s">
        <v>74</v>
      </c>
      <c r="AR472" t="s">
        <v>1072</v>
      </c>
      <c r="AS472" t="s">
        <v>1078</v>
      </c>
      <c r="AT472" t="s">
        <v>9317</v>
      </c>
      <c r="AU472">
        <v>2016</v>
      </c>
      <c r="AV472">
        <v>11</v>
      </c>
      <c r="AW472">
        <v>8</v>
      </c>
      <c r="AX472" t="s">
        <v>74</v>
      </c>
      <c r="AY472" t="s">
        <v>74</v>
      </c>
      <c r="AZ472" t="s">
        <v>74</v>
      </c>
      <c r="BA472" t="s">
        <v>74</v>
      </c>
      <c r="BB472" t="s">
        <v>74</v>
      </c>
      <c r="BC472" t="s">
        <v>74</v>
      </c>
      <c r="BD472" t="s">
        <v>9336</v>
      </c>
      <c r="BE472" t="s">
        <v>9337</v>
      </c>
      <c r="BF472" t="str">
        <f>HYPERLINK("http://dx.doi.org/10.1371/journal.pone.0161513","http://dx.doi.org/10.1371/journal.pone.0161513")</f>
        <v>http://dx.doi.org/10.1371/journal.pone.0161513</v>
      </c>
      <c r="BG472" t="s">
        <v>74</v>
      </c>
      <c r="BH472" t="s">
        <v>74</v>
      </c>
      <c r="BI472">
        <v>27</v>
      </c>
      <c r="BJ472" t="s">
        <v>719</v>
      </c>
      <c r="BK472" t="s">
        <v>156</v>
      </c>
      <c r="BL472" t="s">
        <v>720</v>
      </c>
      <c r="BM472" t="s">
        <v>9320</v>
      </c>
      <c r="BN472">
        <v>27556399</v>
      </c>
      <c r="BO472" t="s">
        <v>3942</v>
      </c>
      <c r="BP472" t="s">
        <v>74</v>
      </c>
      <c r="BQ472" t="s">
        <v>74</v>
      </c>
      <c r="BR472" t="s">
        <v>105</v>
      </c>
      <c r="BS472" t="s">
        <v>9338</v>
      </c>
      <c r="BT472" t="str">
        <f>HYPERLINK("https%3A%2F%2Fwww.webofscience.com%2Fwos%2Fwoscc%2Ffull-record%2FWOS:000382258100048","View Full Record in Web of Science")</f>
        <v>View Full Record in Web of Science</v>
      </c>
    </row>
    <row r="473" spans="1:72" x14ac:dyDescent="0.15">
      <c r="A473" t="s">
        <v>72</v>
      </c>
      <c r="B473" t="s">
        <v>9339</v>
      </c>
      <c r="C473" t="s">
        <v>74</v>
      </c>
      <c r="D473" t="s">
        <v>74</v>
      </c>
      <c r="E473" t="s">
        <v>74</v>
      </c>
      <c r="F473" t="s">
        <v>9340</v>
      </c>
      <c r="G473" t="s">
        <v>74</v>
      </c>
      <c r="H473" t="s">
        <v>74</v>
      </c>
      <c r="I473" t="s">
        <v>9341</v>
      </c>
      <c r="J473" t="s">
        <v>9342</v>
      </c>
      <c r="K473" t="s">
        <v>74</v>
      </c>
      <c r="L473" t="s">
        <v>74</v>
      </c>
      <c r="M473" t="s">
        <v>78</v>
      </c>
      <c r="N473" t="s">
        <v>9343</v>
      </c>
      <c r="O473" t="s">
        <v>74</v>
      </c>
      <c r="P473" t="s">
        <v>74</v>
      </c>
      <c r="Q473" t="s">
        <v>74</v>
      </c>
      <c r="R473" t="s">
        <v>74</v>
      </c>
      <c r="S473" t="s">
        <v>74</v>
      </c>
      <c r="T473" t="s">
        <v>74</v>
      </c>
      <c r="U473" t="s">
        <v>9344</v>
      </c>
      <c r="V473" t="s">
        <v>9345</v>
      </c>
      <c r="W473" t="s">
        <v>9346</v>
      </c>
      <c r="X473" t="s">
        <v>9347</v>
      </c>
      <c r="Y473" t="s">
        <v>9348</v>
      </c>
      <c r="Z473" t="s">
        <v>9349</v>
      </c>
      <c r="AA473" t="s">
        <v>9350</v>
      </c>
      <c r="AB473" t="s">
        <v>9351</v>
      </c>
      <c r="AC473" t="s">
        <v>9352</v>
      </c>
      <c r="AD473" t="s">
        <v>9353</v>
      </c>
      <c r="AE473" t="s">
        <v>9354</v>
      </c>
      <c r="AF473" t="s">
        <v>74</v>
      </c>
      <c r="AG473">
        <v>56</v>
      </c>
      <c r="AH473">
        <v>423</v>
      </c>
      <c r="AI473">
        <v>463</v>
      </c>
      <c r="AJ473">
        <v>41</v>
      </c>
      <c r="AK473">
        <v>239</v>
      </c>
      <c r="AL473" t="s">
        <v>275</v>
      </c>
      <c r="AM473" t="s">
        <v>250</v>
      </c>
      <c r="AN473" t="s">
        <v>276</v>
      </c>
      <c r="AO473" t="s">
        <v>74</v>
      </c>
      <c r="AP473" t="s">
        <v>9355</v>
      </c>
      <c r="AQ473" t="s">
        <v>74</v>
      </c>
      <c r="AR473" t="s">
        <v>9356</v>
      </c>
      <c r="AS473" t="s">
        <v>9357</v>
      </c>
      <c r="AT473" t="s">
        <v>9358</v>
      </c>
      <c r="AU473">
        <v>2016</v>
      </c>
      <c r="AV473">
        <v>3</v>
      </c>
      <c r="AW473" t="s">
        <v>74</v>
      </c>
      <c r="AX473" t="s">
        <v>74</v>
      </c>
      <c r="AY473" t="s">
        <v>74</v>
      </c>
      <c r="AZ473" t="s">
        <v>74</v>
      </c>
      <c r="BA473" t="s">
        <v>74</v>
      </c>
      <c r="BB473" t="s">
        <v>74</v>
      </c>
      <c r="BC473" t="s">
        <v>74</v>
      </c>
      <c r="BD473">
        <v>160067</v>
      </c>
      <c r="BE473" t="s">
        <v>9359</v>
      </c>
      <c r="BF473" t="str">
        <f>HYPERLINK("http://dx.doi.org/10.1038/sdata.2016.67","http://dx.doi.org/10.1038/sdata.2016.67")</f>
        <v>http://dx.doi.org/10.1038/sdata.2016.67</v>
      </c>
      <c r="BG473" t="s">
        <v>74</v>
      </c>
      <c r="BH473" t="s">
        <v>74</v>
      </c>
      <c r="BI473">
        <v>10</v>
      </c>
      <c r="BJ473" t="s">
        <v>719</v>
      </c>
      <c r="BK473" t="s">
        <v>156</v>
      </c>
      <c r="BL473" t="s">
        <v>720</v>
      </c>
      <c r="BM473" t="s">
        <v>9360</v>
      </c>
      <c r="BN473">
        <v>27552448</v>
      </c>
      <c r="BO473" t="s">
        <v>3509</v>
      </c>
      <c r="BP473" t="s">
        <v>1447</v>
      </c>
      <c r="BQ473" t="s">
        <v>1448</v>
      </c>
      <c r="BR473" t="s">
        <v>105</v>
      </c>
      <c r="BS473" t="s">
        <v>9361</v>
      </c>
      <c r="BT473" t="str">
        <f>HYPERLINK("https%3A%2F%2Fwww.webofscience.com%2Fwos%2Fwoscc%2Ffull-record%2FWOS:000390229900001","View Full Record in Web of Science")</f>
        <v>View Full Record in Web of Science</v>
      </c>
    </row>
    <row r="474" spans="1:72" x14ac:dyDescent="0.15">
      <c r="A474" t="s">
        <v>72</v>
      </c>
      <c r="B474" t="s">
        <v>9362</v>
      </c>
      <c r="C474" t="s">
        <v>74</v>
      </c>
      <c r="D474" t="s">
        <v>74</v>
      </c>
      <c r="E474" t="s">
        <v>74</v>
      </c>
      <c r="F474" t="s">
        <v>9363</v>
      </c>
      <c r="G474" t="s">
        <v>74</v>
      </c>
      <c r="H474" t="s">
        <v>74</v>
      </c>
      <c r="I474" t="s">
        <v>9364</v>
      </c>
      <c r="J474" t="s">
        <v>1293</v>
      </c>
      <c r="K474" t="s">
        <v>74</v>
      </c>
      <c r="L474" t="s">
        <v>74</v>
      </c>
      <c r="M474" t="s">
        <v>78</v>
      </c>
      <c r="N474" t="s">
        <v>79</v>
      </c>
      <c r="O474" t="s">
        <v>74</v>
      </c>
      <c r="P474" t="s">
        <v>74</v>
      </c>
      <c r="Q474" t="s">
        <v>74</v>
      </c>
      <c r="R474" t="s">
        <v>74</v>
      </c>
      <c r="S474" t="s">
        <v>74</v>
      </c>
      <c r="T474" t="s">
        <v>74</v>
      </c>
      <c r="U474" t="s">
        <v>9365</v>
      </c>
      <c r="V474" t="s">
        <v>9366</v>
      </c>
      <c r="W474" t="s">
        <v>9367</v>
      </c>
      <c r="X474" t="s">
        <v>9368</v>
      </c>
      <c r="Y474" t="s">
        <v>9369</v>
      </c>
      <c r="Z474" t="s">
        <v>9370</v>
      </c>
      <c r="AA474" t="s">
        <v>9371</v>
      </c>
      <c r="AB474" t="s">
        <v>9372</v>
      </c>
      <c r="AC474" t="s">
        <v>9373</v>
      </c>
      <c r="AD474" t="s">
        <v>9374</v>
      </c>
      <c r="AE474" t="s">
        <v>9375</v>
      </c>
      <c r="AF474" t="s">
        <v>74</v>
      </c>
      <c r="AG474">
        <v>74</v>
      </c>
      <c r="AH474">
        <v>37</v>
      </c>
      <c r="AI474">
        <v>43</v>
      </c>
      <c r="AJ474">
        <v>1</v>
      </c>
      <c r="AK474">
        <v>32</v>
      </c>
      <c r="AL474" t="s">
        <v>1305</v>
      </c>
      <c r="AM474" t="s">
        <v>1306</v>
      </c>
      <c r="AN474" t="s">
        <v>1307</v>
      </c>
      <c r="AO474" t="s">
        <v>1308</v>
      </c>
      <c r="AP474" t="s">
        <v>1309</v>
      </c>
      <c r="AQ474" t="s">
        <v>74</v>
      </c>
      <c r="AR474" t="s">
        <v>1293</v>
      </c>
      <c r="AS474" t="s">
        <v>1310</v>
      </c>
      <c r="AT474" t="s">
        <v>9376</v>
      </c>
      <c r="AU474">
        <v>2016</v>
      </c>
      <c r="AV474">
        <v>10</v>
      </c>
      <c r="AW474">
        <v>4</v>
      </c>
      <c r="AX474" t="s">
        <v>74</v>
      </c>
      <c r="AY474" t="s">
        <v>74</v>
      </c>
      <c r="AZ474" t="s">
        <v>74</v>
      </c>
      <c r="BA474" t="s">
        <v>74</v>
      </c>
      <c r="BB474">
        <v>1823</v>
      </c>
      <c r="BC474">
        <v>1843</v>
      </c>
      <c r="BD474" t="s">
        <v>74</v>
      </c>
      <c r="BE474" t="s">
        <v>9377</v>
      </c>
      <c r="BF474" t="str">
        <f>HYPERLINK("http://dx.doi.org/10.5194/tc-10-1823-2016","http://dx.doi.org/10.5194/tc-10-1823-2016")</f>
        <v>http://dx.doi.org/10.5194/tc-10-1823-2016</v>
      </c>
      <c r="BG474" t="s">
        <v>74</v>
      </c>
      <c r="BH474" t="s">
        <v>74</v>
      </c>
      <c r="BI474">
        <v>21</v>
      </c>
      <c r="BJ474" t="s">
        <v>203</v>
      </c>
      <c r="BK474" t="s">
        <v>156</v>
      </c>
      <c r="BL474" t="s">
        <v>204</v>
      </c>
      <c r="BM474" t="s">
        <v>9378</v>
      </c>
      <c r="BN474" t="s">
        <v>74</v>
      </c>
      <c r="BO474" t="s">
        <v>1467</v>
      </c>
      <c r="BP474" t="s">
        <v>74</v>
      </c>
      <c r="BQ474" t="s">
        <v>74</v>
      </c>
      <c r="BR474" t="s">
        <v>105</v>
      </c>
      <c r="BS474" t="s">
        <v>9379</v>
      </c>
      <c r="BT474" t="str">
        <f>HYPERLINK("https%3A%2F%2Fwww.webofscience.com%2Fwos%2Fwoscc%2Ffull-record%2FWOS:000383799500002","View Full Record in Web of Science")</f>
        <v>View Full Record in Web of Science</v>
      </c>
    </row>
    <row r="475" spans="1:72" x14ac:dyDescent="0.15">
      <c r="A475" t="s">
        <v>72</v>
      </c>
      <c r="B475" t="s">
        <v>9380</v>
      </c>
      <c r="C475" t="s">
        <v>74</v>
      </c>
      <c r="D475" t="s">
        <v>74</v>
      </c>
      <c r="E475" t="s">
        <v>74</v>
      </c>
      <c r="F475" t="s">
        <v>9381</v>
      </c>
      <c r="G475" t="s">
        <v>74</v>
      </c>
      <c r="H475" t="s">
        <v>74</v>
      </c>
      <c r="I475" t="s">
        <v>9382</v>
      </c>
      <c r="J475" t="s">
        <v>9383</v>
      </c>
      <c r="K475" t="s">
        <v>74</v>
      </c>
      <c r="L475" t="s">
        <v>74</v>
      </c>
      <c r="M475" t="s">
        <v>78</v>
      </c>
      <c r="N475" t="s">
        <v>79</v>
      </c>
      <c r="O475" t="s">
        <v>74</v>
      </c>
      <c r="P475" t="s">
        <v>74</v>
      </c>
      <c r="Q475" t="s">
        <v>74</v>
      </c>
      <c r="R475" t="s">
        <v>74</v>
      </c>
      <c r="S475" t="s">
        <v>74</v>
      </c>
      <c r="T475" t="s">
        <v>9384</v>
      </c>
      <c r="U475" t="s">
        <v>9385</v>
      </c>
      <c r="V475" t="s">
        <v>9386</v>
      </c>
      <c r="W475" t="s">
        <v>9387</v>
      </c>
      <c r="X475" t="s">
        <v>9388</v>
      </c>
      <c r="Y475" t="s">
        <v>9389</v>
      </c>
      <c r="Z475" t="s">
        <v>9390</v>
      </c>
      <c r="AA475" t="s">
        <v>9391</v>
      </c>
      <c r="AB475" t="s">
        <v>9392</v>
      </c>
      <c r="AC475" t="s">
        <v>9393</v>
      </c>
      <c r="AD475" t="s">
        <v>9394</v>
      </c>
      <c r="AE475" t="s">
        <v>9395</v>
      </c>
      <c r="AF475" t="s">
        <v>74</v>
      </c>
      <c r="AG475">
        <v>25</v>
      </c>
      <c r="AH475">
        <v>4</v>
      </c>
      <c r="AI475">
        <v>4</v>
      </c>
      <c r="AJ475">
        <v>0</v>
      </c>
      <c r="AK475">
        <v>24</v>
      </c>
      <c r="AL475" t="s">
        <v>92</v>
      </c>
      <c r="AM475" t="s">
        <v>93</v>
      </c>
      <c r="AN475" t="s">
        <v>94</v>
      </c>
      <c r="AO475" t="s">
        <v>9396</v>
      </c>
      <c r="AP475" t="s">
        <v>9397</v>
      </c>
      <c r="AQ475" t="s">
        <v>74</v>
      </c>
      <c r="AR475" t="s">
        <v>9398</v>
      </c>
      <c r="AS475" t="s">
        <v>9399</v>
      </c>
      <c r="AT475" t="s">
        <v>9400</v>
      </c>
      <c r="AU475">
        <v>2016</v>
      </c>
      <c r="AV475">
        <v>184</v>
      </c>
      <c r="AW475" t="s">
        <v>74</v>
      </c>
      <c r="AX475" t="s">
        <v>74</v>
      </c>
      <c r="AY475" t="s">
        <v>74</v>
      </c>
      <c r="AZ475" t="s">
        <v>74</v>
      </c>
      <c r="BA475" t="s">
        <v>74</v>
      </c>
      <c r="BB475">
        <v>1</v>
      </c>
      <c r="BC475">
        <v>10</v>
      </c>
      <c r="BD475" t="s">
        <v>74</v>
      </c>
      <c r="BE475" t="s">
        <v>9401</v>
      </c>
      <c r="BF475" t="str">
        <f>HYPERLINK("http://dx.doi.org/10.1016/j.marchem.2016.06.004","http://dx.doi.org/10.1016/j.marchem.2016.06.004")</f>
        <v>http://dx.doi.org/10.1016/j.marchem.2016.06.004</v>
      </c>
      <c r="BG475" t="s">
        <v>74</v>
      </c>
      <c r="BH475" t="s">
        <v>74</v>
      </c>
      <c r="BI475">
        <v>10</v>
      </c>
      <c r="BJ475" t="s">
        <v>9402</v>
      </c>
      <c r="BK475" t="s">
        <v>156</v>
      </c>
      <c r="BL475" t="s">
        <v>9403</v>
      </c>
      <c r="BM475" t="s">
        <v>9404</v>
      </c>
      <c r="BN475" t="s">
        <v>74</v>
      </c>
      <c r="BO475" t="s">
        <v>74</v>
      </c>
      <c r="BP475" t="s">
        <v>74</v>
      </c>
      <c r="BQ475" t="s">
        <v>74</v>
      </c>
      <c r="BR475" t="s">
        <v>105</v>
      </c>
      <c r="BS475" t="s">
        <v>9405</v>
      </c>
      <c r="BT475" t="str">
        <f>HYPERLINK("https%3A%2F%2Fwww.webofscience.com%2Fwos%2Fwoscc%2Ffull-record%2FWOS:000380080100001","View Full Record in Web of Science")</f>
        <v>View Full Record in Web of Science</v>
      </c>
    </row>
    <row r="476" spans="1:72" x14ac:dyDescent="0.15">
      <c r="A476" t="s">
        <v>72</v>
      </c>
      <c r="B476" t="s">
        <v>9406</v>
      </c>
      <c r="C476" t="s">
        <v>74</v>
      </c>
      <c r="D476" t="s">
        <v>74</v>
      </c>
      <c r="E476" t="s">
        <v>74</v>
      </c>
      <c r="F476" t="s">
        <v>9407</v>
      </c>
      <c r="G476" t="s">
        <v>74</v>
      </c>
      <c r="H476" t="s">
        <v>74</v>
      </c>
      <c r="I476" t="s">
        <v>9408</v>
      </c>
      <c r="J476" t="s">
        <v>4498</v>
      </c>
      <c r="K476" t="s">
        <v>74</v>
      </c>
      <c r="L476" t="s">
        <v>74</v>
      </c>
      <c r="M476" t="s">
        <v>78</v>
      </c>
      <c r="N476" t="s">
        <v>79</v>
      </c>
      <c r="O476" t="s">
        <v>74</v>
      </c>
      <c r="P476" t="s">
        <v>74</v>
      </c>
      <c r="Q476" t="s">
        <v>74</v>
      </c>
      <c r="R476" t="s">
        <v>74</v>
      </c>
      <c r="S476" t="s">
        <v>74</v>
      </c>
      <c r="T476" t="s">
        <v>9409</v>
      </c>
      <c r="U476" t="s">
        <v>9410</v>
      </c>
      <c r="V476" t="s">
        <v>9411</v>
      </c>
      <c r="W476" t="s">
        <v>9412</v>
      </c>
      <c r="X476" t="s">
        <v>9413</v>
      </c>
      <c r="Y476" t="s">
        <v>9414</v>
      </c>
      <c r="Z476" t="s">
        <v>9415</v>
      </c>
      <c r="AA476" t="s">
        <v>9416</v>
      </c>
      <c r="AB476" t="s">
        <v>9417</v>
      </c>
      <c r="AC476" t="s">
        <v>74</v>
      </c>
      <c r="AD476" t="s">
        <v>74</v>
      </c>
      <c r="AE476" t="s">
        <v>74</v>
      </c>
      <c r="AF476" t="s">
        <v>74</v>
      </c>
      <c r="AG476">
        <v>107</v>
      </c>
      <c r="AH476">
        <v>9</v>
      </c>
      <c r="AI476">
        <v>11</v>
      </c>
      <c r="AJ476">
        <v>0</v>
      </c>
      <c r="AK476">
        <v>2</v>
      </c>
      <c r="AL476" t="s">
        <v>1572</v>
      </c>
      <c r="AM476" t="s">
        <v>1573</v>
      </c>
      <c r="AN476" t="s">
        <v>1574</v>
      </c>
      <c r="AO476" t="s">
        <v>4511</v>
      </c>
      <c r="AP476" t="s">
        <v>4512</v>
      </c>
      <c r="AQ476" t="s">
        <v>74</v>
      </c>
      <c r="AR476" t="s">
        <v>4498</v>
      </c>
      <c r="AS476" t="s">
        <v>4513</v>
      </c>
      <c r="AT476" t="s">
        <v>9418</v>
      </c>
      <c r="AU476">
        <v>2016</v>
      </c>
      <c r="AV476">
        <v>4154</v>
      </c>
      <c r="AW476">
        <v>2</v>
      </c>
      <c r="AX476" t="s">
        <v>74</v>
      </c>
      <c r="AY476" t="s">
        <v>74</v>
      </c>
      <c r="AZ476" t="s">
        <v>74</v>
      </c>
      <c r="BA476" t="s">
        <v>74</v>
      </c>
      <c r="BB476">
        <v>101</v>
      </c>
      <c r="BC476">
        <v>138</v>
      </c>
      <c r="BD476" t="s">
        <v>74</v>
      </c>
      <c r="BE476" t="s">
        <v>9419</v>
      </c>
      <c r="BF476" t="str">
        <f>HYPERLINK("http://dx.doi.org/10.11646/zootaxa.4154.2.1","http://dx.doi.org/10.11646/zootaxa.4154.2.1")</f>
        <v>http://dx.doi.org/10.11646/zootaxa.4154.2.1</v>
      </c>
      <c r="BG476" t="s">
        <v>74</v>
      </c>
      <c r="BH476" t="s">
        <v>74</v>
      </c>
      <c r="BI476">
        <v>38</v>
      </c>
      <c r="BJ476" t="s">
        <v>3306</v>
      </c>
      <c r="BK476" t="s">
        <v>156</v>
      </c>
      <c r="BL476" t="s">
        <v>3306</v>
      </c>
      <c r="BM476" t="s">
        <v>9420</v>
      </c>
      <c r="BN476">
        <v>27615829</v>
      </c>
      <c r="BO476" t="s">
        <v>74</v>
      </c>
      <c r="BP476" t="s">
        <v>74</v>
      </c>
      <c r="BQ476" t="s">
        <v>74</v>
      </c>
      <c r="BR476" t="s">
        <v>105</v>
      </c>
      <c r="BS476" t="s">
        <v>9421</v>
      </c>
      <c r="BT476" t="str">
        <f>HYPERLINK("https%3A%2F%2Fwww.webofscience.com%2Fwos%2Fwoscc%2Ffull-record%2FWOS:000381547400001","View Full Record in Web of Science")</f>
        <v>View Full Record in Web of Science</v>
      </c>
    </row>
    <row r="477" spans="1:72" x14ac:dyDescent="0.15">
      <c r="A477" t="s">
        <v>72</v>
      </c>
      <c r="B477" t="s">
        <v>9422</v>
      </c>
      <c r="C477" t="s">
        <v>74</v>
      </c>
      <c r="D477" t="s">
        <v>74</v>
      </c>
      <c r="E477" t="s">
        <v>74</v>
      </c>
      <c r="F477" t="s">
        <v>9423</v>
      </c>
      <c r="G477" t="s">
        <v>74</v>
      </c>
      <c r="H477" t="s">
        <v>74</v>
      </c>
      <c r="I477" t="s">
        <v>9424</v>
      </c>
      <c r="J477" t="s">
        <v>1268</v>
      </c>
      <c r="K477" t="s">
        <v>74</v>
      </c>
      <c r="L477" t="s">
        <v>74</v>
      </c>
      <c r="M477" t="s">
        <v>78</v>
      </c>
      <c r="N477" t="s">
        <v>79</v>
      </c>
      <c r="O477" t="s">
        <v>74</v>
      </c>
      <c r="P477" t="s">
        <v>74</v>
      </c>
      <c r="Q477" t="s">
        <v>74</v>
      </c>
      <c r="R477" t="s">
        <v>74</v>
      </c>
      <c r="S477" t="s">
        <v>74</v>
      </c>
      <c r="T477" t="s">
        <v>74</v>
      </c>
      <c r="U477" t="s">
        <v>9425</v>
      </c>
      <c r="V477" t="s">
        <v>9426</v>
      </c>
      <c r="W477" t="s">
        <v>9427</v>
      </c>
      <c r="X477" t="s">
        <v>9428</v>
      </c>
      <c r="Y477" t="s">
        <v>9429</v>
      </c>
      <c r="Z477" t="s">
        <v>9430</v>
      </c>
      <c r="AA477" t="s">
        <v>9431</v>
      </c>
      <c r="AB477" t="s">
        <v>9432</v>
      </c>
      <c r="AC477" t="s">
        <v>74</v>
      </c>
      <c r="AD477" t="s">
        <v>74</v>
      </c>
      <c r="AE477" t="s">
        <v>74</v>
      </c>
      <c r="AF477" t="s">
        <v>74</v>
      </c>
      <c r="AG477">
        <v>96</v>
      </c>
      <c r="AH477">
        <v>25</v>
      </c>
      <c r="AI477">
        <v>28</v>
      </c>
      <c r="AJ477">
        <v>0</v>
      </c>
      <c r="AK477">
        <v>10</v>
      </c>
      <c r="AL477" t="s">
        <v>1279</v>
      </c>
      <c r="AM477" t="s">
        <v>1280</v>
      </c>
      <c r="AN477" t="s">
        <v>1281</v>
      </c>
      <c r="AO477" t="s">
        <v>1282</v>
      </c>
      <c r="AP477" t="s">
        <v>74</v>
      </c>
      <c r="AQ477" t="s">
        <v>74</v>
      </c>
      <c r="AR477" t="s">
        <v>1283</v>
      </c>
      <c r="AS477" t="s">
        <v>1284</v>
      </c>
      <c r="AT477" t="s">
        <v>9433</v>
      </c>
      <c r="AU477">
        <v>2016</v>
      </c>
      <c r="AV477">
        <v>4</v>
      </c>
      <c r="AW477" t="s">
        <v>74</v>
      </c>
      <c r="AX477" t="s">
        <v>74</v>
      </c>
      <c r="AY477" t="s">
        <v>74</v>
      </c>
      <c r="AZ477" t="s">
        <v>74</v>
      </c>
      <c r="BA477" t="s">
        <v>74</v>
      </c>
      <c r="BB477" t="s">
        <v>74</v>
      </c>
      <c r="BC477" t="s">
        <v>74</v>
      </c>
      <c r="BD477">
        <v>123</v>
      </c>
      <c r="BE477" t="s">
        <v>9434</v>
      </c>
      <c r="BF477" t="str">
        <f>HYPERLINK("http://dx.doi.org/10.12952/journal.elementa.000123","http://dx.doi.org/10.12952/journal.elementa.000123")</f>
        <v>http://dx.doi.org/10.12952/journal.elementa.000123</v>
      </c>
      <c r="BG477" t="s">
        <v>74</v>
      </c>
      <c r="BH477" t="s">
        <v>74</v>
      </c>
      <c r="BI477">
        <v>18</v>
      </c>
      <c r="BJ477" t="s">
        <v>1286</v>
      </c>
      <c r="BK477" t="s">
        <v>156</v>
      </c>
      <c r="BL477" t="s">
        <v>825</v>
      </c>
      <c r="BM477" t="s">
        <v>9435</v>
      </c>
      <c r="BN477" t="s">
        <v>74</v>
      </c>
      <c r="BO477" t="s">
        <v>2009</v>
      </c>
      <c r="BP477" t="s">
        <v>74</v>
      </c>
      <c r="BQ477" t="s">
        <v>74</v>
      </c>
      <c r="BR477" t="s">
        <v>105</v>
      </c>
      <c r="BS477" t="s">
        <v>9436</v>
      </c>
      <c r="BT477" t="str">
        <f>HYPERLINK("https%3A%2F%2Fwww.webofscience.com%2Fwos%2Fwoscc%2Ffull-record%2FWOS:000389921500001","View Full Record in Web of Science")</f>
        <v>View Full Record in Web of Science</v>
      </c>
    </row>
    <row r="478" spans="1:72" x14ac:dyDescent="0.15">
      <c r="A478" t="s">
        <v>72</v>
      </c>
      <c r="B478" t="s">
        <v>9437</v>
      </c>
      <c r="C478" t="s">
        <v>74</v>
      </c>
      <c r="D478" t="s">
        <v>74</v>
      </c>
      <c r="E478" t="s">
        <v>74</v>
      </c>
      <c r="F478" t="s">
        <v>9438</v>
      </c>
      <c r="G478" t="s">
        <v>74</v>
      </c>
      <c r="H478" t="s">
        <v>74</v>
      </c>
      <c r="I478" t="s">
        <v>9439</v>
      </c>
      <c r="J478" t="s">
        <v>1072</v>
      </c>
      <c r="K478" t="s">
        <v>74</v>
      </c>
      <c r="L478" t="s">
        <v>74</v>
      </c>
      <c r="M478" t="s">
        <v>78</v>
      </c>
      <c r="N478" t="s">
        <v>79</v>
      </c>
      <c r="O478" t="s">
        <v>74</v>
      </c>
      <c r="P478" t="s">
        <v>74</v>
      </c>
      <c r="Q478" t="s">
        <v>74</v>
      </c>
      <c r="R478" t="s">
        <v>74</v>
      </c>
      <c r="S478" t="s">
        <v>74</v>
      </c>
      <c r="T478" t="s">
        <v>74</v>
      </c>
      <c r="U478" t="s">
        <v>9440</v>
      </c>
      <c r="V478" t="s">
        <v>9441</v>
      </c>
      <c r="W478" t="s">
        <v>9442</v>
      </c>
      <c r="X478" t="s">
        <v>9443</v>
      </c>
      <c r="Y478" t="s">
        <v>9444</v>
      </c>
      <c r="Z478" t="s">
        <v>9445</v>
      </c>
      <c r="AA478" t="s">
        <v>9446</v>
      </c>
      <c r="AB478" t="s">
        <v>9447</v>
      </c>
      <c r="AC478" t="s">
        <v>9448</v>
      </c>
      <c r="AD478" t="s">
        <v>9448</v>
      </c>
      <c r="AE478" t="s">
        <v>9449</v>
      </c>
      <c r="AF478" t="s">
        <v>74</v>
      </c>
      <c r="AG478">
        <v>87</v>
      </c>
      <c r="AH478">
        <v>23</v>
      </c>
      <c r="AI478">
        <v>24</v>
      </c>
      <c r="AJ478">
        <v>4</v>
      </c>
      <c r="AK478">
        <v>57</v>
      </c>
      <c r="AL478" t="s">
        <v>1074</v>
      </c>
      <c r="AM478" t="s">
        <v>1075</v>
      </c>
      <c r="AN478" t="s">
        <v>1076</v>
      </c>
      <c r="AO478" t="s">
        <v>1077</v>
      </c>
      <c r="AP478" t="s">
        <v>74</v>
      </c>
      <c r="AQ478" t="s">
        <v>74</v>
      </c>
      <c r="AR478" t="s">
        <v>1072</v>
      </c>
      <c r="AS478" t="s">
        <v>1078</v>
      </c>
      <c r="AT478" t="s">
        <v>9450</v>
      </c>
      <c r="AU478">
        <v>2016</v>
      </c>
      <c r="AV478">
        <v>11</v>
      </c>
      <c r="AW478">
        <v>8</v>
      </c>
      <c r="AX478" t="s">
        <v>74</v>
      </c>
      <c r="AY478" t="s">
        <v>74</v>
      </c>
      <c r="AZ478" t="s">
        <v>74</v>
      </c>
      <c r="BA478" t="s">
        <v>74</v>
      </c>
      <c r="BB478" t="s">
        <v>74</v>
      </c>
      <c r="BC478" t="s">
        <v>74</v>
      </c>
      <c r="BD478" t="s">
        <v>9451</v>
      </c>
      <c r="BE478" t="s">
        <v>9452</v>
      </c>
      <c r="BF478" t="str">
        <f>HYPERLINK("http://dx.doi.org/10.1371/journal.pone.0156968","http://dx.doi.org/10.1371/journal.pone.0156968")</f>
        <v>http://dx.doi.org/10.1371/journal.pone.0156968</v>
      </c>
      <c r="BG478" t="s">
        <v>74</v>
      </c>
      <c r="BH478" t="s">
        <v>74</v>
      </c>
      <c r="BI478">
        <v>18</v>
      </c>
      <c r="BJ478" t="s">
        <v>719</v>
      </c>
      <c r="BK478" t="s">
        <v>156</v>
      </c>
      <c r="BL478" t="s">
        <v>720</v>
      </c>
      <c r="BM478" t="s">
        <v>9453</v>
      </c>
      <c r="BN478">
        <v>27533327</v>
      </c>
      <c r="BO478" t="s">
        <v>1083</v>
      </c>
      <c r="BP478" t="s">
        <v>74</v>
      </c>
      <c r="BQ478" t="s">
        <v>74</v>
      </c>
      <c r="BR478" t="s">
        <v>105</v>
      </c>
      <c r="BS478" t="s">
        <v>9454</v>
      </c>
      <c r="BT478" t="str">
        <f>HYPERLINK("https%3A%2F%2Fwww.webofscience.com%2Fwos%2Fwoscc%2Ffull-record%2FWOS:000381487600002","View Full Record in Web of Science")</f>
        <v>View Full Record in Web of Science</v>
      </c>
    </row>
    <row r="479" spans="1:72" x14ac:dyDescent="0.15">
      <c r="A479" t="s">
        <v>72</v>
      </c>
      <c r="B479" t="s">
        <v>9455</v>
      </c>
      <c r="C479" t="s">
        <v>74</v>
      </c>
      <c r="D479" t="s">
        <v>74</v>
      </c>
      <c r="E479" t="s">
        <v>74</v>
      </c>
      <c r="F479" t="s">
        <v>9456</v>
      </c>
      <c r="G479" t="s">
        <v>74</v>
      </c>
      <c r="H479" t="s">
        <v>74</v>
      </c>
      <c r="I479" t="s">
        <v>9457</v>
      </c>
      <c r="J479" t="s">
        <v>1088</v>
      </c>
      <c r="K479" t="s">
        <v>74</v>
      </c>
      <c r="L479" t="s">
        <v>74</v>
      </c>
      <c r="M479" t="s">
        <v>78</v>
      </c>
      <c r="N479" t="s">
        <v>79</v>
      </c>
      <c r="O479" t="s">
        <v>74</v>
      </c>
      <c r="P479" t="s">
        <v>74</v>
      </c>
      <c r="Q479" t="s">
        <v>74</v>
      </c>
      <c r="R479" t="s">
        <v>74</v>
      </c>
      <c r="S479" t="s">
        <v>74</v>
      </c>
      <c r="T479" t="s">
        <v>9458</v>
      </c>
      <c r="U479" t="s">
        <v>9459</v>
      </c>
      <c r="V479" t="s">
        <v>9460</v>
      </c>
      <c r="W479" t="s">
        <v>9461</v>
      </c>
      <c r="X479" t="s">
        <v>9462</v>
      </c>
      <c r="Y479" t="s">
        <v>9463</v>
      </c>
      <c r="Z479" t="s">
        <v>9464</v>
      </c>
      <c r="AA479" t="s">
        <v>9465</v>
      </c>
      <c r="AB479" t="s">
        <v>9466</v>
      </c>
      <c r="AC479" t="s">
        <v>9467</v>
      </c>
      <c r="AD479" t="s">
        <v>9468</v>
      </c>
      <c r="AE479" t="s">
        <v>9469</v>
      </c>
      <c r="AF479" t="s">
        <v>74</v>
      </c>
      <c r="AG479">
        <v>40</v>
      </c>
      <c r="AH479">
        <v>34</v>
      </c>
      <c r="AI479">
        <v>35</v>
      </c>
      <c r="AJ479">
        <v>2</v>
      </c>
      <c r="AK479">
        <v>24</v>
      </c>
      <c r="AL479" t="s">
        <v>149</v>
      </c>
      <c r="AM479" t="s">
        <v>123</v>
      </c>
      <c r="AN479" t="s">
        <v>150</v>
      </c>
      <c r="AO479" t="s">
        <v>1100</v>
      </c>
      <c r="AP479" t="s">
        <v>1101</v>
      </c>
      <c r="AQ479" t="s">
        <v>74</v>
      </c>
      <c r="AR479" t="s">
        <v>1102</v>
      </c>
      <c r="AS479" t="s">
        <v>1103</v>
      </c>
      <c r="AT479" t="s">
        <v>9470</v>
      </c>
      <c r="AU479">
        <v>2016</v>
      </c>
      <c r="AV479">
        <v>43</v>
      </c>
      <c r="AW479">
        <v>15</v>
      </c>
      <c r="AX479" t="s">
        <v>74</v>
      </c>
      <c r="AY479" t="s">
        <v>74</v>
      </c>
      <c r="AZ479" t="s">
        <v>74</v>
      </c>
      <c r="BA479" t="s">
        <v>74</v>
      </c>
      <c r="BB479">
        <v>8207</v>
      </c>
      <c r="BC479">
        <v>8213</v>
      </c>
      <c r="BD479" t="s">
        <v>74</v>
      </c>
      <c r="BE479" t="s">
        <v>9471</v>
      </c>
      <c r="BF479" t="str">
        <f>HYPERLINK("http://dx.doi.org/10.1002/2016GL070055","http://dx.doi.org/10.1002/2016GL070055")</f>
        <v>http://dx.doi.org/10.1002/2016GL070055</v>
      </c>
      <c r="BG479" t="s">
        <v>74</v>
      </c>
      <c r="BH479" t="s">
        <v>74</v>
      </c>
      <c r="BI479">
        <v>7</v>
      </c>
      <c r="BJ479" t="s">
        <v>352</v>
      </c>
      <c r="BK479" t="s">
        <v>156</v>
      </c>
      <c r="BL479" t="s">
        <v>177</v>
      </c>
      <c r="BM479" t="s">
        <v>9472</v>
      </c>
      <c r="BN479" t="s">
        <v>74</v>
      </c>
      <c r="BO479" t="s">
        <v>258</v>
      </c>
      <c r="BP479" t="s">
        <v>74</v>
      </c>
      <c r="BQ479" t="s">
        <v>74</v>
      </c>
      <c r="BR479" t="s">
        <v>105</v>
      </c>
      <c r="BS479" t="s">
        <v>9473</v>
      </c>
      <c r="BT479" t="str">
        <f>HYPERLINK("https%3A%2F%2Fwww.webofscience.com%2Fwos%2Fwoscc%2Ffull-record%2FWOS:000383290300049","View Full Record in Web of Science")</f>
        <v>View Full Record in Web of Science</v>
      </c>
    </row>
    <row r="480" spans="1:72" x14ac:dyDescent="0.15">
      <c r="A480" t="s">
        <v>72</v>
      </c>
      <c r="B480" t="s">
        <v>9474</v>
      </c>
      <c r="C480" t="s">
        <v>74</v>
      </c>
      <c r="D480" t="s">
        <v>74</v>
      </c>
      <c r="E480" t="s">
        <v>74</v>
      </c>
      <c r="F480" t="s">
        <v>9475</v>
      </c>
      <c r="G480" t="s">
        <v>74</v>
      </c>
      <c r="H480" t="s">
        <v>74</v>
      </c>
      <c r="I480" t="s">
        <v>9476</v>
      </c>
      <c r="J480" t="s">
        <v>1088</v>
      </c>
      <c r="K480" t="s">
        <v>74</v>
      </c>
      <c r="L480" t="s">
        <v>74</v>
      </c>
      <c r="M480" t="s">
        <v>78</v>
      </c>
      <c r="N480" t="s">
        <v>79</v>
      </c>
      <c r="O480" t="s">
        <v>74</v>
      </c>
      <c r="P480" t="s">
        <v>74</v>
      </c>
      <c r="Q480" t="s">
        <v>74</v>
      </c>
      <c r="R480" t="s">
        <v>74</v>
      </c>
      <c r="S480" t="s">
        <v>74</v>
      </c>
      <c r="T480" t="s">
        <v>9477</v>
      </c>
      <c r="U480" t="s">
        <v>9478</v>
      </c>
      <c r="V480" t="s">
        <v>9479</v>
      </c>
      <c r="W480" t="s">
        <v>9480</v>
      </c>
      <c r="X480" t="s">
        <v>9481</v>
      </c>
      <c r="Y480" t="s">
        <v>9482</v>
      </c>
      <c r="Z480" t="s">
        <v>9483</v>
      </c>
      <c r="AA480" t="s">
        <v>9484</v>
      </c>
      <c r="AB480" t="s">
        <v>9485</v>
      </c>
      <c r="AC480" t="s">
        <v>9486</v>
      </c>
      <c r="AD480" t="s">
        <v>9487</v>
      </c>
      <c r="AE480" t="s">
        <v>9488</v>
      </c>
      <c r="AF480" t="s">
        <v>74</v>
      </c>
      <c r="AG480">
        <v>30</v>
      </c>
      <c r="AH480">
        <v>17</v>
      </c>
      <c r="AI480">
        <v>17</v>
      </c>
      <c r="AJ480">
        <v>0</v>
      </c>
      <c r="AK480">
        <v>16</v>
      </c>
      <c r="AL480" t="s">
        <v>149</v>
      </c>
      <c r="AM480" t="s">
        <v>123</v>
      </c>
      <c r="AN480" t="s">
        <v>150</v>
      </c>
      <c r="AO480" t="s">
        <v>1100</v>
      </c>
      <c r="AP480" t="s">
        <v>1101</v>
      </c>
      <c r="AQ480" t="s">
        <v>74</v>
      </c>
      <c r="AR480" t="s">
        <v>1102</v>
      </c>
      <c r="AS480" t="s">
        <v>1103</v>
      </c>
      <c r="AT480" t="s">
        <v>9470</v>
      </c>
      <c r="AU480">
        <v>2016</v>
      </c>
      <c r="AV480">
        <v>43</v>
      </c>
      <c r="AW480">
        <v>15</v>
      </c>
      <c r="AX480" t="s">
        <v>74</v>
      </c>
      <c r="AY480" t="s">
        <v>74</v>
      </c>
      <c r="AZ480" t="s">
        <v>74</v>
      </c>
      <c r="BA480" t="s">
        <v>74</v>
      </c>
      <c r="BB480">
        <v>8143</v>
      </c>
      <c r="BC480">
        <v>8150</v>
      </c>
      <c r="BD480" t="s">
        <v>74</v>
      </c>
      <c r="BE480" t="s">
        <v>9489</v>
      </c>
      <c r="BF480" t="str">
        <f>HYPERLINK("http://dx.doi.org/10.1002/2016GL069480","http://dx.doi.org/10.1002/2016GL069480")</f>
        <v>http://dx.doi.org/10.1002/2016GL069480</v>
      </c>
      <c r="BG480" t="s">
        <v>74</v>
      </c>
      <c r="BH480" t="s">
        <v>74</v>
      </c>
      <c r="BI480">
        <v>8</v>
      </c>
      <c r="BJ480" t="s">
        <v>352</v>
      </c>
      <c r="BK480" t="s">
        <v>156</v>
      </c>
      <c r="BL480" t="s">
        <v>177</v>
      </c>
      <c r="BM480" t="s">
        <v>9472</v>
      </c>
      <c r="BN480" t="s">
        <v>74</v>
      </c>
      <c r="BO480" t="s">
        <v>74</v>
      </c>
      <c r="BP480" t="s">
        <v>74</v>
      </c>
      <c r="BQ480" t="s">
        <v>74</v>
      </c>
      <c r="BR480" t="s">
        <v>105</v>
      </c>
      <c r="BS480" t="s">
        <v>9490</v>
      </c>
      <c r="BT480" t="str">
        <f>HYPERLINK("https%3A%2F%2Fwww.webofscience.com%2Fwos%2Fwoscc%2Ffull-record%2FWOS:000383290300042","View Full Record in Web of Science")</f>
        <v>View Full Record in Web of Science</v>
      </c>
    </row>
    <row r="481" spans="1:72" x14ac:dyDescent="0.15">
      <c r="A481" t="s">
        <v>72</v>
      </c>
      <c r="B481" t="s">
        <v>9491</v>
      </c>
      <c r="C481" t="s">
        <v>74</v>
      </c>
      <c r="D481" t="s">
        <v>74</v>
      </c>
      <c r="E481" t="s">
        <v>74</v>
      </c>
      <c r="F481" t="s">
        <v>9492</v>
      </c>
      <c r="G481" t="s">
        <v>74</v>
      </c>
      <c r="H481" t="s">
        <v>74</v>
      </c>
      <c r="I481" t="s">
        <v>9493</v>
      </c>
      <c r="J481" t="s">
        <v>2512</v>
      </c>
      <c r="K481" t="s">
        <v>74</v>
      </c>
      <c r="L481" t="s">
        <v>74</v>
      </c>
      <c r="M481" t="s">
        <v>78</v>
      </c>
      <c r="N481" t="s">
        <v>79</v>
      </c>
      <c r="O481" t="s">
        <v>74</v>
      </c>
      <c r="P481" t="s">
        <v>74</v>
      </c>
      <c r="Q481" t="s">
        <v>74</v>
      </c>
      <c r="R481" t="s">
        <v>74</v>
      </c>
      <c r="S481" t="s">
        <v>74</v>
      </c>
      <c r="T481" t="s">
        <v>9494</v>
      </c>
      <c r="U481" t="s">
        <v>9495</v>
      </c>
      <c r="V481" t="s">
        <v>9496</v>
      </c>
      <c r="W481" t="s">
        <v>9497</v>
      </c>
      <c r="X481" t="s">
        <v>9498</v>
      </c>
      <c r="Y481" t="s">
        <v>9499</v>
      </c>
      <c r="Z481" t="s">
        <v>9500</v>
      </c>
      <c r="AA481" t="s">
        <v>9501</v>
      </c>
      <c r="AB481" t="s">
        <v>74</v>
      </c>
      <c r="AC481" t="s">
        <v>9502</v>
      </c>
      <c r="AD481" t="s">
        <v>9503</v>
      </c>
      <c r="AE481" t="s">
        <v>9504</v>
      </c>
      <c r="AF481" t="s">
        <v>74</v>
      </c>
      <c r="AG481">
        <v>42</v>
      </c>
      <c r="AH481">
        <v>8</v>
      </c>
      <c r="AI481">
        <v>9</v>
      </c>
      <c r="AJ481">
        <v>2</v>
      </c>
      <c r="AK481">
        <v>13</v>
      </c>
      <c r="AL481" t="s">
        <v>149</v>
      </c>
      <c r="AM481" t="s">
        <v>123</v>
      </c>
      <c r="AN481" t="s">
        <v>150</v>
      </c>
      <c r="AO481" t="s">
        <v>2525</v>
      </c>
      <c r="AP481" t="s">
        <v>2526</v>
      </c>
      <c r="AQ481" t="s">
        <v>74</v>
      </c>
      <c r="AR481" t="s">
        <v>2527</v>
      </c>
      <c r="AS481" t="s">
        <v>2528</v>
      </c>
      <c r="AT481" t="s">
        <v>9470</v>
      </c>
      <c r="AU481">
        <v>2016</v>
      </c>
      <c r="AV481">
        <v>121</v>
      </c>
      <c r="AW481">
        <v>15</v>
      </c>
      <c r="AX481" t="s">
        <v>74</v>
      </c>
      <c r="AY481" t="s">
        <v>74</v>
      </c>
      <c r="AZ481" t="s">
        <v>74</v>
      </c>
      <c r="BA481" t="s">
        <v>74</v>
      </c>
      <c r="BB481">
        <v>9089</v>
      </c>
      <c r="BC481">
        <v>9104</v>
      </c>
      <c r="BD481" t="s">
        <v>74</v>
      </c>
      <c r="BE481" t="s">
        <v>9505</v>
      </c>
      <c r="BF481" t="str">
        <f>HYPERLINK("http://dx.doi.org/10.1002/2015JD024724","http://dx.doi.org/10.1002/2015JD024724")</f>
        <v>http://dx.doi.org/10.1002/2015JD024724</v>
      </c>
      <c r="BG481" t="s">
        <v>74</v>
      </c>
      <c r="BH481" t="s">
        <v>74</v>
      </c>
      <c r="BI481">
        <v>16</v>
      </c>
      <c r="BJ481" t="s">
        <v>2482</v>
      </c>
      <c r="BK481" t="s">
        <v>156</v>
      </c>
      <c r="BL481" t="s">
        <v>2482</v>
      </c>
      <c r="BM481" t="s">
        <v>9506</v>
      </c>
      <c r="BN481" t="s">
        <v>74</v>
      </c>
      <c r="BO481" t="s">
        <v>258</v>
      </c>
      <c r="BP481" t="s">
        <v>74</v>
      </c>
      <c r="BQ481" t="s">
        <v>74</v>
      </c>
      <c r="BR481" t="s">
        <v>105</v>
      </c>
      <c r="BS481" t="s">
        <v>9507</v>
      </c>
      <c r="BT481" t="str">
        <f>HYPERLINK("https%3A%2F%2Fwww.webofscience.com%2Fwos%2Fwoscc%2Ffull-record%2FWOS:000383372400020","View Full Record in Web of Science")</f>
        <v>View Full Record in Web of Science</v>
      </c>
    </row>
    <row r="482" spans="1:72" x14ac:dyDescent="0.15">
      <c r="A482" t="s">
        <v>72</v>
      </c>
      <c r="B482" t="s">
        <v>9508</v>
      </c>
      <c r="C482" t="s">
        <v>74</v>
      </c>
      <c r="D482" t="s">
        <v>74</v>
      </c>
      <c r="E482" t="s">
        <v>74</v>
      </c>
      <c r="F482" t="s">
        <v>9509</v>
      </c>
      <c r="G482" t="s">
        <v>74</v>
      </c>
      <c r="H482" t="s">
        <v>74</v>
      </c>
      <c r="I482" t="s">
        <v>9510</v>
      </c>
      <c r="J482" t="s">
        <v>9511</v>
      </c>
      <c r="K482" t="s">
        <v>74</v>
      </c>
      <c r="L482" t="s">
        <v>74</v>
      </c>
      <c r="M482" t="s">
        <v>78</v>
      </c>
      <c r="N482" t="s">
        <v>79</v>
      </c>
      <c r="O482" t="s">
        <v>74</v>
      </c>
      <c r="P482" t="s">
        <v>74</v>
      </c>
      <c r="Q482" t="s">
        <v>74</v>
      </c>
      <c r="R482" t="s">
        <v>74</v>
      </c>
      <c r="S482" t="s">
        <v>74</v>
      </c>
      <c r="T482" t="s">
        <v>9512</v>
      </c>
      <c r="U482" t="s">
        <v>9513</v>
      </c>
      <c r="V482" t="s">
        <v>9514</v>
      </c>
      <c r="W482" t="s">
        <v>9515</v>
      </c>
      <c r="X482" t="s">
        <v>9516</v>
      </c>
      <c r="Y482" t="s">
        <v>9517</v>
      </c>
      <c r="Z482" t="s">
        <v>9518</v>
      </c>
      <c r="AA482" t="s">
        <v>6579</v>
      </c>
      <c r="AB482" t="s">
        <v>9519</v>
      </c>
      <c r="AC482" t="s">
        <v>9520</v>
      </c>
      <c r="AD482" t="s">
        <v>9521</v>
      </c>
      <c r="AE482" t="s">
        <v>9522</v>
      </c>
      <c r="AF482" t="s">
        <v>74</v>
      </c>
      <c r="AG482">
        <v>60</v>
      </c>
      <c r="AH482">
        <v>33</v>
      </c>
      <c r="AI482">
        <v>40</v>
      </c>
      <c r="AJ482">
        <v>0</v>
      </c>
      <c r="AK482">
        <v>32</v>
      </c>
      <c r="AL482" t="s">
        <v>501</v>
      </c>
      <c r="AM482" t="s">
        <v>502</v>
      </c>
      <c r="AN482" t="s">
        <v>503</v>
      </c>
      <c r="AO482" t="s">
        <v>9523</v>
      </c>
      <c r="AP482" t="s">
        <v>9524</v>
      </c>
      <c r="AQ482" t="s">
        <v>74</v>
      </c>
      <c r="AR482" t="s">
        <v>9525</v>
      </c>
      <c r="AS482" t="s">
        <v>9526</v>
      </c>
      <c r="AT482" t="s">
        <v>9527</v>
      </c>
      <c r="AU482">
        <v>2016</v>
      </c>
      <c r="AV482">
        <v>30</v>
      </c>
      <c r="AW482">
        <v>17</v>
      </c>
      <c r="AX482" t="s">
        <v>74</v>
      </c>
      <c r="AY482" t="s">
        <v>74</v>
      </c>
      <c r="AZ482" t="s">
        <v>74</v>
      </c>
      <c r="BA482" t="s">
        <v>74</v>
      </c>
      <c r="BB482">
        <v>2958</v>
      </c>
      <c r="BC482">
        <v>2975</v>
      </c>
      <c r="BD482" t="s">
        <v>74</v>
      </c>
      <c r="BE482" t="s">
        <v>9528</v>
      </c>
      <c r="BF482" t="str">
        <f>HYPERLINK("http://dx.doi.org/10.1002/hyp.10818","http://dx.doi.org/10.1002/hyp.10818")</f>
        <v>http://dx.doi.org/10.1002/hyp.10818</v>
      </c>
      <c r="BG482" t="s">
        <v>74</v>
      </c>
      <c r="BH482" t="s">
        <v>74</v>
      </c>
      <c r="BI482">
        <v>18</v>
      </c>
      <c r="BJ482" t="s">
        <v>7370</v>
      </c>
      <c r="BK482" t="s">
        <v>156</v>
      </c>
      <c r="BL482" t="s">
        <v>7370</v>
      </c>
      <c r="BM482" t="s">
        <v>9529</v>
      </c>
      <c r="BN482" t="s">
        <v>74</v>
      </c>
      <c r="BO482" t="s">
        <v>74</v>
      </c>
      <c r="BP482" t="s">
        <v>74</v>
      </c>
      <c r="BQ482" t="s">
        <v>74</v>
      </c>
      <c r="BR482" t="s">
        <v>105</v>
      </c>
      <c r="BS482" t="s">
        <v>9530</v>
      </c>
      <c r="BT482" t="str">
        <f>HYPERLINK("https%3A%2F%2Fwww.webofscience.com%2Fwos%2Fwoscc%2Ffull-record%2FWOS:000382957700005","View Full Record in Web of Science")</f>
        <v>View Full Record in Web of Science</v>
      </c>
    </row>
    <row r="483" spans="1:72" x14ac:dyDescent="0.15">
      <c r="A483" t="s">
        <v>72</v>
      </c>
      <c r="B483" t="s">
        <v>1712</v>
      </c>
      <c r="C483" t="s">
        <v>74</v>
      </c>
      <c r="D483" t="s">
        <v>74</v>
      </c>
      <c r="E483" t="s">
        <v>74</v>
      </c>
      <c r="F483" t="s">
        <v>1712</v>
      </c>
      <c r="G483" t="s">
        <v>74</v>
      </c>
      <c r="H483" t="s">
        <v>74</v>
      </c>
      <c r="I483" t="s">
        <v>9531</v>
      </c>
      <c r="J483" t="s">
        <v>1714</v>
      </c>
      <c r="K483" t="s">
        <v>74</v>
      </c>
      <c r="L483" t="s">
        <v>74</v>
      </c>
      <c r="M483" t="s">
        <v>78</v>
      </c>
      <c r="N483" t="s">
        <v>1715</v>
      </c>
      <c r="O483" t="s">
        <v>74</v>
      </c>
      <c r="P483" t="s">
        <v>74</v>
      </c>
      <c r="Q483" t="s">
        <v>74</v>
      </c>
      <c r="R483" t="s">
        <v>74</v>
      </c>
      <c r="S483" t="s">
        <v>74</v>
      </c>
      <c r="T483" t="s">
        <v>74</v>
      </c>
      <c r="U483" t="s">
        <v>74</v>
      </c>
      <c r="V483" t="s">
        <v>74</v>
      </c>
      <c r="W483" t="s">
        <v>74</v>
      </c>
      <c r="X483" t="s">
        <v>74</v>
      </c>
      <c r="Y483" t="s">
        <v>74</v>
      </c>
      <c r="Z483" t="s">
        <v>74</v>
      </c>
      <c r="AA483" t="s">
        <v>74</v>
      </c>
      <c r="AB483" t="s">
        <v>74</v>
      </c>
      <c r="AC483" t="s">
        <v>74</v>
      </c>
      <c r="AD483" t="s">
        <v>74</v>
      </c>
      <c r="AE483" t="s">
        <v>74</v>
      </c>
      <c r="AF483" t="s">
        <v>74</v>
      </c>
      <c r="AG483">
        <v>0</v>
      </c>
      <c r="AH483">
        <v>0</v>
      </c>
      <c r="AI483">
        <v>0</v>
      </c>
      <c r="AJ483">
        <v>0</v>
      </c>
      <c r="AK483">
        <v>0</v>
      </c>
      <c r="AL483" t="s">
        <v>303</v>
      </c>
      <c r="AM483" t="s">
        <v>304</v>
      </c>
      <c r="AN483" t="s">
        <v>305</v>
      </c>
      <c r="AO483" t="s">
        <v>1716</v>
      </c>
      <c r="AP483" t="s">
        <v>1717</v>
      </c>
      <c r="AQ483" t="s">
        <v>74</v>
      </c>
      <c r="AR483" t="s">
        <v>1718</v>
      </c>
      <c r="AS483" t="s">
        <v>1719</v>
      </c>
      <c r="AT483" t="s">
        <v>9527</v>
      </c>
      <c r="AU483">
        <v>2016</v>
      </c>
      <c r="AV483">
        <v>109</v>
      </c>
      <c r="AW483">
        <v>1</v>
      </c>
      <c r="AX483" t="s">
        <v>74</v>
      </c>
      <c r="AY483" t="s">
        <v>74</v>
      </c>
      <c r="AZ483" t="s">
        <v>74</v>
      </c>
      <c r="BA483" t="s">
        <v>74</v>
      </c>
      <c r="BB483">
        <v>5</v>
      </c>
      <c r="BC483">
        <v>6</v>
      </c>
      <c r="BD483" t="s">
        <v>74</v>
      </c>
      <c r="BE483" t="s">
        <v>74</v>
      </c>
      <c r="BF483" t="s">
        <v>74</v>
      </c>
      <c r="BG483" t="s">
        <v>74</v>
      </c>
      <c r="BH483" t="s">
        <v>74</v>
      </c>
      <c r="BI483">
        <v>2</v>
      </c>
      <c r="BJ483" t="s">
        <v>1721</v>
      </c>
      <c r="BK483" t="s">
        <v>156</v>
      </c>
      <c r="BL483" t="s">
        <v>694</v>
      </c>
      <c r="BM483" t="s">
        <v>9532</v>
      </c>
      <c r="BN483" t="s">
        <v>74</v>
      </c>
      <c r="BO483" t="s">
        <v>74</v>
      </c>
      <c r="BP483" t="s">
        <v>74</v>
      </c>
      <c r="BQ483" t="s">
        <v>74</v>
      </c>
      <c r="BR483" t="s">
        <v>105</v>
      </c>
      <c r="BS483" t="s">
        <v>9533</v>
      </c>
      <c r="BT483" t="str">
        <f>HYPERLINK("https%3A%2F%2Fwww.webofscience.com%2Fwos%2Fwoscc%2Ffull-record%2FWOS:000381650200011","View Full Record in Web of Science")</f>
        <v>View Full Record in Web of Science</v>
      </c>
    </row>
    <row r="484" spans="1:72" x14ac:dyDescent="0.15">
      <c r="A484" t="s">
        <v>72</v>
      </c>
      <c r="B484" t="s">
        <v>9534</v>
      </c>
      <c r="C484" t="s">
        <v>74</v>
      </c>
      <c r="D484" t="s">
        <v>74</v>
      </c>
      <c r="E484" t="s">
        <v>74</v>
      </c>
      <c r="F484" t="s">
        <v>9535</v>
      </c>
      <c r="G484" t="s">
        <v>74</v>
      </c>
      <c r="H484" t="s">
        <v>74</v>
      </c>
      <c r="I484" t="s">
        <v>9536</v>
      </c>
      <c r="J484" t="s">
        <v>876</v>
      </c>
      <c r="K484" t="s">
        <v>74</v>
      </c>
      <c r="L484" t="s">
        <v>74</v>
      </c>
      <c r="M484" t="s">
        <v>78</v>
      </c>
      <c r="N484" t="s">
        <v>79</v>
      </c>
      <c r="O484" t="s">
        <v>74</v>
      </c>
      <c r="P484" t="s">
        <v>74</v>
      </c>
      <c r="Q484" t="s">
        <v>74</v>
      </c>
      <c r="R484" t="s">
        <v>74</v>
      </c>
      <c r="S484" t="s">
        <v>74</v>
      </c>
      <c r="T484" t="s">
        <v>9537</v>
      </c>
      <c r="U484" t="s">
        <v>9538</v>
      </c>
      <c r="V484" t="s">
        <v>9539</v>
      </c>
      <c r="W484" t="s">
        <v>9540</v>
      </c>
      <c r="X484" t="s">
        <v>7538</v>
      </c>
      <c r="Y484" t="s">
        <v>9541</v>
      </c>
      <c r="Z484" t="s">
        <v>9542</v>
      </c>
      <c r="AA484" t="s">
        <v>9543</v>
      </c>
      <c r="AB484" t="s">
        <v>9544</v>
      </c>
      <c r="AC484" t="s">
        <v>9545</v>
      </c>
      <c r="AD484" t="s">
        <v>9545</v>
      </c>
      <c r="AE484" t="s">
        <v>9546</v>
      </c>
      <c r="AF484" t="s">
        <v>74</v>
      </c>
      <c r="AG484">
        <v>111</v>
      </c>
      <c r="AH484">
        <v>44</v>
      </c>
      <c r="AI484">
        <v>44</v>
      </c>
      <c r="AJ484">
        <v>0</v>
      </c>
      <c r="AK484">
        <v>38</v>
      </c>
      <c r="AL484" t="s">
        <v>303</v>
      </c>
      <c r="AM484" t="s">
        <v>304</v>
      </c>
      <c r="AN484" t="s">
        <v>305</v>
      </c>
      <c r="AO484" t="s">
        <v>889</v>
      </c>
      <c r="AP484" t="s">
        <v>890</v>
      </c>
      <c r="AQ484" t="s">
        <v>74</v>
      </c>
      <c r="AR484" t="s">
        <v>891</v>
      </c>
      <c r="AS484" t="s">
        <v>892</v>
      </c>
      <c r="AT484" t="s">
        <v>9527</v>
      </c>
      <c r="AU484">
        <v>2016</v>
      </c>
      <c r="AV484">
        <v>187</v>
      </c>
      <c r="AW484" t="s">
        <v>74</v>
      </c>
      <c r="AX484" t="s">
        <v>74</v>
      </c>
      <c r="AY484" t="s">
        <v>74</v>
      </c>
      <c r="AZ484" t="s">
        <v>74</v>
      </c>
      <c r="BA484" t="s">
        <v>74</v>
      </c>
      <c r="BB484">
        <v>79</v>
      </c>
      <c r="BC484">
        <v>101</v>
      </c>
      <c r="BD484" t="s">
        <v>74</v>
      </c>
      <c r="BE484" t="s">
        <v>9547</v>
      </c>
      <c r="BF484" t="str">
        <f>HYPERLINK("http://dx.doi.org/10.1016/j.gca.2016.05.013","http://dx.doi.org/10.1016/j.gca.2016.05.013")</f>
        <v>http://dx.doi.org/10.1016/j.gca.2016.05.013</v>
      </c>
      <c r="BG484" t="s">
        <v>74</v>
      </c>
      <c r="BH484" t="s">
        <v>74</v>
      </c>
      <c r="BI484">
        <v>23</v>
      </c>
      <c r="BJ484" t="s">
        <v>155</v>
      </c>
      <c r="BK484" t="s">
        <v>156</v>
      </c>
      <c r="BL484" t="s">
        <v>155</v>
      </c>
      <c r="BM484" t="s">
        <v>9548</v>
      </c>
      <c r="BN484" t="s">
        <v>74</v>
      </c>
      <c r="BO484" t="s">
        <v>459</v>
      </c>
      <c r="BP484" t="s">
        <v>74</v>
      </c>
      <c r="BQ484" t="s">
        <v>74</v>
      </c>
      <c r="BR484" t="s">
        <v>105</v>
      </c>
      <c r="BS484" t="s">
        <v>9549</v>
      </c>
      <c r="BT484" t="str">
        <f>HYPERLINK("https%3A%2F%2Fwww.webofscience.com%2Fwos%2Fwoscc%2Ffull-record%2FWOS:000379737800004","View Full Record in Web of Science")</f>
        <v>View Full Record in Web of Science</v>
      </c>
    </row>
    <row r="485" spans="1:72" x14ac:dyDescent="0.15">
      <c r="A485" t="s">
        <v>72</v>
      </c>
      <c r="B485" t="s">
        <v>9550</v>
      </c>
      <c r="C485" t="s">
        <v>74</v>
      </c>
      <c r="D485" t="s">
        <v>74</v>
      </c>
      <c r="E485" t="s">
        <v>74</v>
      </c>
      <c r="F485" t="s">
        <v>9551</v>
      </c>
      <c r="G485" t="s">
        <v>74</v>
      </c>
      <c r="H485" t="s">
        <v>74</v>
      </c>
      <c r="I485" t="s">
        <v>9552</v>
      </c>
      <c r="J485" t="s">
        <v>876</v>
      </c>
      <c r="K485" t="s">
        <v>74</v>
      </c>
      <c r="L485" t="s">
        <v>74</v>
      </c>
      <c r="M485" t="s">
        <v>78</v>
      </c>
      <c r="N485" t="s">
        <v>79</v>
      </c>
      <c r="O485" t="s">
        <v>74</v>
      </c>
      <c r="P485" t="s">
        <v>74</v>
      </c>
      <c r="Q485" t="s">
        <v>74</v>
      </c>
      <c r="R485" t="s">
        <v>74</v>
      </c>
      <c r="S485" t="s">
        <v>74</v>
      </c>
      <c r="T485" t="s">
        <v>9553</v>
      </c>
      <c r="U485" t="s">
        <v>9554</v>
      </c>
      <c r="V485" t="s">
        <v>9555</v>
      </c>
      <c r="W485" t="s">
        <v>9556</v>
      </c>
      <c r="X485" t="s">
        <v>9557</v>
      </c>
      <c r="Y485" t="s">
        <v>9558</v>
      </c>
      <c r="Z485" t="s">
        <v>74</v>
      </c>
      <c r="AA485" t="s">
        <v>9559</v>
      </c>
      <c r="AB485" t="s">
        <v>9560</v>
      </c>
      <c r="AC485" t="s">
        <v>9561</v>
      </c>
      <c r="AD485" t="s">
        <v>9562</v>
      </c>
      <c r="AE485" t="s">
        <v>9563</v>
      </c>
      <c r="AF485" t="s">
        <v>74</v>
      </c>
      <c r="AG485">
        <v>83</v>
      </c>
      <c r="AH485">
        <v>41</v>
      </c>
      <c r="AI485">
        <v>42</v>
      </c>
      <c r="AJ485">
        <v>1</v>
      </c>
      <c r="AK485">
        <v>19</v>
      </c>
      <c r="AL485" t="s">
        <v>303</v>
      </c>
      <c r="AM485" t="s">
        <v>304</v>
      </c>
      <c r="AN485" t="s">
        <v>305</v>
      </c>
      <c r="AO485" t="s">
        <v>889</v>
      </c>
      <c r="AP485" t="s">
        <v>890</v>
      </c>
      <c r="AQ485" t="s">
        <v>74</v>
      </c>
      <c r="AR485" t="s">
        <v>891</v>
      </c>
      <c r="AS485" t="s">
        <v>892</v>
      </c>
      <c r="AT485" t="s">
        <v>9527</v>
      </c>
      <c r="AU485">
        <v>2016</v>
      </c>
      <c r="AV485">
        <v>187</v>
      </c>
      <c r="AW485" t="s">
        <v>74</v>
      </c>
      <c r="AX485" t="s">
        <v>74</v>
      </c>
      <c r="AY485" t="s">
        <v>74</v>
      </c>
      <c r="AZ485" t="s">
        <v>74</v>
      </c>
      <c r="BA485" t="s">
        <v>74</v>
      </c>
      <c r="BB485">
        <v>237</v>
      </c>
      <c r="BC485">
        <v>259</v>
      </c>
      <c r="BD485" t="s">
        <v>74</v>
      </c>
      <c r="BE485" t="s">
        <v>9564</v>
      </c>
      <c r="BF485" t="str">
        <f>HYPERLINK("http://dx.doi.org/10.1016/j.gca.2016.05.008","http://dx.doi.org/10.1016/j.gca.2016.05.008")</f>
        <v>http://dx.doi.org/10.1016/j.gca.2016.05.008</v>
      </c>
      <c r="BG485" t="s">
        <v>74</v>
      </c>
      <c r="BH485" t="s">
        <v>74</v>
      </c>
      <c r="BI485">
        <v>23</v>
      </c>
      <c r="BJ485" t="s">
        <v>155</v>
      </c>
      <c r="BK485" t="s">
        <v>156</v>
      </c>
      <c r="BL485" t="s">
        <v>155</v>
      </c>
      <c r="BM485" t="s">
        <v>9548</v>
      </c>
      <c r="BN485" t="s">
        <v>74</v>
      </c>
      <c r="BO485" t="s">
        <v>8418</v>
      </c>
      <c r="BP485" t="s">
        <v>74</v>
      </c>
      <c r="BQ485" t="s">
        <v>74</v>
      </c>
      <c r="BR485" t="s">
        <v>105</v>
      </c>
      <c r="BS485" t="s">
        <v>9565</v>
      </c>
      <c r="BT485" t="str">
        <f>HYPERLINK("https%3A%2F%2Fwww.webofscience.com%2Fwos%2Fwoscc%2Ffull-record%2FWOS:000379737800012","View Full Record in Web of Science")</f>
        <v>View Full Record in Web of Science</v>
      </c>
    </row>
    <row r="486" spans="1:72" x14ac:dyDescent="0.15">
      <c r="A486" t="s">
        <v>72</v>
      </c>
      <c r="B486" t="s">
        <v>9566</v>
      </c>
      <c r="C486" t="s">
        <v>74</v>
      </c>
      <c r="D486" t="s">
        <v>74</v>
      </c>
      <c r="E486" t="s">
        <v>74</v>
      </c>
      <c r="F486" t="s">
        <v>9567</v>
      </c>
      <c r="G486" t="s">
        <v>74</v>
      </c>
      <c r="H486" t="s">
        <v>74</v>
      </c>
      <c r="I486" t="s">
        <v>9568</v>
      </c>
      <c r="J486" t="s">
        <v>1654</v>
      </c>
      <c r="K486" t="s">
        <v>74</v>
      </c>
      <c r="L486" t="s">
        <v>74</v>
      </c>
      <c r="M486" t="s">
        <v>78</v>
      </c>
      <c r="N486" t="s">
        <v>79</v>
      </c>
      <c r="O486" t="s">
        <v>74</v>
      </c>
      <c r="P486" t="s">
        <v>74</v>
      </c>
      <c r="Q486" t="s">
        <v>74</v>
      </c>
      <c r="R486" t="s">
        <v>74</v>
      </c>
      <c r="S486" t="s">
        <v>74</v>
      </c>
      <c r="T486" t="s">
        <v>9569</v>
      </c>
      <c r="U486" t="s">
        <v>9570</v>
      </c>
      <c r="V486" t="s">
        <v>9571</v>
      </c>
      <c r="W486" t="s">
        <v>9572</v>
      </c>
      <c r="X486" t="s">
        <v>9573</v>
      </c>
      <c r="Y486" t="s">
        <v>9574</v>
      </c>
      <c r="Z486" t="s">
        <v>9575</v>
      </c>
      <c r="AA486" t="s">
        <v>9576</v>
      </c>
      <c r="AB486" t="s">
        <v>9577</v>
      </c>
      <c r="AC486" t="s">
        <v>9578</v>
      </c>
      <c r="AD486" t="s">
        <v>9579</v>
      </c>
      <c r="AE486" t="s">
        <v>9580</v>
      </c>
      <c r="AF486" t="s">
        <v>74</v>
      </c>
      <c r="AG486">
        <v>154</v>
      </c>
      <c r="AH486">
        <v>39</v>
      </c>
      <c r="AI486">
        <v>40</v>
      </c>
      <c r="AJ486">
        <v>3</v>
      </c>
      <c r="AK486">
        <v>57</v>
      </c>
      <c r="AL486" t="s">
        <v>303</v>
      </c>
      <c r="AM486" t="s">
        <v>304</v>
      </c>
      <c r="AN486" t="s">
        <v>305</v>
      </c>
      <c r="AO486" t="s">
        <v>1666</v>
      </c>
      <c r="AP486" t="s">
        <v>1667</v>
      </c>
      <c r="AQ486" t="s">
        <v>74</v>
      </c>
      <c r="AR486" t="s">
        <v>1668</v>
      </c>
      <c r="AS486" t="s">
        <v>1669</v>
      </c>
      <c r="AT486" t="s">
        <v>9527</v>
      </c>
      <c r="AU486">
        <v>2016</v>
      </c>
      <c r="AV486">
        <v>146</v>
      </c>
      <c r="AW486" t="s">
        <v>74</v>
      </c>
      <c r="AX486" t="s">
        <v>74</v>
      </c>
      <c r="AY486" t="s">
        <v>74</v>
      </c>
      <c r="AZ486" t="s">
        <v>74</v>
      </c>
      <c r="BA486" t="s">
        <v>74</v>
      </c>
      <c r="BB486">
        <v>216</v>
      </c>
      <c r="BC486">
        <v>237</v>
      </c>
      <c r="BD486" t="s">
        <v>74</v>
      </c>
      <c r="BE486" t="s">
        <v>9581</v>
      </c>
      <c r="BF486" t="str">
        <f>HYPERLINK("http://dx.doi.org/10.1016/j.quascirev.2016.06.006","http://dx.doi.org/10.1016/j.quascirev.2016.06.006")</f>
        <v>http://dx.doi.org/10.1016/j.quascirev.2016.06.006</v>
      </c>
      <c r="BG486" t="s">
        <v>74</v>
      </c>
      <c r="BH486" t="s">
        <v>74</v>
      </c>
      <c r="BI486">
        <v>22</v>
      </c>
      <c r="BJ486" t="s">
        <v>203</v>
      </c>
      <c r="BK486" t="s">
        <v>156</v>
      </c>
      <c r="BL486" t="s">
        <v>204</v>
      </c>
      <c r="BM486" t="s">
        <v>9582</v>
      </c>
      <c r="BN486" t="s">
        <v>74</v>
      </c>
      <c r="BO486" t="s">
        <v>74</v>
      </c>
      <c r="BP486" t="s">
        <v>74</v>
      </c>
      <c r="BQ486" t="s">
        <v>74</v>
      </c>
      <c r="BR486" t="s">
        <v>105</v>
      </c>
      <c r="BS486" t="s">
        <v>9583</v>
      </c>
      <c r="BT486" t="str">
        <f>HYPERLINK("https%3A%2F%2Fwww.webofscience.com%2Fwos%2Fwoscc%2Ffull-record%2FWOS:000381234000012","View Full Record in Web of Science")</f>
        <v>View Full Record in Web of Science</v>
      </c>
    </row>
    <row r="487" spans="1:72" x14ac:dyDescent="0.15">
      <c r="A487" t="s">
        <v>72</v>
      </c>
      <c r="B487" t="s">
        <v>9584</v>
      </c>
      <c r="C487" t="s">
        <v>74</v>
      </c>
      <c r="D487" t="s">
        <v>74</v>
      </c>
      <c r="E487" t="s">
        <v>74</v>
      </c>
      <c r="F487" t="s">
        <v>9585</v>
      </c>
      <c r="G487" t="s">
        <v>74</v>
      </c>
      <c r="H487" t="s">
        <v>74</v>
      </c>
      <c r="I487" t="s">
        <v>9586</v>
      </c>
      <c r="J487" t="s">
        <v>966</v>
      </c>
      <c r="K487" t="s">
        <v>74</v>
      </c>
      <c r="L487" t="s">
        <v>74</v>
      </c>
      <c r="M487" t="s">
        <v>78</v>
      </c>
      <c r="N487" t="s">
        <v>79</v>
      </c>
      <c r="O487" t="s">
        <v>74</v>
      </c>
      <c r="P487" t="s">
        <v>74</v>
      </c>
      <c r="Q487" t="s">
        <v>74</v>
      </c>
      <c r="R487" t="s">
        <v>74</v>
      </c>
      <c r="S487" t="s">
        <v>74</v>
      </c>
      <c r="T487" t="s">
        <v>9587</v>
      </c>
      <c r="U487" t="s">
        <v>9588</v>
      </c>
      <c r="V487" t="s">
        <v>9589</v>
      </c>
      <c r="W487" t="s">
        <v>9590</v>
      </c>
      <c r="X487" t="s">
        <v>9591</v>
      </c>
      <c r="Y487" t="s">
        <v>9592</v>
      </c>
      <c r="Z487" t="s">
        <v>9593</v>
      </c>
      <c r="AA487" t="s">
        <v>9594</v>
      </c>
      <c r="AB487" t="s">
        <v>9595</v>
      </c>
      <c r="AC487" t="s">
        <v>9596</v>
      </c>
      <c r="AD487" t="s">
        <v>9597</v>
      </c>
      <c r="AE487" t="s">
        <v>9598</v>
      </c>
      <c r="AF487" t="s">
        <v>74</v>
      </c>
      <c r="AG487">
        <v>33</v>
      </c>
      <c r="AH487">
        <v>21</v>
      </c>
      <c r="AI487">
        <v>21</v>
      </c>
      <c r="AJ487">
        <v>1</v>
      </c>
      <c r="AK487">
        <v>46</v>
      </c>
      <c r="AL487" t="s">
        <v>196</v>
      </c>
      <c r="AM487" t="s">
        <v>93</v>
      </c>
      <c r="AN487" t="s">
        <v>197</v>
      </c>
      <c r="AO487" t="s">
        <v>979</v>
      </c>
      <c r="AP487" t="s">
        <v>980</v>
      </c>
      <c r="AQ487" t="s">
        <v>74</v>
      </c>
      <c r="AR487" t="s">
        <v>981</v>
      </c>
      <c r="AS487" t="s">
        <v>982</v>
      </c>
      <c r="AT487" t="s">
        <v>9527</v>
      </c>
      <c r="AU487">
        <v>2016</v>
      </c>
      <c r="AV487">
        <v>562</v>
      </c>
      <c r="AW487" t="s">
        <v>74</v>
      </c>
      <c r="AX487" t="s">
        <v>74</v>
      </c>
      <c r="AY487" t="s">
        <v>74</v>
      </c>
      <c r="AZ487" t="s">
        <v>74</v>
      </c>
      <c r="BA487" t="s">
        <v>74</v>
      </c>
      <c r="BB487">
        <v>802</v>
      </c>
      <c r="BC487">
        <v>811</v>
      </c>
      <c r="BD487" t="s">
        <v>74</v>
      </c>
      <c r="BE487" t="s">
        <v>9599</v>
      </c>
      <c r="BF487" t="str">
        <f>HYPERLINK("http://dx.doi.org/10.1016/j.scitotenv.2016.04.043","http://dx.doi.org/10.1016/j.scitotenv.2016.04.043")</f>
        <v>http://dx.doi.org/10.1016/j.scitotenv.2016.04.043</v>
      </c>
      <c r="BG487" t="s">
        <v>74</v>
      </c>
      <c r="BH487" t="s">
        <v>74</v>
      </c>
      <c r="BI487">
        <v>10</v>
      </c>
      <c r="BJ487" t="s">
        <v>846</v>
      </c>
      <c r="BK487" t="s">
        <v>156</v>
      </c>
      <c r="BL487" t="s">
        <v>532</v>
      </c>
      <c r="BM487" t="s">
        <v>9600</v>
      </c>
      <c r="BN487">
        <v>27110991</v>
      </c>
      <c r="BO487" t="s">
        <v>1002</v>
      </c>
      <c r="BP487" t="s">
        <v>74</v>
      </c>
      <c r="BQ487" t="s">
        <v>74</v>
      </c>
      <c r="BR487" t="s">
        <v>105</v>
      </c>
      <c r="BS487" t="s">
        <v>9601</v>
      </c>
      <c r="BT487" t="str">
        <f>HYPERLINK("https%3A%2F%2Fwww.webofscience.com%2Fwos%2Fwoscc%2Ffull-record%2FWOS:000377372400078","View Full Record in Web of Science")</f>
        <v>View Full Record in Web of Science</v>
      </c>
    </row>
    <row r="488" spans="1:72" x14ac:dyDescent="0.15">
      <c r="A488" t="s">
        <v>72</v>
      </c>
      <c r="B488" t="s">
        <v>9602</v>
      </c>
      <c r="C488" t="s">
        <v>74</v>
      </c>
      <c r="D488" t="s">
        <v>74</v>
      </c>
      <c r="E488" t="s">
        <v>74</v>
      </c>
      <c r="F488" t="s">
        <v>9603</v>
      </c>
      <c r="G488" t="s">
        <v>74</v>
      </c>
      <c r="H488" t="s">
        <v>74</v>
      </c>
      <c r="I488" t="s">
        <v>9604</v>
      </c>
      <c r="J488" t="s">
        <v>900</v>
      </c>
      <c r="K488" t="s">
        <v>74</v>
      </c>
      <c r="L488" t="s">
        <v>74</v>
      </c>
      <c r="M488" t="s">
        <v>78</v>
      </c>
      <c r="N488" t="s">
        <v>79</v>
      </c>
      <c r="O488" t="s">
        <v>74</v>
      </c>
      <c r="P488" t="s">
        <v>74</v>
      </c>
      <c r="Q488" t="s">
        <v>74</v>
      </c>
      <c r="R488" t="s">
        <v>74</v>
      </c>
      <c r="S488" t="s">
        <v>74</v>
      </c>
      <c r="T488" t="s">
        <v>9605</v>
      </c>
      <c r="U488" t="s">
        <v>9606</v>
      </c>
      <c r="V488" t="s">
        <v>9607</v>
      </c>
      <c r="W488" t="s">
        <v>9608</v>
      </c>
      <c r="X488" t="s">
        <v>9609</v>
      </c>
      <c r="Y488" t="s">
        <v>9610</v>
      </c>
      <c r="Z488" t="s">
        <v>9611</v>
      </c>
      <c r="AA488" t="s">
        <v>9612</v>
      </c>
      <c r="AB488" t="s">
        <v>9613</v>
      </c>
      <c r="AC488" t="s">
        <v>9614</v>
      </c>
      <c r="AD488" t="s">
        <v>9615</v>
      </c>
      <c r="AE488" t="s">
        <v>9616</v>
      </c>
      <c r="AF488" t="s">
        <v>74</v>
      </c>
      <c r="AG488">
        <v>67</v>
      </c>
      <c r="AH488">
        <v>61</v>
      </c>
      <c r="AI488">
        <v>65</v>
      </c>
      <c r="AJ488">
        <v>0</v>
      </c>
      <c r="AK488">
        <v>50</v>
      </c>
      <c r="AL488" t="s">
        <v>196</v>
      </c>
      <c r="AM488" t="s">
        <v>93</v>
      </c>
      <c r="AN488" t="s">
        <v>197</v>
      </c>
      <c r="AO488" t="s">
        <v>913</v>
      </c>
      <c r="AP488" t="s">
        <v>914</v>
      </c>
      <c r="AQ488" t="s">
        <v>74</v>
      </c>
      <c r="AR488" t="s">
        <v>915</v>
      </c>
      <c r="AS488" t="s">
        <v>916</v>
      </c>
      <c r="AT488" t="s">
        <v>9527</v>
      </c>
      <c r="AU488">
        <v>2016</v>
      </c>
      <c r="AV488">
        <v>448</v>
      </c>
      <c r="AW488" t="s">
        <v>74</v>
      </c>
      <c r="AX488" t="s">
        <v>74</v>
      </c>
      <c r="AY488" t="s">
        <v>74</v>
      </c>
      <c r="AZ488" t="s">
        <v>74</v>
      </c>
      <c r="BA488" t="s">
        <v>74</v>
      </c>
      <c r="BB488">
        <v>34</v>
      </c>
      <c r="BC488">
        <v>41</v>
      </c>
      <c r="BD488" t="s">
        <v>74</v>
      </c>
      <c r="BE488" t="s">
        <v>9617</v>
      </c>
      <c r="BF488" t="str">
        <f>HYPERLINK("http://dx.doi.org/10.1016/j.epsl.2016.05.019","http://dx.doi.org/10.1016/j.epsl.2016.05.019")</f>
        <v>http://dx.doi.org/10.1016/j.epsl.2016.05.019</v>
      </c>
      <c r="BG488" t="s">
        <v>74</v>
      </c>
      <c r="BH488" t="s">
        <v>74</v>
      </c>
      <c r="BI488">
        <v>8</v>
      </c>
      <c r="BJ488" t="s">
        <v>155</v>
      </c>
      <c r="BK488" t="s">
        <v>156</v>
      </c>
      <c r="BL488" t="s">
        <v>155</v>
      </c>
      <c r="BM488" t="s">
        <v>9618</v>
      </c>
      <c r="BN488" t="s">
        <v>74</v>
      </c>
      <c r="BO488" t="s">
        <v>104</v>
      </c>
      <c r="BP488" t="s">
        <v>74</v>
      </c>
      <c r="BQ488" t="s">
        <v>74</v>
      </c>
      <c r="BR488" t="s">
        <v>105</v>
      </c>
      <c r="BS488" t="s">
        <v>9619</v>
      </c>
      <c r="BT488" t="str">
        <f>HYPERLINK("https%3A%2F%2Fwww.webofscience.com%2Fwos%2Fwoscc%2Ffull-record%2FWOS:000378457600004","View Full Record in Web of Science")</f>
        <v>View Full Record in Web of Science</v>
      </c>
    </row>
    <row r="489" spans="1:72" x14ac:dyDescent="0.15">
      <c r="A489" t="s">
        <v>72</v>
      </c>
      <c r="B489" t="s">
        <v>9620</v>
      </c>
      <c r="C489" t="s">
        <v>74</v>
      </c>
      <c r="D489" t="s">
        <v>74</v>
      </c>
      <c r="E489" t="s">
        <v>74</v>
      </c>
      <c r="F489" t="s">
        <v>9621</v>
      </c>
      <c r="G489" t="s">
        <v>74</v>
      </c>
      <c r="H489" t="s">
        <v>74</v>
      </c>
      <c r="I489" t="s">
        <v>9622</v>
      </c>
      <c r="J489" t="s">
        <v>1921</v>
      </c>
      <c r="K489" t="s">
        <v>74</v>
      </c>
      <c r="L489" t="s">
        <v>74</v>
      </c>
      <c r="M489" t="s">
        <v>78</v>
      </c>
      <c r="N489" t="s">
        <v>79</v>
      </c>
      <c r="O489" t="s">
        <v>74</v>
      </c>
      <c r="P489" t="s">
        <v>74</v>
      </c>
      <c r="Q489" t="s">
        <v>74</v>
      </c>
      <c r="R489" t="s">
        <v>74</v>
      </c>
      <c r="S489" t="s">
        <v>74</v>
      </c>
      <c r="T489" t="s">
        <v>74</v>
      </c>
      <c r="U489" t="s">
        <v>9623</v>
      </c>
      <c r="V489" t="s">
        <v>9624</v>
      </c>
      <c r="W489" t="s">
        <v>9625</v>
      </c>
      <c r="X489" t="s">
        <v>9626</v>
      </c>
      <c r="Y489" t="s">
        <v>9627</v>
      </c>
      <c r="Z489" t="s">
        <v>9628</v>
      </c>
      <c r="AA489" t="s">
        <v>9629</v>
      </c>
      <c r="AB489" t="s">
        <v>9630</v>
      </c>
      <c r="AC489" t="s">
        <v>9631</v>
      </c>
      <c r="AD489" t="s">
        <v>9632</v>
      </c>
      <c r="AE489" t="s">
        <v>9633</v>
      </c>
      <c r="AF489" t="s">
        <v>74</v>
      </c>
      <c r="AG489">
        <v>84</v>
      </c>
      <c r="AH489">
        <v>21</v>
      </c>
      <c r="AI489">
        <v>25</v>
      </c>
      <c r="AJ489">
        <v>0</v>
      </c>
      <c r="AK489">
        <v>3</v>
      </c>
      <c r="AL489" t="s">
        <v>1305</v>
      </c>
      <c r="AM489" t="s">
        <v>1306</v>
      </c>
      <c r="AN489" t="s">
        <v>1307</v>
      </c>
      <c r="AO489" t="s">
        <v>1933</v>
      </c>
      <c r="AP489" t="s">
        <v>1934</v>
      </c>
      <c r="AQ489" t="s">
        <v>74</v>
      </c>
      <c r="AR489" t="s">
        <v>1935</v>
      </c>
      <c r="AS489" t="s">
        <v>1936</v>
      </c>
      <c r="AT489" t="s">
        <v>9634</v>
      </c>
      <c r="AU489">
        <v>2016</v>
      </c>
      <c r="AV489">
        <v>9</v>
      </c>
      <c r="AW489">
        <v>8</v>
      </c>
      <c r="AX489" t="s">
        <v>74</v>
      </c>
      <c r="AY489" t="s">
        <v>74</v>
      </c>
      <c r="AZ489" t="s">
        <v>74</v>
      </c>
      <c r="BA489" t="s">
        <v>74</v>
      </c>
      <c r="BB489">
        <v>2665</v>
      </c>
      <c r="BC489">
        <v>2684</v>
      </c>
      <c r="BD489" t="s">
        <v>74</v>
      </c>
      <c r="BE489" t="s">
        <v>9635</v>
      </c>
      <c r="BF489" t="str">
        <f>HYPERLINK("http://dx.doi.org/10.5194/gmd-9-2665-2016","http://dx.doi.org/10.5194/gmd-9-2665-2016")</f>
        <v>http://dx.doi.org/10.5194/gmd-9-2665-2016</v>
      </c>
      <c r="BG489" t="s">
        <v>74</v>
      </c>
      <c r="BH489" t="s">
        <v>74</v>
      </c>
      <c r="BI489">
        <v>20</v>
      </c>
      <c r="BJ489" t="s">
        <v>352</v>
      </c>
      <c r="BK489" t="s">
        <v>156</v>
      </c>
      <c r="BL489" t="s">
        <v>177</v>
      </c>
      <c r="BM489" t="s">
        <v>9636</v>
      </c>
      <c r="BN489" t="s">
        <v>74</v>
      </c>
      <c r="BO489" t="s">
        <v>1467</v>
      </c>
      <c r="BP489" t="s">
        <v>74</v>
      </c>
      <c r="BQ489" t="s">
        <v>74</v>
      </c>
      <c r="BR489" t="s">
        <v>105</v>
      </c>
      <c r="BS489" t="s">
        <v>9637</v>
      </c>
      <c r="BT489" t="str">
        <f>HYPERLINK("https%3A%2F%2Fwww.webofscience.com%2Fwos%2Fwoscc%2Ffull-record%2FWOS:000383202600001","View Full Record in Web of Science")</f>
        <v>View Full Record in Web of Science</v>
      </c>
    </row>
    <row r="490" spans="1:72" x14ac:dyDescent="0.15">
      <c r="A490" t="s">
        <v>72</v>
      </c>
      <c r="B490" t="s">
        <v>9638</v>
      </c>
      <c r="C490" t="s">
        <v>74</v>
      </c>
      <c r="D490" t="s">
        <v>74</v>
      </c>
      <c r="E490" t="s">
        <v>74</v>
      </c>
      <c r="F490" t="s">
        <v>9639</v>
      </c>
      <c r="G490" t="s">
        <v>74</v>
      </c>
      <c r="H490" t="s">
        <v>74</v>
      </c>
      <c r="I490" t="s">
        <v>9640</v>
      </c>
      <c r="J490" t="s">
        <v>1560</v>
      </c>
      <c r="K490" t="s">
        <v>74</v>
      </c>
      <c r="L490" t="s">
        <v>74</v>
      </c>
      <c r="M490" t="s">
        <v>78</v>
      </c>
      <c r="N490" t="s">
        <v>79</v>
      </c>
      <c r="O490" t="s">
        <v>74</v>
      </c>
      <c r="P490" t="s">
        <v>74</v>
      </c>
      <c r="Q490" t="s">
        <v>74</v>
      </c>
      <c r="R490" t="s">
        <v>74</v>
      </c>
      <c r="S490" t="s">
        <v>74</v>
      </c>
      <c r="T490" t="s">
        <v>9641</v>
      </c>
      <c r="U490" t="s">
        <v>9642</v>
      </c>
      <c r="V490" t="s">
        <v>9643</v>
      </c>
      <c r="W490" t="s">
        <v>9644</v>
      </c>
      <c r="X490" t="s">
        <v>9645</v>
      </c>
      <c r="Y490" t="s">
        <v>9646</v>
      </c>
      <c r="Z490" t="s">
        <v>9647</v>
      </c>
      <c r="AA490" t="s">
        <v>74</v>
      </c>
      <c r="AB490" t="s">
        <v>9648</v>
      </c>
      <c r="AC490" t="s">
        <v>9649</v>
      </c>
      <c r="AD490" t="s">
        <v>9650</v>
      </c>
      <c r="AE490" t="s">
        <v>9651</v>
      </c>
      <c r="AF490" t="s">
        <v>74</v>
      </c>
      <c r="AG490">
        <v>67</v>
      </c>
      <c r="AH490">
        <v>7</v>
      </c>
      <c r="AI490">
        <v>8</v>
      </c>
      <c r="AJ490">
        <v>0</v>
      </c>
      <c r="AK490">
        <v>22</v>
      </c>
      <c r="AL490" t="s">
        <v>1572</v>
      </c>
      <c r="AM490" t="s">
        <v>1573</v>
      </c>
      <c r="AN490" t="s">
        <v>1574</v>
      </c>
      <c r="AO490" t="s">
        <v>1575</v>
      </c>
      <c r="AP490" t="s">
        <v>1576</v>
      </c>
      <c r="AQ490" t="s">
        <v>74</v>
      </c>
      <c r="AR490" t="s">
        <v>1560</v>
      </c>
      <c r="AS490" t="s">
        <v>1577</v>
      </c>
      <c r="AT490" t="s">
        <v>9634</v>
      </c>
      <c r="AU490">
        <v>2016</v>
      </c>
      <c r="AV490">
        <v>270</v>
      </c>
      <c r="AW490">
        <v>1</v>
      </c>
      <c r="AX490" t="s">
        <v>74</v>
      </c>
      <c r="AY490" t="s">
        <v>74</v>
      </c>
      <c r="AZ490" t="s">
        <v>74</v>
      </c>
      <c r="BA490" t="s">
        <v>74</v>
      </c>
      <c r="BB490">
        <v>1</v>
      </c>
      <c r="BC490">
        <v>24</v>
      </c>
      <c r="BD490" t="s">
        <v>74</v>
      </c>
      <c r="BE490" t="s">
        <v>9652</v>
      </c>
      <c r="BF490" t="str">
        <f>HYPERLINK("http://dx.doi.org/10.11646/phytotaxa.270.1.1","http://dx.doi.org/10.11646/phytotaxa.270.1.1")</f>
        <v>http://dx.doi.org/10.11646/phytotaxa.270.1.1</v>
      </c>
      <c r="BG490" t="s">
        <v>74</v>
      </c>
      <c r="BH490" t="s">
        <v>74</v>
      </c>
      <c r="BI490">
        <v>24</v>
      </c>
      <c r="BJ490" t="s">
        <v>1580</v>
      </c>
      <c r="BK490" t="s">
        <v>156</v>
      </c>
      <c r="BL490" t="s">
        <v>1580</v>
      </c>
      <c r="BM490" t="s">
        <v>9653</v>
      </c>
      <c r="BN490" t="s">
        <v>74</v>
      </c>
      <c r="BO490" t="s">
        <v>258</v>
      </c>
      <c r="BP490" t="s">
        <v>74</v>
      </c>
      <c r="BQ490" t="s">
        <v>74</v>
      </c>
      <c r="BR490" t="s">
        <v>105</v>
      </c>
      <c r="BS490" t="s">
        <v>9654</v>
      </c>
      <c r="BT490" t="str">
        <f>HYPERLINK("https%3A%2F%2Fwww.webofscience.com%2Fwos%2Fwoscc%2Ffull-record%2FWOS:000382034100001","View Full Record in Web of Science")</f>
        <v>View Full Record in Web of Science</v>
      </c>
    </row>
    <row r="491" spans="1:72" x14ac:dyDescent="0.15">
      <c r="A491" t="s">
        <v>72</v>
      </c>
      <c r="B491" t="s">
        <v>9655</v>
      </c>
      <c r="C491" t="s">
        <v>74</v>
      </c>
      <c r="D491" t="s">
        <v>74</v>
      </c>
      <c r="E491" t="s">
        <v>74</v>
      </c>
      <c r="F491" t="s">
        <v>9656</v>
      </c>
      <c r="G491" t="s">
        <v>74</v>
      </c>
      <c r="H491" t="s">
        <v>74</v>
      </c>
      <c r="I491" t="s">
        <v>9657</v>
      </c>
      <c r="J491" t="s">
        <v>4778</v>
      </c>
      <c r="K491" t="s">
        <v>74</v>
      </c>
      <c r="L491" t="s">
        <v>74</v>
      </c>
      <c r="M491" t="s">
        <v>78</v>
      </c>
      <c r="N491" t="s">
        <v>2713</v>
      </c>
      <c r="O491" t="s">
        <v>74</v>
      </c>
      <c r="P491" t="s">
        <v>74</v>
      </c>
      <c r="Q491" t="s">
        <v>74</v>
      </c>
      <c r="R491" t="s">
        <v>74</v>
      </c>
      <c r="S491" t="s">
        <v>74</v>
      </c>
      <c r="T491" t="s">
        <v>74</v>
      </c>
      <c r="U491" t="s">
        <v>74</v>
      </c>
      <c r="V491" t="s">
        <v>74</v>
      </c>
      <c r="W491" t="s">
        <v>9658</v>
      </c>
      <c r="X491" t="s">
        <v>9659</v>
      </c>
      <c r="Y491" t="s">
        <v>9660</v>
      </c>
      <c r="Z491" t="s">
        <v>9661</v>
      </c>
      <c r="AA491" t="s">
        <v>9662</v>
      </c>
      <c r="AB491" t="s">
        <v>9663</v>
      </c>
      <c r="AC491" t="s">
        <v>74</v>
      </c>
      <c r="AD491" t="s">
        <v>74</v>
      </c>
      <c r="AE491" t="s">
        <v>74</v>
      </c>
      <c r="AF491" t="s">
        <v>74</v>
      </c>
      <c r="AG491">
        <v>0</v>
      </c>
      <c r="AH491">
        <v>4</v>
      </c>
      <c r="AI491">
        <v>4</v>
      </c>
      <c r="AJ491">
        <v>0</v>
      </c>
      <c r="AK491">
        <v>2</v>
      </c>
      <c r="AL491" t="s">
        <v>275</v>
      </c>
      <c r="AM491" t="s">
        <v>250</v>
      </c>
      <c r="AN491" t="s">
        <v>276</v>
      </c>
      <c r="AO491" t="s">
        <v>4790</v>
      </c>
      <c r="AP491" t="s">
        <v>4791</v>
      </c>
      <c r="AQ491" t="s">
        <v>74</v>
      </c>
      <c r="AR491" t="s">
        <v>4778</v>
      </c>
      <c r="AS491" t="s">
        <v>4792</v>
      </c>
      <c r="AT491" t="s">
        <v>9664</v>
      </c>
      <c r="AU491">
        <v>2016</v>
      </c>
      <c r="AV491">
        <v>536</v>
      </c>
      <c r="AW491">
        <v>7615</v>
      </c>
      <c r="AX491" t="s">
        <v>74</v>
      </c>
      <c r="AY491" t="s">
        <v>74</v>
      </c>
      <c r="AZ491" t="s">
        <v>74</v>
      </c>
      <c r="BA491" t="s">
        <v>74</v>
      </c>
      <c r="BB491">
        <v>148</v>
      </c>
      <c r="BC491">
        <v>148</v>
      </c>
      <c r="BD491" t="s">
        <v>74</v>
      </c>
      <c r="BE491" t="s">
        <v>9665</v>
      </c>
      <c r="BF491" t="str">
        <f>HYPERLINK("http://dx.doi.org/10.1038/536148b","http://dx.doi.org/10.1038/536148b")</f>
        <v>http://dx.doi.org/10.1038/536148b</v>
      </c>
      <c r="BG491" t="s">
        <v>74</v>
      </c>
      <c r="BH491" t="s">
        <v>74</v>
      </c>
      <c r="BI491">
        <v>1</v>
      </c>
      <c r="BJ491" t="s">
        <v>719</v>
      </c>
      <c r="BK491" t="s">
        <v>156</v>
      </c>
      <c r="BL491" t="s">
        <v>720</v>
      </c>
      <c r="BM491" t="s">
        <v>9666</v>
      </c>
      <c r="BN491">
        <v>27510214</v>
      </c>
      <c r="BO491" t="s">
        <v>2617</v>
      </c>
      <c r="BP491" t="s">
        <v>74</v>
      </c>
      <c r="BQ491" t="s">
        <v>74</v>
      </c>
      <c r="BR491" t="s">
        <v>105</v>
      </c>
      <c r="BS491" t="s">
        <v>9667</v>
      </c>
      <c r="BT491" t="str">
        <f>HYPERLINK("https%3A%2F%2Fwww.webofscience.com%2Fwos%2Fwoscc%2Ffull-record%2FWOS:000381472100016","View Full Record in Web of Science")</f>
        <v>View Full Record in Web of Science</v>
      </c>
    </row>
    <row r="492" spans="1:72" x14ac:dyDescent="0.15">
      <c r="A492" t="s">
        <v>72</v>
      </c>
      <c r="B492" t="s">
        <v>9668</v>
      </c>
      <c r="C492" t="s">
        <v>74</v>
      </c>
      <c r="D492" t="s">
        <v>74</v>
      </c>
      <c r="E492" t="s">
        <v>74</v>
      </c>
      <c r="F492" t="s">
        <v>9669</v>
      </c>
      <c r="G492" t="s">
        <v>74</v>
      </c>
      <c r="H492" t="s">
        <v>74</v>
      </c>
      <c r="I492" t="s">
        <v>9670</v>
      </c>
      <c r="J492" t="s">
        <v>9671</v>
      </c>
      <c r="K492" t="s">
        <v>74</v>
      </c>
      <c r="L492" t="s">
        <v>74</v>
      </c>
      <c r="M492" t="s">
        <v>78</v>
      </c>
      <c r="N492" t="s">
        <v>79</v>
      </c>
      <c r="O492" t="s">
        <v>74</v>
      </c>
      <c r="P492" t="s">
        <v>74</v>
      </c>
      <c r="Q492" t="s">
        <v>74</v>
      </c>
      <c r="R492" t="s">
        <v>74</v>
      </c>
      <c r="S492" t="s">
        <v>74</v>
      </c>
      <c r="T492" t="s">
        <v>74</v>
      </c>
      <c r="U492" t="s">
        <v>9672</v>
      </c>
      <c r="V492" t="s">
        <v>9673</v>
      </c>
      <c r="W492" t="s">
        <v>9674</v>
      </c>
      <c r="X492" t="s">
        <v>9675</v>
      </c>
      <c r="Y492" t="s">
        <v>9676</v>
      </c>
      <c r="Z492" t="s">
        <v>9677</v>
      </c>
      <c r="AA492" t="s">
        <v>9678</v>
      </c>
      <c r="AB492" t="s">
        <v>9679</v>
      </c>
      <c r="AC492" t="s">
        <v>9680</v>
      </c>
      <c r="AD492" t="s">
        <v>9681</v>
      </c>
      <c r="AE492" t="s">
        <v>9682</v>
      </c>
      <c r="AF492" t="s">
        <v>74</v>
      </c>
      <c r="AG492">
        <v>53</v>
      </c>
      <c r="AH492">
        <v>4</v>
      </c>
      <c r="AI492">
        <v>4</v>
      </c>
      <c r="AJ492">
        <v>1</v>
      </c>
      <c r="AK492">
        <v>18</v>
      </c>
      <c r="AL492" t="s">
        <v>1305</v>
      </c>
      <c r="AM492" t="s">
        <v>1306</v>
      </c>
      <c r="AN492" t="s">
        <v>1307</v>
      </c>
      <c r="AO492" t="s">
        <v>9683</v>
      </c>
      <c r="AP492" t="s">
        <v>9684</v>
      </c>
      <c r="AQ492" t="s">
        <v>74</v>
      </c>
      <c r="AR492" t="s">
        <v>9685</v>
      </c>
      <c r="AS492" t="s">
        <v>9686</v>
      </c>
      <c r="AT492" t="s">
        <v>9687</v>
      </c>
      <c r="AU492">
        <v>2016</v>
      </c>
      <c r="AV492">
        <v>9</v>
      </c>
      <c r="AW492">
        <v>8</v>
      </c>
      <c r="AX492" t="s">
        <v>74</v>
      </c>
      <c r="AY492" t="s">
        <v>74</v>
      </c>
      <c r="AZ492" t="s">
        <v>74</v>
      </c>
      <c r="BA492" t="s">
        <v>74</v>
      </c>
      <c r="BB492">
        <v>3687</v>
      </c>
      <c r="BC492">
        <v>3706</v>
      </c>
      <c r="BD492" t="s">
        <v>74</v>
      </c>
      <c r="BE492" t="s">
        <v>9688</v>
      </c>
      <c r="BF492" t="str">
        <f>HYPERLINK("http://dx.doi.org/10.5194/amt-9-3687-2016","http://dx.doi.org/10.5194/amt-9-3687-2016")</f>
        <v>http://dx.doi.org/10.5194/amt-9-3687-2016</v>
      </c>
      <c r="BG492" t="s">
        <v>74</v>
      </c>
      <c r="BH492" t="s">
        <v>74</v>
      </c>
      <c r="BI492">
        <v>20</v>
      </c>
      <c r="BJ492" t="s">
        <v>2482</v>
      </c>
      <c r="BK492" t="s">
        <v>156</v>
      </c>
      <c r="BL492" t="s">
        <v>2482</v>
      </c>
      <c r="BM492" t="s">
        <v>9689</v>
      </c>
      <c r="BN492" t="s">
        <v>74</v>
      </c>
      <c r="BO492" t="s">
        <v>1467</v>
      </c>
      <c r="BP492" t="s">
        <v>74</v>
      </c>
      <c r="BQ492" t="s">
        <v>74</v>
      </c>
      <c r="BR492" t="s">
        <v>105</v>
      </c>
      <c r="BS492" t="s">
        <v>9690</v>
      </c>
      <c r="BT492" t="str">
        <f>HYPERLINK("https%3A%2F%2Fwww.webofscience.com%2Fwos%2Fwoscc%2Ffull-record%2FWOS:000383156800001","View Full Record in Web of Science")</f>
        <v>View Full Record in Web of Science</v>
      </c>
    </row>
    <row r="493" spans="1:72" x14ac:dyDescent="0.15">
      <c r="A493" t="s">
        <v>72</v>
      </c>
      <c r="B493" t="s">
        <v>9691</v>
      </c>
      <c r="C493" t="s">
        <v>74</v>
      </c>
      <c r="D493" t="s">
        <v>74</v>
      </c>
      <c r="E493" t="s">
        <v>74</v>
      </c>
      <c r="F493" t="s">
        <v>9692</v>
      </c>
      <c r="G493" t="s">
        <v>74</v>
      </c>
      <c r="H493" t="s">
        <v>74</v>
      </c>
      <c r="I493" t="s">
        <v>9693</v>
      </c>
      <c r="J493" t="s">
        <v>2078</v>
      </c>
      <c r="K493" t="s">
        <v>74</v>
      </c>
      <c r="L493" t="s">
        <v>74</v>
      </c>
      <c r="M493" t="s">
        <v>78</v>
      </c>
      <c r="N493" t="s">
        <v>79</v>
      </c>
      <c r="O493" t="s">
        <v>74</v>
      </c>
      <c r="P493" t="s">
        <v>74</v>
      </c>
      <c r="Q493" t="s">
        <v>74</v>
      </c>
      <c r="R493" t="s">
        <v>74</v>
      </c>
      <c r="S493" t="s">
        <v>74</v>
      </c>
      <c r="T493" t="s">
        <v>74</v>
      </c>
      <c r="U493" t="s">
        <v>9694</v>
      </c>
      <c r="V493" t="s">
        <v>9695</v>
      </c>
      <c r="W493" t="s">
        <v>9696</v>
      </c>
      <c r="X493" t="s">
        <v>9697</v>
      </c>
      <c r="Y493" t="s">
        <v>9698</v>
      </c>
      <c r="Z493" t="s">
        <v>9699</v>
      </c>
      <c r="AA493" t="s">
        <v>9700</v>
      </c>
      <c r="AB493" t="s">
        <v>9701</v>
      </c>
      <c r="AC493" t="s">
        <v>9702</v>
      </c>
      <c r="AD493" t="s">
        <v>9703</v>
      </c>
      <c r="AE493" t="s">
        <v>9704</v>
      </c>
      <c r="AF493" t="s">
        <v>74</v>
      </c>
      <c r="AG493">
        <v>64</v>
      </c>
      <c r="AH493">
        <v>18</v>
      </c>
      <c r="AI493">
        <v>18</v>
      </c>
      <c r="AJ493">
        <v>0</v>
      </c>
      <c r="AK493">
        <v>20</v>
      </c>
      <c r="AL493" t="s">
        <v>574</v>
      </c>
      <c r="AM493" t="s">
        <v>575</v>
      </c>
      <c r="AN493" t="s">
        <v>576</v>
      </c>
      <c r="AO493" t="s">
        <v>2090</v>
      </c>
      <c r="AP493" t="s">
        <v>74</v>
      </c>
      <c r="AQ493" t="s">
        <v>74</v>
      </c>
      <c r="AR493" t="s">
        <v>2091</v>
      </c>
      <c r="AS493" t="s">
        <v>2092</v>
      </c>
      <c r="AT493" t="s">
        <v>9687</v>
      </c>
      <c r="AU493">
        <v>2016</v>
      </c>
      <c r="AV493">
        <v>6</v>
      </c>
      <c r="AW493" t="s">
        <v>74</v>
      </c>
      <c r="AX493" t="s">
        <v>74</v>
      </c>
      <c r="AY493" t="s">
        <v>74</v>
      </c>
      <c r="AZ493" t="s">
        <v>74</v>
      </c>
      <c r="BA493" t="s">
        <v>74</v>
      </c>
      <c r="BB493" t="s">
        <v>74</v>
      </c>
      <c r="BC493" t="s">
        <v>74</v>
      </c>
      <c r="BD493">
        <v>30647</v>
      </c>
      <c r="BE493" t="s">
        <v>9705</v>
      </c>
      <c r="BF493" t="str">
        <f>HYPERLINK("http://dx.doi.org/10.1038/srep30647","http://dx.doi.org/10.1038/srep30647")</f>
        <v>http://dx.doi.org/10.1038/srep30647</v>
      </c>
      <c r="BG493" t="s">
        <v>74</v>
      </c>
      <c r="BH493" t="s">
        <v>74</v>
      </c>
      <c r="BI493">
        <v>8</v>
      </c>
      <c r="BJ493" t="s">
        <v>719</v>
      </c>
      <c r="BK493" t="s">
        <v>156</v>
      </c>
      <c r="BL493" t="s">
        <v>720</v>
      </c>
      <c r="BM493" t="s">
        <v>9706</v>
      </c>
      <c r="BN493">
        <v>27507793</v>
      </c>
      <c r="BO493" t="s">
        <v>3509</v>
      </c>
      <c r="BP493" t="s">
        <v>74</v>
      </c>
      <c r="BQ493" t="s">
        <v>74</v>
      </c>
      <c r="BR493" t="s">
        <v>105</v>
      </c>
      <c r="BS493" t="s">
        <v>9707</v>
      </c>
      <c r="BT493" t="str">
        <f>HYPERLINK("https%3A%2F%2Fwww.webofscience.com%2Fwos%2Fwoscc%2Ffull-record%2FWOS:000381121600001","View Full Record in Web of Science")</f>
        <v>View Full Record in Web of Science</v>
      </c>
    </row>
    <row r="494" spans="1:72" x14ac:dyDescent="0.15">
      <c r="A494" t="s">
        <v>72</v>
      </c>
      <c r="B494" t="s">
        <v>9708</v>
      </c>
      <c r="C494" t="s">
        <v>74</v>
      </c>
      <c r="D494" t="s">
        <v>74</v>
      </c>
      <c r="E494" t="s">
        <v>74</v>
      </c>
      <c r="F494" t="s">
        <v>9709</v>
      </c>
      <c r="G494" t="s">
        <v>74</v>
      </c>
      <c r="H494" t="s">
        <v>74</v>
      </c>
      <c r="I494" t="s">
        <v>9710</v>
      </c>
      <c r="J494" t="s">
        <v>9671</v>
      </c>
      <c r="K494" t="s">
        <v>74</v>
      </c>
      <c r="L494" t="s">
        <v>74</v>
      </c>
      <c r="M494" t="s">
        <v>78</v>
      </c>
      <c r="N494" t="s">
        <v>79</v>
      </c>
      <c r="O494" t="s">
        <v>74</v>
      </c>
      <c r="P494" t="s">
        <v>74</v>
      </c>
      <c r="Q494" t="s">
        <v>74</v>
      </c>
      <c r="R494" t="s">
        <v>74</v>
      </c>
      <c r="S494" t="s">
        <v>74</v>
      </c>
      <c r="T494" t="s">
        <v>74</v>
      </c>
      <c r="U494" t="s">
        <v>9711</v>
      </c>
      <c r="V494" t="s">
        <v>9712</v>
      </c>
      <c r="W494" t="s">
        <v>9713</v>
      </c>
      <c r="X494" t="s">
        <v>9714</v>
      </c>
      <c r="Y494" t="s">
        <v>9715</v>
      </c>
      <c r="Z494" t="s">
        <v>9716</v>
      </c>
      <c r="AA494" t="s">
        <v>9717</v>
      </c>
      <c r="AB494" t="s">
        <v>9718</v>
      </c>
      <c r="AC494" t="s">
        <v>9719</v>
      </c>
      <c r="AD494" t="s">
        <v>9720</v>
      </c>
      <c r="AE494" t="s">
        <v>9721</v>
      </c>
      <c r="AF494" t="s">
        <v>74</v>
      </c>
      <c r="AG494">
        <v>73</v>
      </c>
      <c r="AH494">
        <v>17</v>
      </c>
      <c r="AI494">
        <v>17</v>
      </c>
      <c r="AJ494">
        <v>0</v>
      </c>
      <c r="AK494">
        <v>16</v>
      </c>
      <c r="AL494" t="s">
        <v>1305</v>
      </c>
      <c r="AM494" t="s">
        <v>1306</v>
      </c>
      <c r="AN494" t="s">
        <v>1307</v>
      </c>
      <c r="AO494" t="s">
        <v>9683</v>
      </c>
      <c r="AP494" t="s">
        <v>9684</v>
      </c>
      <c r="AQ494" t="s">
        <v>74</v>
      </c>
      <c r="AR494" t="s">
        <v>9685</v>
      </c>
      <c r="AS494" t="s">
        <v>9686</v>
      </c>
      <c r="AT494" t="s">
        <v>9722</v>
      </c>
      <c r="AU494">
        <v>2016</v>
      </c>
      <c r="AV494">
        <v>9</v>
      </c>
      <c r="AW494">
        <v>8</v>
      </c>
      <c r="AX494" t="s">
        <v>74</v>
      </c>
      <c r="AY494" t="s">
        <v>74</v>
      </c>
      <c r="AZ494" t="s">
        <v>74</v>
      </c>
      <c r="BA494" t="s">
        <v>74</v>
      </c>
      <c r="BB494">
        <v>3619</v>
      </c>
      <c r="BC494">
        <v>3639</v>
      </c>
      <c r="BD494" t="s">
        <v>74</v>
      </c>
      <c r="BE494" t="s">
        <v>9723</v>
      </c>
      <c r="BF494" t="str">
        <f>HYPERLINK("http://dx.doi.org/10.5194/amt-9-3619-2016","http://dx.doi.org/10.5194/amt-9-3619-2016")</f>
        <v>http://dx.doi.org/10.5194/amt-9-3619-2016</v>
      </c>
      <c r="BG494" t="s">
        <v>74</v>
      </c>
      <c r="BH494" t="s">
        <v>74</v>
      </c>
      <c r="BI494">
        <v>21</v>
      </c>
      <c r="BJ494" t="s">
        <v>2482</v>
      </c>
      <c r="BK494" t="s">
        <v>156</v>
      </c>
      <c r="BL494" t="s">
        <v>2482</v>
      </c>
      <c r="BM494" t="s">
        <v>9724</v>
      </c>
      <c r="BN494" t="s">
        <v>74</v>
      </c>
      <c r="BO494" t="s">
        <v>9725</v>
      </c>
      <c r="BP494" t="s">
        <v>74</v>
      </c>
      <c r="BQ494" t="s">
        <v>74</v>
      </c>
      <c r="BR494" t="s">
        <v>105</v>
      </c>
      <c r="BS494" t="s">
        <v>9726</v>
      </c>
      <c r="BT494" t="str">
        <f>HYPERLINK("https%3A%2F%2Fwww.webofscience.com%2Fwos%2Fwoscc%2Ffull-record%2FWOS:000383146000001","View Full Record in Web of Science")</f>
        <v>View Full Record in Web of Science</v>
      </c>
    </row>
    <row r="495" spans="1:72" x14ac:dyDescent="0.15">
      <c r="A495" t="s">
        <v>72</v>
      </c>
      <c r="B495" t="s">
        <v>9727</v>
      </c>
      <c r="C495" t="s">
        <v>74</v>
      </c>
      <c r="D495" t="s">
        <v>74</v>
      </c>
      <c r="E495" t="s">
        <v>74</v>
      </c>
      <c r="F495" t="s">
        <v>9728</v>
      </c>
      <c r="G495" t="s">
        <v>74</v>
      </c>
      <c r="H495" t="s">
        <v>74</v>
      </c>
      <c r="I495" t="s">
        <v>9729</v>
      </c>
      <c r="J495" t="s">
        <v>9730</v>
      </c>
      <c r="K495" t="s">
        <v>74</v>
      </c>
      <c r="L495" t="s">
        <v>74</v>
      </c>
      <c r="M495" t="s">
        <v>78</v>
      </c>
      <c r="N495" t="s">
        <v>317</v>
      </c>
      <c r="O495" t="s">
        <v>74</v>
      </c>
      <c r="P495" t="s">
        <v>74</v>
      </c>
      <c r="Q495" t="s">
        <v>74</v>
      </c>
      <c r="R495" t="s">
        <v>74</v>
      </c>
      <c r="S495" t="s">
        <v>74</v>
      </c>
      <c r="T495" t="s">
        <v>74</v>
      </c>
      <c r="U495" t="s">
        <v>9731</v>
      </c>
      <c r="V495" t="s">
        <v>9732</v>
      </c>
      <c r="W495" t="s">
        <v>9733</v>
      </c>
      <c r="X495" t="s">
        <v>9734</v>
      </c>
      <c r="Y495" t="s">
        <v>9735</v>
      </c>
      <c r="Z495" t="s">
        <v>9736</v>
      </c>
      <c r="AA495" t="s">
        <v>9737</v>
      </c>
      <c r="AB495" t="s">
        <v>9738</v>
      </c>
      <c r="AC495" t="s">
        <v>9739</v>
      </c>
      <c r="AD495" t="s">
        <v>9740</v>
      </c>
      <c r="AE495" t="s">
        <v>9741</v>
      </c>
      <c r="AF495" t="s">
        <v>74</v>
      </c>
      <c r="AG495">
        <v>374</v>
      </c>
      <c r="AH495">
        <v>145</v>
      </c>
      <c r="AI495">
        <v>157</v>
      </c>
      <c r="AJ495">
        <v>7</v>
      </c>
      <c r="AK495">
        <v>114</v>
      </c>
      <c r="AL495" t="s">
        <v>1305</v>
      </c>
      <c r="AM495" t="s">
        <v>1306</v>
      </c>
      <c r="AN495" t="s">
        <v>1307</v>
      </c>
      <c r="AO495" t="s">
        <v>9742</v>
      </c>
      <c r="AP495" t="s">
        <v>9743</v>
      </c>
      <c r="AQ495" t="s">
        <v>74</v>
      </c>
      <c r="AR495" t="s">
        <v>9744</v>
      </c>
      <c r="AS495" t="s">
        <v>9745</v>
      </c>
      <c r="AT495" t="s">
        <v>9722</v>
      </c>
      <c r="AU495">
        <v>2016</v>
      </c>
      <c r="AV495">
        <v>20</v>
      </c>
      <c r="AW495">
        <v>8</v>
      </c>
      <c r="AX495" t="s">
        <v>74</v>
      </c>
      <c r="AY495" t="s">
        <v>74</v>
      </c>
      <c r="AZ495" t="s">
        <v>74</v>
      </c>
      <c r="BA495" t="s">
        <v>74</v>
      </c>
      <c r="BB495">
        <v>3207</v>
      </c>
      <c r="BC495">
        <v>3244</v>
      </c>
      <c r="BD495" t="s">
        <v>74</v>
      </c>
      <c r="BE495" t="s">
        <v>9746</v>
      </c>
      <c r="BF495" t="str">
        <f>HYPERLINK("http://dx.doi.org/10.5194/hess-20-3207-2016","http://dx.doi.org/10.5194/hess-20-3207-2016")</f>
        <v>http://dx.doi.org/10.5194/hess-20-3207-2016</v>
      </c>
      <c r="BG495" t="s">
        <v>74</v>
      </c>
      <c r="BH495" t="s">
        <v>74</v>
      </c>
      <c r="BI495">
        <v>38</v>
      </c>
      <c r="BJ495" t="s">
        <v>9747</v>
      </c>
      <c r="BK495" t="s">
        <v>156</v>
      </c>
      <c r="BL495" t="s">
        <v>9748</v>
      </c>
      <c r="BM495" t="s">
        <v>9749</v>
      </c>
      <c r="BN495" t="s">
        <v>74</v>
      </c>
      <c r="BO495" t="s">
        <v>5533</v>
      </c>
      <c r="BP495" t="s">
        <v>74</v>
      </c>
      <c r="BQ495" t="s">
        <v>74</v>
      </c>
      <c r="BR495" t="s">
        <v>105</v>
      </c>
      <c r="BS495" t="s">
        <v>9750</v>
      </c>
      <c r="BT495" t="str">
        <f>HYPERLINK("https%3A%2F%2Fwww.webofscience.com%2Fwos%2Fwoscc%2Ffull-record%2FWOS:000383151900002","View Full Record in Web of Science")</f>
        <v>View Full Record in Web of Science</v>
      </c>
    </row>
    <row r="496" spans="1:72" x14ac:dyDescent="0.15">
      <c r="A496" t="s">
        <v>72</v>
      </c>
      <c r="B496" t="s">
        <v>9751</v>
      </c>
      <c r="C496" t="s">
        <v>74</v>
      </c>
      <c r="D496" t="s">
        <v>74</v>
      </c>
      <c r="E496" t="s">
        <v>74</v>
      </c>
      <c r="F496" t="s">
        <v>9752</v>
      </c>
      <c r="G496" t="s">
        <v>74</v>
      </c>
      <c r="H496" t="s">
        <v>9753</v>
      </c>
      <c r="I496" t="s">
        <v>9754</v>
      </c>
      <c r="J496" t="s">
        <v>9755</v>
      </c>
      <c r="K496" t="s">
        <v>74</v>
      </c>
      <c r="L496" t="s">
        <v>74</v>
      </c>
      <c r="M496" t="s">
        <v>78</v>
      </c>
      <c r="N496" t="s">
        <v>79</v>
      </c>
      <c r="O496" t="s">
        <v>74</v>
      </c>
      <c r="P496" t="s">
        <v>74</v>
      </c>
      <c r="Q496" t="s">
        <v>74</v>
      </c>
      <c r="R496" t="s">
        <v>74</v>
      </c>
      <c r="S496" t="s">
        <v>74</v>
      </c>
      <c r="T496" t="s">
        <v>74</v>
      </c>
      <c r="U496" t="s">
        <v>9756</v>
      </c>
      <c r="V496" t="s">
        <v>9757</v>
      </c>
      <c r="W496" t="s">
        <v>9758</v>
      </c>
      <c r="X496" t="s">
        <v>9759</v>
      </c>
      <c r="Y496" t="s">
        <v>9760</v>
      </c>
      <c r="Z496" t="s">
        <v>74</v>
      </c>
      <c r="AA496" t="s">
        <v>9761</v>
      </c>
      <c r="AB496" t="s">
        <v>9762</v>
      </c>
      <c r="AC496" t="s">
        <v>9763</v>
      </c>
      <c r="AD496" t="s">
        <v>9764</v>
      </c>
      <c r="AE496" t="s">
        <v>9765</v>
      </c>
      <c r="AF496" t="s">
        <v>74</v>
      </c>
      <c r="AG496">
        <v>18</v>
      </c>
      <c r="AH496">
        <v>104</v>
      </c>
      <c r="AI496">
        <v>118</v>
      </c>
      <c r="AJ496">
        <v>0</v>
      </c>
      <c r="AK496">
        <v>10</v>
      </c>
      <c r="AL496" t="s">
        <v>9766</v>
      </c>
      <c r="AM496" t="s">
        <v>9767</v>
      </c>
      <c r="AN496" t="s">
        <v>9768</v>
      </c>
      <c r="AO496" t="s">
        <v>9769</v>
      </c>
      <c r="AP496" t="s">
        <v>9770</v>
      </c>
      <c r="AQ496" t="s">
        <v>74</v>
      </c>
      <c r="AR496" t="s">
        <v>9771</v>
      </c>
      <c r="AS496" t="s">
        <v>9772</v>
      </c>
      <c r="AT496" t="s">
        <v>9773</v>
      </c>
      <c r="AU496">
        <v>2016</v>
      </c>
      <c r="AV496">
        <v>117</v>
      </c>
      <c r="AW496">
        <v>7</v>
      </c>
      <c r="AX496" t="s">
        <v>74</v>
      </c>
      <c r="AY496" t="s">
        <v>74</v>
      </c>
      <c r="AZ496" t="s">
        <v>74</v>
      </c>
      <c r="BA496" t="s">
        <v>74</v>
      </c>
      <c r="BB496" t="s">
        <v>74</v>
      </c>
      <c r="BC496" t="s">
        <v>74</v>
      </c>
      <c r="BD496">
        <v>71101</v>
      </c>
      <c r="BE496" t="s">
        <v>9774</v>
      </c>
      <c r="BF496" t="str">
        <f>HYPERLINK("http://dx.doi.org/10.1103/PhysRevLett.117.071101","http://dx.doi.org/10.1103/PhysRevLett.117.071101")</f>
        <v>http://dx.doi.org/10.1103/PhysRevLett.117.071101</v>
      </c>
      <c r="BG496" t="s">
        <v>74</v>
      </c>
      <c r="BH496" t="s">
        <v>74</v>
      </c>
      <c r="BI496">
        <v>5</v>
      </c>
      <c r="BJ496" t="s">
        <v>9775</v>
      </c>
      <c r="BK496" t="s">
        <v>156</v>
      </c>
      <c r="BL496" t="s">
        <v>9776</v>
      </c>
      <c r="BM496" t="s">
        <v>9777</v>
      </c>
      <c r="BN496">
        <v>27563945</v>
      </c>
      <c r="BO496" t="s">
        <v>432</v>
      </c>
      <c r="BP496" t="s">
        <v>74</v>
      </c>
      <c r="BQ496" t="s">
        <v>74</v>
      </c>
      <c r="BR496" t="s">
        <v>105</v>
      </c>
      <c r="BS496" t="s">
        <v>9778</v>
      </c>
      <c r="BT496" t="str">
        <f>HYPERLINK("https%3A%2F%2Fwww.webofscience.com%2Fwos%2Fwoscc%2Ffull-record%2FWOS:000381477200002","View Full Record in Web of Science")</f>
        <v>View Full Record in Web of Science</v>
      </c>
    </row>
    <row r="497" spans="1:72" x14ac:dyDescent="0.15">
      <c r="A497" t="s">
        <v>72</v>
      </c>
      <c r="B497" t="s">
        <v>9779</v>
      </c>
      <c r="C497" t="s">
        <v>74</v>
      </c>
      <c r="D497" t="s">
        <v>74</v>
      </c>
      <c r="E497" t="s">
        <v>74</v>
      </c>
      <c r="F497" t="s">
        <v>9780</v>
      </c>
      <c r="G497" t="s">
        <v>74</v>
      </c>
      <c r="H497" t="s">
        <v>74</v>
      </c>
      <c r="I497" t="s">
        <v>9781</v>
      </c>
      <c r="J497" t="s">
        <v>1072</v>
      </c>
      <c r="K497" t="s">
        <v>74</v>
      </c>
      <c r="L497" t="s">
        <v>74</v>
      </c>
      <c r="M497" t="s">
        <v>78</v>
      </c>
      <c r="N497" t="s">
        <v>79</v>
      </c>
      <c r="O497" t="s">
        <v>74</v>
      </c>
      <c r="P497" t="s">
        <v>74</v>
      </c>
      <c r="Q497" t="s">
        <v>74</v>
      </c>
      <c r="R497" t="s">
        <v>74</v>
      </c>
      <c r="S497" t="s">
        <v>74</v>
      </c>
      <c r="T497" t="s">
        <v>74</v>
      </c>
      <c r="U497" t="s">
        <v>9782</v>
      </c>
      <c r="V497" t="s">
        <v>9783</v>
      </c>
      <c r="W497" t="s">
        <v>9784</v>
      </c>
      <c r="X497" t="s">
        <v>9785</v>
      </c>
      <c r="Y497" t="s">
        <v>9786</v>
      </c>
      <c r="Z497" t="s">
        <v>1506</v>
      </c>
      <c r="AA497" t="s">
        <v>9787</v>
      </c>
      <c r="AB497" t="s">
        <v>9788</v>
      </c>
      <c r="AC497" t="s">
        <v>9789</v>
      </c>
      <c r="AD497" t="s">
        <v>9790</v>
      </c>
      <c r="AE497" t="s">
        <v>9791</v>
      </c>
      <c r="AF497" t="s">
        <v>74</v>
      </c>
      <c r="AG497">
        <v>38</v>
      </c>
      <c r="AH497">
        <v>13</v>
      </c>
      <c r="AI497">
        <v>14</v>
      </c>
      <c r="AJ497">
        <v>0</v>
      </c>
      <c r="AK497">
        <v>18</v>
      </c>
      <c r="AL497" t="s">
        <v>1074</v>
      </c>
      <c r="AM497" t="s">
        <v>1075</v>
      </c>
      <c r="AN497" t="s">
        <v>1076</v>
      </c>
      <c r="AO497" t="s">
        <v>1077</v>
      </c>
      <c r="AP497" t="s">
        <v>74</v>
      </c>
      <c r="AQ497" t="s">
        <v>74</v>
      </c>
      <c r="AR497" t="s">
        <v>1072</v>
      </c>
      <c r="AS497" t="s">
        <v>1078</v>
      </c>
      <c r="AT497" t="s">
        <v>9792</v>
      </c>
      <c r="AU497">
        <v>2016</v>
      </c>
      <c r="AV497">
        <v>11</v>
      </c>
      <c r="AW497">
        <v>8</v>
      </c>
      <c r="AX497" t="s">
        <v>74</v>
      </c>
      <c r="AY497" t="s">
        <v>74</v>
      </c>
      <c r="AZ497" t="s">
        <v>74</v>
      </c>
      <c r="BA497" t="s">
        <v>74</v>
      </c>
      <c r="BB497" t="s">
        <v>74</v>
      </c>
      <c r="BC497" t="s">
        <v>74</v>
      </c>
      <c r="BD497" t="s">
        <v>9793</v>
      </c>
      <c r="BE497" t="s">
        <v>9794</v>
      </c>
      <c r="BF497" t="str">
        <f>HYPERLINK("http://dx.doi.org/10.1371/journal.pone.0160681","http://dx.doi.org/10.1371/journal.pone.0160681")</f>
        <v>http://dx.doi.org/10.1371/journal.pone.0160681</v>
      </c>
      <c r="BG497" t="s">
        <v>74</v>
      </c>
      <c r="BH497" t="s">
        <v>74</v>
      </c>
      <c r="BI497">
        <v>17</v>
      </c>
      <c r="BJ497" t="s">
        <v>719</v>
      </c>
      <c r="BK497" t="s">
        <v>156</v>
      </c>
      <c r="BL497" t="s">
        <v>720</v>
      </c>
      <c r="BM497" t="s">
        <v>9795</v>
      </c>
      <c r="BN497">
        <v>27494717</v>
      </c>
      <c r="BO497" t="s">
        <v>6332</v>
      </c>
      <c r="BP497" t="s">
        <v>74</v>
      </c>
      <c r="BQ497" t="s">
        <v>74</v>
      </c>
      <c r="BR497" t="s">
        <v>105</v>
      </c>
      <c r="BS497" t="s">
        <v>9796</v>
      </c>
      <c r="BT497" t="str">
        <f>HYPERLINK("https%3A%2F%2Fwww.webofscience.com%2Fwos%2Fwoscc%2Ffull-record%2FWOS:000381369500075","View Full Record in Web of Science")</f>
        <v>View Full Record in Web of Science</v>
      </c>
    </row>
    <row r="498" spans="1:72" x14ac:dyDescent="0.15">
      <c r="A498" t="s">
        <v>72</v>
      </c>
      <c r="B498" t="s">
        <v>9797</v>
      </c>
      <c r="C498" t="s">
        <v>74</v>
      </c>
      <c r="D498" t="s">
        <v>74</v>
      </c>
      <c r="E498" t="s">
        <v>74</v>
      </c>
      <c r="F498" t="s">
        <v>9798</v>
      </c>
      <c r="G498" t="s">
        <v>74</v>
      </c>
      <c r="H498" t="s">
        <v>74</v>
      </c>
      <c r="I498" t="s">
        <v>9799</v>
      </c>
      <c r="J498" t="s">
        <v>1560</v>
      </c>
      <c r="K498" t="s">
        <v>74</v>
      </c>
      <c r="L498" t="s">
        <v>74</v>
      </c>
      <c r="M498" t="s">
        <v>78</v>
      </c>
      <c r="N498" t="s">
        <v>79</v>
      </c>
      <c r="O498" t="s">
        <v>74</v>
      </c>
      <c r="P498" t="s">
        <v>74</v>
      </c>
      <c r="Q498" t="s">
        <v>74</v>
      </c>
      <c r="R498" t="s">
        <v>74</v>
      </c>
      <c r="S498" t="s">
        <v>74</v>
      </c>
      <c r="T498" t="s">
        <v>9800</v>
      </c>
      <c r="U498" t="s">
        <v>9801</v>
      </c>
      <c r="V498" t="s">
        <v>9802</v>
      </c>
      <c r="W498" t="s">
        <v>9803</v>
      </c>
      <c r="X498" t="s">
        <v>9804</v>
      </c>
      <c r="Y498" t="s">
        <v>9025</v>
      </c>
      <c r="Z498" t="s">
        <v>9026</v>
      </c>
      <c r="AA498" t="s">
        <v>9027</v>
      </c>
      <c r="AB498" t="s">
        <v>9805</v>
      </c>
      <c r="AC498" t="s">
        <v>9806</v>
      </c>
      <c r="AD498" t="s">
        <v>9807</v>
      </c>
      <c r="AE498" t="s">
        <v>9808</v>
      </c>
      <c r="AF498" t="s">
        <v>74</v>
      </c>
      <c r="AG498">
        <v>72</v>
      </c>
      <c r="AH498">
        <v>9</v>
      </c>
      <c r="AI498">
        <v>10</v>
      </c>
      <c r="AJ498">
        <v>1</v>
      </c>
      <c r="AK498">
        <v>16</v>
      </c>
      <c r="AL498" t="s">
        <v>1572</v>
      </c>
      <c r="AM498" t="s">
        <v>1573</v>
      </c>
      <c r="AN498" t="s">
        <v>1574</v>
      </c>
      <c r="AO498" t="s">
        <v>1575</v>
      </c>
      <c r="AP498" t="s">
        <v>1576</v>
      </c>
      <c r="AQ498" t="s">
        <v>74</v>
      </c>
      <c r="AR498" t="s">
        <v>1560</v>
      </c>
      <c r="AS498" t="s">
        <v>1577</v>
      </c>
      <c r="AT498" t="s">
        <v>9792</v>
      </c>
      <c r="AU498">
        <v>2016</v>
      </c>
      <c r="AV498">
        <v>269</v>
      </c>
      <c r="AW498">
        <v>3</v>
      </c>
      <c r="AX498" t="s">
        <v>74</v>
      </c>
      <c r="AY498" t="s">
        <v>74</v>
      </c>
      <c r="AZ498" t="s">
        <v>74</v>
      </c>
      <c r="BA498" t="s">
        <v>74</v>
      </c>
      <c r="BB498">
        <v>209</v>
      </c>
      <c r="BC498">
        <v>220</v>
      </c>
      <c r="BD498" t="s">
        <v>74</v>
      </c>
      <c r="BE498" t="s">
        <v>9809</v>
      </c>
      <c r="BF498" t="str">
        <f>HYPERLINK("http://dx.doi.org/10.11646/phytotaxa.269.3.4","http://dx.doi.org/10.11646/phytotaxa.269.3.4")</f>
        <v>http://dx.doi.org/10.11646/phytotaxa.269.3.4</v>
      </c>
      <c r="BG498" t="s">
        <v>74</v>
      </c>
      <c r="BH498" t="s">
        <v>74</v>
      </c>
      <c r="BI498">
        <v>12</v>
      </c>
      <c r="BJ498" t="s">
        <v>1580</v>
      </c>
      <c r="BK498" t="s">
        <v>156</v>
      </c>
      <c r="BL498" t="s">
        <v>1580</v>
      </c>
      <c r="BM498" t="s">
        <v>9810</v>
      </c>
      <c r="BN498" t="s">
        <v>74</v>
      </c>
      <c r="BO498" t="s">
        <v>74</v>
      </c>
      <c r="BP498" t="s">
        <v>74</v>
      </c>
      <c r="BQ498" t="s">
        <v>74</v>
      </c>
      <c r="BR498" t="s">
        <v>105</v>
      </c>
      <c r="BS498" t="s">
        <v>9811</v>
      </c>
      <c r="BT498" t="str">
        <f>HYPERLINK("https%3A%2F%2Fwww.webofscience.com%2Fwos%2Fwoscc%2Ffull-record%2FWOS:000381947500004","View Full Record in Web of Science")</f>
        <v>View Full Record in Web of Science</v>
      </c>
    </row>
    <row r="499" spans="1:72" x14ac:dyDescent="0.15">
      <c r="A499" t="s">
        <v>72</v>
      </c>
      <c r="B499" t="s">
        <v>9812</v>
      </c>
      <c r="C499" t="s">
        <v>74</v>
      </c>
      <c r="D499" t="s">
        <v>74</v>
      </c>
      <c r="E499" t="s">
        <v>74</v>
      </c>
      <c r="F499" t="s">
        <v>9813</v>
      </c>
      <c r="G499" t="s">
        <v>74</v>
      </c>
      <c r="H499" t="s">
        <v>74</v>
      </c>
      <c r="I499" t="s">
        <v>9814</v>
      </c>
      <c r="J499" t="s">
        <v>9815</v>
      </c>
      <c r="K499" t="s">
        <v>74</v>
      </c>
      <c r="L499" t="s">
        <v>74</v>
      </c>
      <c r="M499" t="s">
        <v>78</v>
      </c>
      <c r="N499" t="s">
        <v>79</v>
      </c>
      <c r="O499" t="s">
        <v>74</v>
      </c>
      <c r="P499" t="s">
        <v>74</v>
      </c>
      <c r="Q499" t="s">
        <v>74</v>
      </c>
      <c r="R499" t="s">
        <v>74</v>
      </c>
      <c r="S499" t="s">
        <v>74</v>
      </c>
      <c r="T499" t="s">
        <v>9816</v>
      </c>
      <c r="U499" t="s">
        <v>9817</v>
      </c>
      <c r="V499" t="s">
        <v>9818</v>
      </c>
      <c r="W499" t="s">
        <v>9819</v>
      </c>
      <c r="X499" t="s">
        <v>9820</v>
      </c>
      <c r="Y499" t="s">
        <v>9821</v>
      </c>
      <c r="Z499" t="s">
        <v>9822</v>
      </c>
      <c r="AA499" t="s">
        <v>9823</v>
      </c>
      <c r="AB499" t="s">
        <v>9824</v>
      </c>
      <c r="AC499" t="s">
        <v>9825</v>
      </c>
      <c r="AD499" t="s">
        <v>9826</v>
      </c>
      <c r="AE499" t="s">
        <v>9827</v>
      </c>
      <c r="AF499" t="s">
        <v>74</v>
      </c>
      <c r="AG499">
        <v>33</v>
      </c>
      <c r="AH499">
        <v>13</v>
      </c>
      <c r="AI499">
        <v>13</v>
      </c>
      <c r="AJ499">
        <v>4</v>
      </c>
      <c r="AK499">
        <v>69</v>
      </c>
      <c r="AL499" t="s">
        <v>92</v>
      </c>
      <c r="AM499" t="s">
        <v>93</v>
      </c>
      <c r="AN499" t="s">
        <v>94</v>
      </c>
      <c r="AO499" t="s">
        <v>9828</v>
      </c>
      <c r="AP499" t="s">
        <v>9829</v>
      </c>
      <c r="AQ499" t="s">
        <v>74</v>
      </c>
      <c r="AR499" t="s">
        <v>9830</v>
      </c>
      <c r="AS499" t="s">
        <v>9831</v>
      </c>
      <c r="AT499" t="s">
        <v>9792</v>
      </c>
      <c r="AU499">
        <v>2016</v>
      </c>
      <c r="AV499">
        <v>313</v>
      </c>
      <c r="AW499" t="s">
        <v>74</v>
      </c>
      <c r="AX499" t="s">
        <v>74</v>
      </c>
      <c r="AY499" t="s">
        <v>74</v>
      </c>
      <c r="AZ499" t="s">
        <v>74</v>
      </c>
      <c r="BA499" t="s">
        <v>74</v>
      </c>
      <c r="BB499">
        <v>272</v>
      </c>
      <c r="BC499">
        <v>282</v>
      </c>
      <c r="BD499" t="s">
        <v>74</v>
      </c>
      <c r="BE499" t="s">
        <v>9832</v>
      </c>
      <c r="BF499" t="str">
        <f>HYPERLINK("http://dx.doi.org/10.1016/j.jhazmat.2016.03.095","http://dx.doi.org/10.1016/j.jhazmat.2016.03.095")</f>
        <v>http://dx.doi.org/10.1016/j.jhazmat.2016.03.095</v>
      </c>
      <c r="BG499" t="s">
        <v>74</v>
      </c>
      <c r="BH499" t="s">
        <v>74</v>
      </c>
      <c r="BI499">
        <v>11</v>
      </c>
      <c r="BJ499" t="s">
        <v>2182</v>
      </c>
      <c r="BK499" t="s">
        <v>156</v>
      </c>
      <c r="BL499" t="s">
        <v>2183</v>
      </c>
      <c r="BM499" t="s">
        <v>9833</v>
      </c>
      <c r="BN499">
        <v>27132074</v>
      </c>
      <c r="BO499" t="s">
        <v>74</v>
      </c>
      <c r="BP499" t="s">
        <v>74</v>
      </c>
      <c r="BQ499" t="s">
        <v>74</v>
      </c>
      <c r="BR499" t="s">
        <v>105</v>
      </c>
      <c r="BS499" t="s">
        <v>9834</v>
      </c>
      <c r="BT499" t="str">
        <f>HYPERLINK("https%3A%2F%2Fwww.webofscience.com%2Fwos%2Fwoscc%2Ffull-record%2FWOS:000376811000030","View Full Record in Web of Science")</f>
        <v>View Full Record in Web of Science</v>
      </c>
    </row>
    <row r="500" spans="1:72" x14ac:dyDescent="0.15">
      <c r="A500" t="s">
        <v>72</v>
      </c>
      <c r="B500" t="s">
        <v>9835</v>
      </c>
      <c r="C500" t="s">
        <v>74</v>
      </c>
      <c r="D500" t="s">
        <v>74</v>
      </c>
      <c r="E500" t="s">
        <v>74</v>
      </c>
      <c r="F500" t="s">
        <v>9836</v>
      </c>
      <c r="G500" t="s">
        <v>74</v>
      </c>
      <c r="H500" t="s">
        <v>74</v>
      </c>
      <c r="I500" t="s">
        <v>9837</v>
      </c>
      <c r="J500" t="s">
        <v>1268</v>
      </c>
      <c r="K500" t="s">
        <v>74</v>
      </c>
      <c r="L500" t="s">
        <v>74</v>
      </c>
      <c r="M500" t="s">
        <v>78</v>
      </c>
      <c r="N500" t="s">
        <v>79</v>
      </c>
      <c r="O500" t="s">
        <v>74</v>
      </c>
      <c r="P500" t="s">
        <v>74</v>
      </c>
      <c r="Q500" t="s">
        <v>74</v>
      </c>
      <c r="R500" t="s">
        <v>74</v>
      </c>
      <c r="S500" t="s">
        <v>74</v>
      </c>
      <c r="T500" t="s">
        <v>74</v>
      </c>
      <c r="U500" t="s">
        <v>9838</v>
      </c>
      <c r="V500" t="s">
        <v>9839</v>
      </c>
      <c r="W500" t="s">
        <v>9840</v>
      </c>
      <c r="X500" t="s">
        <v>9841</v>
      </c>
      <c r="Y500" t="s">
        <v>9842</v>
      </c>
      <c r="Z500" t="s">
        <v>9843</v>
      </c>
      <c r="AA500" t="s">
        <v>9844</v>
      </c>
      <c r="AB500" t="s">
        <v>9845</v>
      </c>
      <c r="AC500" t="s">
        <v>74</v>
      </c>
      <c r="AD500" t="s">
        <v>74</v>
      </c>
      <c r="AE500" t="s">
        <v>74</v>
      </c>
      <c r="AF500" t="s">
        <v>74</v>
      </c>
      <c r="AG500">
        <v>42</v>
      </c>
      <c r="AH500">
        <v>22</v>
      </c>
      <c r="AI500">
        <v>22</v>
      </c>
      <c r="AJ500">
        <v>1</v>
      </c>
      <c r="AK500">
        <v>16</v>
      </c>
      <c r="AL500" t="s">
        <v>1279</v>
      </c>
      <c r="AM500" t="s">
        <v>1280</v>
      </c>
      <c r="AN500" t="s">
        <v>1281</v>
      </c>
      <c r="AO500" t="s">
        <v>1282</v>
      </c>
      <c r="AP500" t="s">
        <v>74</v>
      </c>
      <c r="AQ500" t="s">
        <v>74</v>
      </c>
      <c r="AR500" t="s">
        <v>1283</v>
      </c>
      <c r="AS500" t="s">
        <v>1284</v>
      </c>
      <c r="AT500" t="s">
        <v>9846</v>
      </c>
      <c r="AU500">
        <v>2016</v>
      </c>
      <c r="AV500">
        <v>4</v>
      </c>
      <c r="AW500" t="s">
        <v>74</v>
      </c>
      <c r="AX500" t="s">
        <v>74</v>
      </c>
      <c r="AY500" t="s">
        <v>74</v>
      </c>
      <c r="AZ500" t="s">
        <v>74</v>
      </c>
      <c r="BA500" t="s">
        <v>74</v>
      </c>
      <c r="BB500" t="s">
        <v>74</v>
      </c>
      <c r="BC500" t="s">
        <v>74</v>
      </c>
      <c r="BD500">
        <v>122</v>
      </c>
      <c r="BE500" t="s">
        <v>9847</v>
      </c>
      <c r="BF500" t="str">
        <f>HYPERLINK("http://dx.doi.org/10.12952/journal.elementa.000122","http://dx.doi.org/10.12952/journal.elementa.000122")</f>
        <v>http://dx.doi.org/10.12952/journal.elementa.000122</v>
      </c>
      <c r="BG500" t="s">
        <v>74</v>
      </c>
      <c r="BH500" t="s">
        <v>74</v>
      </c>
      <c r="BI500">
        <v>14</v>
      </c>
      <c r="BJ500" t="s">
        <v>1286</v>
      </c>
      <c r="BK500" t="s">
        <v>156</v>
      </c>
      <c r="BL500" t="s">
        <v>825</v>
      </c>
      <c r="BM500" t="s">
        <v>9848</v>
      </c>
      <c r="BN500" t="s">
        <v>74</v>
      </c>
      <c r="BO500" t="s">
        <v>4322</v>
      </c>
      <c r="BP500" t="s">
        <v>74</v>
      </c>
      <c r="BQ500" t="s">
        <v>74</v>
      </c>
      <c r="BR500" t="s">
        <v>105</v>
      </c>
      <c r="BS500" t="s">
        <v>9849</v>
      </c>
      <c r="BT500" t="str">
        <f>HYPERLINK("https%3A%2F%2Fwww.webofscience.com%2Fwos%2Fwoscc%2Ffull-record%2FWOS:000389921400001","View Full Record in Web of Science")</f>
        <v>View Full Record in Web of Science</v>
      </c>
    </row>
    <row r="501" spans="1:72" x14ac:dyDescent="0.15">
      <c r="A501" t="s">
        <v>72</v>
      </c>
      <c r="B501" t="s">
        <v>9850</v>
      </c>
      <c r="C501" t="s">
        <v>74</v>
      </c>
      <c r="D501" t="s">
        <v>74</v>
      </c>
      <c r="E501" t="s">
        <v>74</v>
      </c>
      <c r="F501" t="s">
        <v>9851</v>
      </c>
      <c r="G501" t="s">
        <v>74</v>
      </c>
      <c r="H501" t="s">
        <v>74</v>
      </c>
      <c r="I501" t="s">
        <v>9852</v>
      </c>
      <c r="J501" t="s">
        <v>2163</v>
      </c>
      <c r="K501" t="s">
        <v>74</v>
      </c>
      <c r="L501" t="s">
        <v>74</v>
      </c>
      <c r="M501" t="s">
        <v>78</v>
      </c>
      <c r="N501" t="s">
        <v>79</v>
      </c>
      <c r="O501" t="s">
        <v>74</v>
      </c>
      <c r="P501" t="s">
        <v>74</v>
      </c>
      <c r="Q501" t="s">
        <v>74</v>
      </c>
      <c r="R501" t="s">
        <v>74</v>
      </c>
      <c r="S501" t="s">
        <v>74</v>
      </c>
      <c r="T501" t="s">
        <v>74</v>
      </c>
      <c r="U501" t="s">
        <v>9853</v>
      </c>
      <c r="V501" t="s">
        <v>9854</v>
      </c>
      <c r="W501" t="s">
        <v>9855</v>
      </c>
      <c r="X501" t="s">
        <v>9856</v>
      </c>
      <c r="Y501" t="s">
        <v>1298</v>
      </c>
      <c r="Z501" t="s">
        <v>1299</v>
      </c>
      <c r="AA501" t="s">
        <v>9857</v>
      </c>
      <c r="AB501" t="s">
        <v>9858</v>
      </c>
      <c r="AC501" t="s">
        <v>9859</v>
      </c>
      <c r="AD501" t="s">
        <v>9860</v>
      </c>
      <c r="AE501" t="s">
        <v>9861</v>
      </c>
      <c r="AF501" t="s">
        <v>74</v>
      </c>
      <c r="AG501">
        <v>57</v>
      </c>
      <c r="AH501">
        <v>55</v>
      </c>
      <c r="AI501">
        <v>57</v>
      </c>
      <c r="AJ501">
        <v>4</v>
      </c>
      <c r="AK501">
        <v>101</v>
      </c>
      <c r="AL501" t="s">
        <v>2175</v>
      </c>
      <c r="AM501" t="s">
        <v>123</v>
      </c>
      <c r="AN501" t="s">
        <v>2176</v>
      </c>
      <c r="AO501" t="s">
        <v>2177</v>
      </c>
      <c r="AP501" t="s">
        <v>2178</v>
      </c>
      <c r="AQ501" t="s">
        <v>74</v>
      </c>
      <c r="AR501" t="s">
        <v>2179</v>
      </c>
      <c r="AS501" t="s">
        <v>2180</v>
      </c>
      <c r="AT501" t="s">
        <v>9862</v>
      </c>
      <c r="AU501">
        <v>2016</v>
      </c>
      <c r="AV501">
        <v>50</v>
      </c>
      <c r="AW501">
        <v>15</v>
      </c>
      <c r="AX501" t="s">
        <v>74</v>
      </c>
      <c r="AY501" t="s">
        <v>74</v>
      </c>
      <c r="AZ501" t="s">
        <v>74</v>
      </c>
      <c r="BA501" t="s">
        <v>74</v>
      </c>
      <c r="BB501">
        <v>8001</v>
      </c>
      <c r="BC501">
        <v>8009</v>
      </c>
      <c r="BD501" t="s">
        <v>74</v>
      </c>
      <c r="BE501" t="s">
        <v>9863</v>
      </c>
      <c r="BF501" t="str">
        <f>HYPERLINK("http://dx.doi.org/10.1021/acs.est.6b01970","http://dx.doi.org/10.1021/acs.est.6b01970")</f>
        <v>http://dx.doi.org/10.1021/acs.est.6b01970</v>
      </c>
      <c r="BG501" t="s">
        <v>74</v>
      </c>
      <c r="BH501" t="s">
        <v>74</v>
      </c>
      <c r="BI501">
        <v>9</v>
      </c>
      <c r="BJ501" t="s">
        <v>2182</v>
      </c>
      <c r="BK501" t="s">
        <v>156</v>
      </c>
      <c r="BL501" t="s">
        <v>2183</v>
      </c>
      <c r="BM501" t="s">
        <v>9864</v>
      </c>
      <c r="BN501">
        <v>27348023</v>
      </c>
      <c r="BO501" t="s">
        <v>74</v>
      </c>
      <c r="BP501" t="s">
        <v>74</v>
      </c>
      <c r="BQ501" t="s">
        <v>74</v>
      </c>
      <c r="BR501" t="s">
        <v>105</v>
      </c>
      <c r="BS501" t="s">
        <v>9865</v>
      </c>
      <c r="BT501" t="str">
        <f>HYPERLINK("https%3A%2F%2Fwww.webofscience.com%2Fwos%2Fwoscc%2Ffull-record%2FWOS:000381063200008","View Full Record in Web of Science")</f>
        <v>View Full Record in Web of Science</v>
      </c>
    </row>
    <row r="502" spans="1:72" x14ac:dyDescent="0.15">
      <c r="A502" t="s">
        <v>72</v>
      </c>
      <c r="B502" t="s">
        <v>9866</v>
      </c>
      <c r="C502" t="s">
        <v>74</v>
      </c>
      <c r="D502" t="s">
        <v>74</v>
      </c>
      <c r="E502" t="s">
        <v>74</v>
      </c>
      <c r="F502" t="s">
        <v>9867</v>
      </c>
      <c r="G502" t="s">
        <v>74</v>
      </c>
      <c r="H502" t="s">
        <v>74</v>
      </c>
      <c r="I502" t="s">
        <v>9868</v>
      </c>
      <c r="J502" t="s">
        <v>9869</v>
      </c>
      <c r="K502" t="s">
        <v>74</v>
      </c>
      <c r="L502" t="s">
        <v>74</v>
      </c>
      <c r="M502" t="s">
        <v>78</v>
      </c>
      <c r="N502" t="s">
        <v>79</v>
      </c>
      <c r="O502" t="s">
        <v>74</v>
      </c>
      <c r="P502" t="s">
        <v>74</v>
      </c>
      <c r="Q502" t="s">
        <v>74</v>
      </c>
      <c r="R502" t="s">
        <v>74</v>
      </c>
      <c r="S502" t="s">
        <v>74</v>
      </c>
      <c r="T502" t="s">
        <v>9870</v>
      </c>
      <c r="U502" t="s">
        <v>9871</v>
      </c>
      <c r="V502" t="s">
        <v>9872</v>
      </c>
      <c r="W502" t="s">
        <v>9873</v>
      </c>
      <c r="X502" t="s">
        <v>9874</v>
      </c>
      <c r="Y502" t="s">
        <v>9875</v>
      </c>
      <c r="Z502" t="s">
        <v>9876</v>
      </c>
      <c r="AA502" t="s">
        <v>9877</v>
      </c>
      <c r="AB502" t="s">
        <v>9878</v>
      </c>
      <c r="AC502" t="s">
        <v>9879</v>
      </c>
      <c r="AD502" t="s">
        <v>9880</v>
      </c>
      <c r="AE502" t="s">
        <v>9881</v>
      </c>
      <c r="AF502" t="s">
        <v>74</v>
      </c>
      <c r="AG502">
        <v>78</v>
      </c>
      <c r="AH502">
        <v>56</v>
      </c>
      <c r="AI502">
        <v>67</v>
      </c>
      <c r="AJ502">
        <v>3</v>
      </c>
      <c r="AK502">
        <v>66</v>
      </c>
      <c r="AL502" t="s">
        <v>1911</v>
      </c>
      <c r="AM502" t="s">
        <v>250</v>
      </c>
      <c r="AN502" t="s">
        <v>1912</v>
      </c>
      <c r="AO502" t="s">
        <v>9882</v>
      </c>
      <c r="AP502" t="s">
        <v>74</v>
      </c>
      <c r="AQ502" t="s">
        <v>74</v>
      </c>
      <c r="AR502" t="s">
        <v>9869</v>
      </c>
      <c r="AS502" t="s">
        <v>9883</v>
      </c>
      <c r="AT502" t="s">
        <v>9862</v>
      </c>
      <c r="AU502">
        <v>2016</v>
      </c>
      <c r="AV502">
        <v>17</v>
      </c>
      <c r="AW502" t="s">
        <v>74</v>
      </c>
      <c r="AX502" t="s">
        <v>74</v>
      </c>
      <c r="AY502" t="s">
        <v>74</v>
      </c>
      <c r="AZ502" t="s">
        <v>74</v>
      </c>
      <c r="BA502" t="s">
        <v>74</v>
      </c>
      <c r="BB502" t="s">
        <v>74</v>
      </c>
      <c r="BC502" t="s">
        <v>74</v>
      </c>
      <c r="BD502">
        <v>533</v>
      </c>
      <c r="BE502" t="s">
        <v>9884</v>
      </c>
      <c r="BF502" t="str">
        <f>HYPERLINK("http://dx.doi.org/10.1186/s12864-016-2846-4","http://dx.doi.org/10.1186/s12864-016-2846-4")</f>
        <v>http://dx.doi.org/10.1186/s12864-016-2846-4</v>
      </c>
      <c r="BG502" t="s">
        <v>74</v>
      </c>
      <c r="BH502" t="s">
        <v>74</v>
      </c>
      <c r="BI502">
        <v>14</v>
      </c>
      <c r="BJ502" t="s">
        <v>6296</v>
      </c>
      <c r="BK502" t="s">
        <v>156</v>
      </c>
      <c r="BL502" t="s">
        <v>6296</v>
      </c>
      <c r="BM502" t="s">
        <v>9885</v>
      </c>
      <c r="BN502">
        <v>27485510</v>
      </c>
      <c r="BO502" t="s">
        <v>1975</v>
      </c>
      <c r="BP502" t="s">
        <v>74</v>
      </c>
      <c r="BQ502" t="s">
        <v>74</v>
      </c>
      <c r="BR502" t="s">
        <v>105</v>
      </c>
      <c r="BS502" t="s">
        <v>9886</v>
      </c>
      <c r="BT502" t="str">
        <f>HYPERLINK("https%3A%2F%2Fwww.webofscience.com%2Fwos%2Fwoscc%2Ffull-record%2FWOS:000381222500001","View Full Record in Web of Science")</f>
        <v>View Full Record in Web of Science</v>
      </c>
    </row>
    <row r="503" spans="1:72" x14ac:dyDescent="0.15">
      <c r="A503" t="s">
        <v>72</v>
      </c>
      <c r="B503" t="s">
        <v>9887</v>
      </c>
      <c r="C503" t="s">
        <v>74</v>
      </c>
      <c r="D503" t="s">
        <v>74</v>
      </c>
      <c r="E503" t="s">
        <v>74</v>
      </c>
      <c r="F503" t="s">
        <v>9888</v>
      </c>
      <c r="G503" t="s">
        <v>74</v>
      </c>
      <c r="H503" t="s">
        <v>74</v>
      </c>
      <c r="I503" t="s">
        <v>9889</v>
      </c>
      <c r="J503" t="s">
        <v>631</v>
      </c>
      <c r="K503" t="s">
        <v>74</v>
      </c>
      <c r="L503" t="s">
        <v>74</v>
      </c>
      <c r="M503" t="s">
        <v>78</v>
      </c>
      <c r="N503" t="s">
        <v>79</v>
      </c>
      <c r="O503" t="s">
        <v>74</v>
      </c>
      <c r="P503" t="s">
        <v>74</v>
      </c>
      <c r="Q503" t="s">
        <v>74</v>
      </c>
      <c r="R503" t="s">
        <v>74</v>
      </c>
      <c r="S503" t="s">
        <v>74</v>
      </c>
      <c r="T503" t="s">
        <v>9890</v>
      </c>
      <c r="U503" t="s">
        <v>9891</v>
      </c>
      <c r="V503" t="s">
        <v>9892</v>
      </c>
      <c r="W503" t="s">
        <v>9893</v>
      </c>
      <c r="X503" t="s">
        <v>9894</v>
      </c>
      <c r="Y503" t="s">
        <v>9895</v>
      </c>
      <c r="Z503" t="s">
        <v>9896</v>
      </c>
      <c r="AA503" t="s">
        <v>9897</v>
      </c>
      <c r="AB503" t="s">
        <v>9898</v>
      </c>
      <c r="AC503" t="s">
        <v>9899</v>
      </c>
      <c r="AD503" t="s">
        <v>9900</v>
      </c>
      <c r="AE503" t="s">
        <v>9901</v>
      </c>
      <c r="AF503" t="s">
        <v>74</v>
      </c>
      <c r="AG503">
        <v>58</v>
      </c>
      <c r="AH503">
        <v>10</v>
      </c>
      <c r="AI503">
        <v>10</v>
      </c>
      <c r="AJ503">
        <v>1</v>
      </c>
      <c r="AK503">
        <v>12</v>
      </c>
      <c r="AL503" t="s">
        <v>644</v>
      </c>
      <c r="AM503" t="s">
        <v>594</v>
      </c>
      <c r="AN503" t="s">
        <v>3025</v>
      </c>
      <c r="AO503" t="s">
        <v>646</v>
      </c>
      <c r="AP503" t="s">
        <v>647</v>
      </c>
      <c r="AQ503" t="s">
        <v>74</v>
      </c>
      <c r="AR503" t="s">
        <v>648</v>
      </c>
      <c r="AS503" t="s">
        <v>649</v>
      </c>
      <c r="AT503" t="s">
        <v>9902</v>
      </c>
      <c r="AU503">
        <v>2016</v>
      </c>
      <c r="AV503">
        <v>39</v>
      </c>
      <c r="AW503">
        <v>8</v>
      </c>
      <c r="AX503" t="s">
        <v>74</v>
      </c>
      <c r="AY503" t="s">
        <v>74</v>
      </c>
      <c r="AZ503" t="s">
        <v>74</v>
      </c>
      <c r="BA503" t="s">
        <v>74</v>
      </c>
      <c r="BB503">
        <v>1439</v>
      </c>
      <c r="BC503">
        <v>1453</v>
      </c>
      <c r="BD503" t="s">
        <v>74</v>
      </c>
      <c r="BE503" t="s">
        <v>9903</v>
      </c>
      <c r="BF503" t="str">
        <f>HYPERLINK("http://dx.doi.org/10.1007/s00300-015-1869-7","http://dx.doi.org/10.1007/s00300-015-1869-7")</f>
        <v>http://dx.doi.org/10.1007/s00300-015-1869-7</v>
      </c>
      <c r="BG503" t="s">
        <v>74</v>
      </c>
      <c r="BH503" t="s">
        <v>74</v>
      </c>
      <c r="BI503">
        <v>15</v>
      </c>
      <c r="BJ503" t="s">
        <v>652</v>
      </c>
      <c r="BK503" t="s">
        <v>156</v>
      </c>
      <c r="BL503" t="s">
        <v>653</v>
      </c>
      <c r="BM503" t="s">
        <v>9904</v>
      </c>
      <c r="BN503" t="s">
        <v>74</v>
      </c>
      <c r="BO503" t="s">
        <v>74</v>
      </c>
      <c r="BP503" t="s">
        <v>74</v>
      </c>
      <c r="BQ503" t="s">
        <v>74</v>
      </c>
      <c r="BR503" t="s">
        <v>105</v>
      </c>
      <c r="BS503" t="s">
        <v>9905</v>
      </c>
      <c r="BT503" t="str">
        <f>HYPERLINK("https%3A%2F%2Fwww.webofscience.com%2Fwos%2Fwoscc%2Ffull-record%2FWOS:000381405400007","View Full Record in Web of Science")</f>
        <v>View Full Record in Web of Science</v>
      </c>
    </row>
    <row r="504" spans="1:72" x14ac:dyDescent="0.15">
      <c r="A504" t="s">
        <v>72</v>
      </c>
      <c r="B504" t="s">
        <v>9906</v>
      </c>
      <c r="C504" t="s">
        <v>74</v>
      </c>
      <c r="D504" t="s">
        <v>74</v>
      </c>
      <c r="E504" t="s">
        <v>74</v>
      </c>
      <c r="F504" t="s">
        <v>9907</v>
      </c>
      <c r="G504" t="s">
        <v>74</v>
      </c>
      <c r="H504" t="s">
        <v>74</v>
      </c>
      <c r="I504" t="s">
        <v>9908</v>
      </c>
      <c r="J504" t="s">
        <v>9909</v>
      </c>
      <c r="K504" t="s">
        <v>74</v>
      </c>
      <c r="L504" t="s">
        <v>74</v>
      </c>
      <c r="M504" t="s">
        <v>78</v>
      </c>
      <c r="N504" t="s">
        <v>52</v>
      </c>
      <c r="O504" t="s">
        <v>9910</v>
      </c>
      <c r="P504" t="s">
        <v>9911</v>
      </c>
      <c r="Q504" t="s">
        <v>9912</v>
      </c>
      <c r="R504" t="s">
        <v>74</v>
      </c>
      <c r="S504" t="s">
        <v>74</v>
      </c>
      <c r="T504" t="s">
        <v>74</v>
      </c>
      <c r="U504" t="s">
        <v>74</v>
      </c>
      <c r="V504" t="s">
        <v>74</v>
      </c>
      <c r="W504" t="s">
        <v>9913</v>
      </c>
      <c r="X504" t="s">
        <v>9914</v>
      </c>
      <c r="Y504" t="s">
        <v>74</v>
      </c>
      <c r="Z504" t="s">
        <v>9915</v>
      </c>
      <c r="AA504" t="s">
        <v>9916</v>
      </c>
      <c r="AB504" t="s">
        <v>74</v>
      </c>
      <c r="AC504" t="s">
        <v>74</v>
      </c>
      <c r="AD504" t="s">
        <v>74</v>
      </c>
      <c r="AE504" t="s">
        <v>74</v>
      </c>
      <c r="AF504" t="s">
        <v>74</v>
      </c>
      <c r="AG504">
        <v>0</v>
      </c>
      <c r="AH504">
        <v>0</v>
      </c>
      <c r="AI504">
        <v>0</v>
      </c>
      <c r="AJ504">
        <v>0</v>
      </c>
      <c r="AK504">
        <v>4</v>
      </c>
      <c r="AL504" t="s">
        <v>644</v>
      </c>
      <c r="AM504" t="s">
        <v>740</v>
      </c>
      <c r="AN504" t="s">
        <v>741</v>
      </c>
      <c r="AO504" t="s">
        <v>9917</v>
      </c>
      <c r="AP504" t="s">
        <v>9918</v>
      </c>
      <c r="AQ504" t="s">
        <v>74</v>
      </c>
      <c r="AR504" t="s">
        <v>9919</v>
      </c>
      <c r="AS504" t="s">
        <v>9920</v>
      </c>
      <c r="AT504" t="s">
        <v>9902</v>
      </c>
      <c r="AU504">
        <v>2016</v>
      </c>
      <c r="AV504">
        <v>24</v>
      </c>
      <c r="AW504" t="s">
        <v>74</v>
      </c>
      <c r="AX504" t="s">
        <v>74</v>
      </c>
      <c r="AY504">
        <v>1</v>
      </c>
      <c r="AZ504" t="s">
        <v>74</v>
      </c>
      <c r="BA504" t="s">
        <v>9921</v>
      </c>
      <c r="BB504" t="s">
        <v>9922</v>
      </c>
      <c r="BC504" t="s">
        <v>9922</v>
      </c>
      <c r="BD504" t="s">
        <v>74</v>
      </c>
      <c r="BE504" t="s">
        <v>74</v>
      </c>
      <c r="BF504" t="s">
        <v>74</v>
      </c>
      <c r="BG504" t="s">
        <v>74</v>
      </c>
      <c r="BH504" t="s">
        <v>74</v>
      </c>
      <c r="BI504">
        <v>1</v>
      </c>
      <c r="BJ504" t="s">
        <v>9923</v>
      </c>
      <c r="BK504" t="s">
        <v>2548</v>
      </c>
      <c r="BL504" t="s">
        <v>9923</v>
      </c>
      <c r="BM504" t="s">
        <v>9924</v>
      </c>
      <c r="BN504" t="s">
        <v>74</v>
      </c>
      <c r="BO504" t="s">
        <v>74</v>
      </c>
      <c r="BP504" t="s">
        <v>74</v>
      </c>
      <c r="BQ504" t="s">
        <v>74</v>
      </c>
      <c r="BR504" t="s">
        <v>105</v>
      </c>
      <c r="BS504" t="s">
        <v>9925</v>
      </c>
      <c r="BT504" t="str">
        <f>HYPERLINK("https%3A%2F%2Fwww.webofscience.com%2Fwos%2Fwoscc%2Ffull-record%2FWOS:000393137500061","View Full Record in Web of Science")</f>
        <v>View Full Record in Web of Science</v>
      </c>
    </row>
    <row r="505" spans="1:72" x14ac:dyDescent="0.15">
      <c r="A505" t="s">
        <v>72</v>
      </c>
      <c r="B505" t="s">
        <v>9926</v>
      </c>
      <c r="C505" t="s">
        <v>74</v>
      </c>
      <c r="D505" t="s">
        <v>74</v>
      </c>
      <c r="E505" t="s">
        <v>74</v>
      </c>
      <c r="F505" t="s">
        <v>9927</v>
      </c>
      <c r="G505" t="s">
        <v>74</v>
      </c>
      <c r="H505" t="s">
        <v>74</v>
      </c>
      <c r="I505" t="s">
        <v>9928</v>
      </c>
      <c r="J505" t="s">
        <v>9929</v>
      </c>
      <c r="K505" t="s">
        <v>74</v>
      </c>
      <c r="L505" t="s">
        <v>74</v>
      </c>
      <c r="M505" t="s">
        <v>78</v>
      </c>
      <c r="N505" t="s">
        <v>79</v>
      </c>
      <c r="O505" t="s">
        <v>74</v>
      </c>
      <c r="P505" t="s">
        <v>74</v>
      </c>
      <c r="Q505" t="s">
        <v>74</v>
      </c>
      <c r="R505" t="s">
        <v>74</v>
      </c>
      <c r="S505" t="s">
        <v>74</v>
      </c>
      <c r="T505" t="s">
        <v>9930</v>
      </c>
      <c r="U505" t="s">
        <v>9931</v>
      </c>
      <c r="V505" t="s">
        <v>9932</v>
      </c>
      <c r="W505" t="s">
        <v>9933</v>
      </c>
      <c r="X505" t="s">
        <v>9934</v>
      </c>
      <c r="Y505" t="s">
        <v>9935</v>
      </c>
      <c r="Z505" t="s">
        <v>9936</v>
      </c>
      <c r="AA505" t="s">
        <v>9937</v>
      </c>
      <c r="AB505" t="s">
        <v>9938</v>
      </c>
      <c r="AC505" t="s">
        <v>9939</v>
      </c>
      <c r="AD505" t="s">
        <v>9940</v>
      </c>
      <c r="AE505" t="s">
        <v>9941</v>
      </c>
      <c r="AF505" t="s">
        <v>74</v>
      </c>
      <c r="AG505">
        <v>27</v>
      </c>
      <c r="AH505">
        <v>55</v>
      </c>
      <c r="AI505">
        <v>59</v>
      </c>
      <c r="AJ505">
        <v>3</v>
      </c>
      <c r="AK505">
        <v>35</v>
      </c>
      <c r="AL505" t="s">
        <v>713</v>
      </c>
      <c r="AM505" t="s">
        <v>250</v>
      </c>
      <c r="AN505" t="s">
        <v>714</v>
      </c>
      <c r="AO505" t="s">
        <v>9942</v>
      </c>
      <c r="AP505" t="s">
        <v>9943</v>
      </c>
      <c r="AQ505" t="s">
        <v>74</v>
      </c>
      <c r="AR505" t="s">
        <v>9944</v>
      </c>
      <c r="AS505" t="s">
        <v>9945</v>
      </c>
      <c r="AT505" t="s">
        <v>9946</v>
      </c>
      <c r="AU505">
        <v>2016</v>
      </c>
      <c r="AV505">
        <v>12</v>
      </c>
      <c r="AW505">
        <v>8</v>
      </c>
      <c r="AX505" t="s">
        <v>74</v>
      </c>
      <c r="AY505" t="s">
        <v>74</v>
      </c>
      <c r="AZ505" t="s">
        <v>74</v>
      </c>
      <c r="BA505" t="s">
        <v>74</v>
      </c>
      <c r="BB505" t="s">
        <v>74</v>
      </c>
      <c r="BC505" t="s">
        <v>74</v>
      </c>
      <c r="BD505">
        <v>20160024</v>
      </c>
      <c r="BE505" t="s">
        <v>9947</v>
      </c>
      <c r="BF505" t="str">
        <f>HYPERLINK("http://dx.doi.org/10.1098/rsbl.2016.0024","http://dx.doi.org/10.1098/rsbl.2016.0024")</f>
        <v>http://dx.doi.org/10.1098/rsbl.2016.0024</v>
      </c>
      <c r="BG505" t="s">
        <v>74</v>
      </c>
      <c r="BH505" t="s">
        <v>74</v>
      </c>
      <c r="BI505">
        <v>5</v>
      </c>
      <c r="BJ505" t="s">
        <v>9948</v>
      </c>
      <c r="BK505" t="s">
        <v>156</v>
      </c>
      <c r="BL505" t="s">
        <v>9949</v>
      </c>
      <c r="BM505" t="s">
        <v>9950</v>
      </c>
      <c r="BN505">
        <v>27531154</v>
      </c>
      <c r="BO505" t="s">
        <v>8418</v>
      </c>
      <c r="BP505" t="s">
        <v>74</v>
      </c>
      <c r="BQ505" t="s">
        <v>74</v>
      </c>
      <c r="BR505" t="s">
        <v>105</v>
      </c>
      <c r="BS505" t="s">
        <v>9951</v>
      </c>
      <c r="BT505" t="str">
        <f>HYPERLINK("https%3A%2F%2Fwww.webofscience.com%2Fwos%2Fwoscc%2Ffull-record%2FWOS:000390331600002","View Full Record in Web of Science")</f>
        <v>View Full Record in Web of Science</v>
      </c>
    </row>
    <row r="506" spans="1:72" x14ac:dyDescent="0.15">
      <c r="A506" t="s">
        <v>72</v>
      </c>
      <c r="B506" t="s">
        <v>9952</v>
      </c>
      <c r="C506" t="s">
        <v>74</v>
      </c>
      <c r="D506" t="s">
        <v>74</v>
      </c>
      <c r="E506" t="s">
        <v>74</v>
      </c>
      <c r="F506" t="s">
        <v>9953</v>
      </c>
      <c r="G506" t="s">
        <v>74</v>
      </c>
      <c r="H506" t="s">
        <v>74</v>
      </c>
      <c r="I506" t="s">
        <v>9954</v>
      </c>
      <c r="J506" t="s">
        <v>9955</v>
      </c>
      <c r="K506" t="s">
        <v>74</v>
      </c>
      <c r="L506" t="s">
        <v>74</v>
      </c>
      <c r="M506" t="s">
        <v>78</v>
      </c>
      <c r="N506" t="s">
        <v>79</v>
      </c>
      <c r="O506" t="s">
        <v>74</v>
      </c>
      <c r="P506" t="s">
        <v>74</v>
      </c>
      <c r="Q506" t="s">
        <v>74</v>
      </c>
      <c r="R506" t="s">
        <v>74</v>
      </c>
      <c r="S506" t="s">
        <v>74</v>
      </c>
      <c r="T506" t="s">
        <v>9956</v>
      </c>
      <c r="U506" t="s">
        <v>74</v>
      </c>
      <c r="V506" t="s">
        <v>9957</v>
      </c>
      <c r="W506" t="s">
        <v>9958</v>
      </c>
      <c r="X506" t="s">
        <v>9959</v>
      </c>
      <c r="Y506" t="s">
        <v>9960</v>
      </c>
      <c r="Z506" t="s">
        <v>9961</v>
      </c>
      <c r="AA506" t="s">
        <v>9962</v>
      </c>
      <c r="AB506" t="s">
        <v>9963</v>
      </c>
      <c r="AC506" t="s">
        <v>74</v>
      </c>
      <c r="AD506" t="s">
        <v>74</v>
      </c>
      <c r="AE506" t="s">
        <v>74</v>
      </c>
      <c r="AF506" t="s">
        <v>74</v>
      </c>
      <c r="AG506">
        <v>27</v>
      </c>
      <c r="AH506">
        <v>13</v>
      </c>
      <c r="AI506">
        <v>13</v>
      </c>
      <c r="AJ506">
        <v>1</v>
      </c>
      <c r="AK506">
        <v>6</v>
      </c>
      <c r="AL506" t="s">
        <v>501</v>
      </c>
      <c r="AM506" t="s">
        <v>502</v>
      </c>
      <c r="AN506" t="s">
        <v>503</v>
      </c>
      <c r="AO506" t="s">
        <v>9964</v>
      </c>
      <c r="AP506" t="s">
        <v>9965</v>
      </c>
      <c r="AQ506" t="s">
        <v>74</v>
      </c>
      <c r="AR506" t="s">
        <v>9966</v>
      </c>
      <c r="AS506" t="s">
        <v>9967</v>
      </c>
      <c r="AT506" t="s">
        <v>9902</v>
      </c>
      <c r="AU506">
        <v>2016</v>
      </c>
      <c r="AV506">
        <v>36</v>
      </c>
      <c r="AW506">
        <v>10</v>
      </c>
      <c r="AX506" t="s">
        <v>74</v>
      </c>
      <c r="AY506" t="s">
        <v>74</v>
      </c>
      <c r="AZ506" t="s">
        <v>74</v>
      </c>
      <c r="BA506" t="s">
        <v>74</v>
      </c>
      <c r="BB506">
        <v>3458</v>
      </c>
      <c r="BC506">
        <v>3468</v>
      </c>
      <c r="BD506" t="s">
        <v>74</v>
      </c>
      <c r="BE506" t="s">
        <v>9968</v>
      </c>
      <c r="BF506" t="str">
        <f>HYPERLINK("http://dx.doi.org/10.1002/joc.4568","http://dx.doi.org/10.1002/joc.4568")</f>
        <v>http://dx.doi.org/10.1002/joc.4568</v>
      </c>
      <c r="BG506" t="s">
        <v>74</v>
      </c>
      <c r="BH506" t="s">
        <v>74</v>
      </c>
      <c r="BI506">
        <v>11</v>
      </c>
      <c r="BJ506" t="s">
        <v>2482</v>
      </c>
      <c r="BK506" t="s">
        <v>156</v>
      </c>
      <c r="BL506" t="s">
        <v>2482</v>
      </c>
      <c r="BM506" t="s">
        <v>9969</v>
      </c>
      <c r="BN506" t="s">
        <v>74</v>
      </c>
      <c r="BO506" t="s">
        <v>74</v>
      </c>
      <c r="BP506" t="s">
        <v>74</v>
      </c>
      <c r="BQ506" t="s">
        <v>74</v>
      </c>
      <c r="BR506" t="s">
        <v>105</v>
      </c>
      <c r="BS506" t="s">
        <v>9970</v>
      </c>
      <c r="BT506" t="str">
        <f>HYPERLINK("https%3A%2F%2Fwww.webofscience.com%2Fwos%2Fwoscc%2Ffull-record%2FWOS:000383613700004","View Full Record in Web of Science")</f>
        <v>View Full Record in Web of Science</v>
      </c>
    </row>
    <row r="507" spans="1:72" x14ac:dyDescent="0.15">
      <c r="A507" t="s">
        <v>72</v>
      </c>
      <c r="B507" t="s">
        <v>9971</v>
      </c>
      <c r="C507" t="s">
        <v>74</v>
      </c>
      <c r="D507" t="s">
        <v>74</v>
      </c>
      <c r="E507" t="s">
        <v>74</v>
      </c>
      <c r="F507" t="s">
        <v>9972</v>
      </c>
      <c r="G507" t="s">
        <v>74</v>
      </c>
      <c r="H507" t="s">
        <v>74</v>
      </c>
      <c r="I507" t="s">
        <v>9973</v>
      </c>
      <c r="J507" t="s">
        <v>489</v>
      </c>
      <c r="K507" t="s">
        <v>74</v>
      </c>
      <c r="L507" t="s">
        <v>74</v>
      </c>
      <c r="M507" t="s">
        <v>78</v>
      </c>
      <c r="N507" t="s">
        <v>52</v>
      </c>
      <c r="O507" t="s">
        <v>9974</v>
      </c>
      <c r="P507" t="s">
        <v>9975</v>
      </c>
      <c r="Q507" t="s">
        <v>9976</v>
      </c>
      <c r="R507" t="s">
        <v>74</v>
      </c>
      <c r="S507" t="s">
        <v>74</v>
      </c>
      <c r="T507" t="s">
        <v>74</v>
      </c>
      <c r="U507" t="s">
        <v>74</v>
      </c>
      <c r="V507" t="s">
        <v>74</v>
      </c>
      <c r="W507" t="s">
        <v>9977</v>
      </c>
      <c r="X507" t="s">
        <v>9978</v>
      </c>
      <c r="Y507" t="s">
        <v>74</v>
      </c>
      <c r="Z507" t="s">
        <v>9979</v>
      </c>
      <c r="AA507" t="s">
        <v>74</v>
      </c>
      <c r="AB507" t="s">
        <v>74</v>
      </c>
      <c r="AC507" t="s">
        <v>74</v>
      </c>
      <c r="AD507" t="s">
        <v>74</v>
      </c>
      <c r="AE507" t="s">
        <v>74</v>
      </c>
      <c r="AF507" t="s">
        <v>74</v>
      </c>
      <c r="AG507">
        <v>1</v>
      </c>
      <c r="AH507">
        <v>0</v>
      </c>
      <c r="AI507">
        <v>0</v>
      </c>
      <c r="AJ507">
        <v>0</v>
      </c>
      <c r="AK507">
        <v>1</v>
      </c>
      <c r="AL507" t="s">
        <v>2541</v>
      </c>
      <c r="AM507" t="s">
        <v>502</v>
      </c>
      <c r="AN507" t="s">
        <v>503</v>
      </c>
      <c r="AO507" t="s">
        <v>504</v>
      </c>
      <c r="AP507" t="s">
        <v>505</v>
      </c>
      <c r="AQ507" t="s">
        <v>74</v>
      </c>
      <c r="AR507" t="s">
        <v>506</v>
      </c>
      <c r="AS507" t="s">
        <v>507</v>
      </c>
      <c r="AT507" t="s">
        <v>9902</v>
      </c>
      <c r="AU507">
        <v>2016</v>
      </c>
      <c r="AV507">
        <v>51</v>
      </c>
      <c r="AW507" t="s">
        <v>74</v>
      </c>
      <c r="AX507" t="s">
        <v>74</v>
      </c>
      <c r="AY507">
        <v>1</v>
      </c>
      <c r="AZ507" t="s">
        <v>650</v>
      </c>
      <c r="BA507" t="s">
        <v>74</v>
      </c>
      <c r="BB507" t="s">
        <v>9980</v>
      </c>
      <c r="BC507" t="s">
        <v>9980</v>
      </c>
      <c r="BD507" t="s">
        <v>74</v>
      </c>
      <c r="BE507" t="s">
        <v>74</v>
      </c>
      <c r="BF507" t="s">
        <v>74</v>
      </c>
      <c r="BG507" t="s">
        <v>74</v>
      </c>
      <c r="BH507" t="s">
        <v>74</v>
      </c>
      <c r="BI507">
        <v>1</v>
      </c>
      <c r="BJ507" t="s">
        <v>155</v>
      </c>
      <c r="BK507" t="s">
        <v>2548</v>
      </c>
      <c r="BL507" t="s">
        <v>155</v>
      </c>
      <c r="BM507" t="s">
        <v>9981</v>
      </c>
      <c r="BN507" t="s">
        <v>74</v>
      </c>
      <c r="BO507" t="s">
        <v>74</v>
      </c>
      <c r="BP507" t="s">
        <v>74</v>
      </c>
      <c r="BQ507" t="s">
        <v>74</v>
      </c>
      <c r="BR507" t="s">
        <v>105</v>
      </c>
      <c r="BS507" t="s">
        <v>9982</v>
      </c>
      <c r="BT507" t="str">
        <f>HYPERLINK("https%3A%2F%2Fwww.webofscience.com%2Fwos%2Fwoscc%2Ffull-record%2FWOS:000388662400092","View Full Record in Web of Science")</f>
        <v>View Full Record in Web of Science</v>
      </c>
    </row>
    <row r="508" spans="1:72" x14ac:dyDescent="0.15">
      <c r="A508" t="s">
        <v>72</v>
      </c>
      <c r="B508" t="s">
        <v>9983</v>
      </c>
      <c r="C508" t="s">
        <v>74</v>
      </c>
      <c r="D508" t="s">
        <v>74</v>
      </c>
      <c r="E508" t="s">
        <v>74</v>
      </c>
      <c r="F508" t="s">
        <v>9984</v>
      </c>
      <c r="G508" t="s">
        <v>74</v>
      </c>
      <c r="H508" t="s">
        <v>74</v>
      </c>
      <c r="I508" t="s">
        <v>9985</v>
      </c>
      <c r="J508" t="s">
        <v>489</v>
      </c>
      <c r="K508" t="s">
        <v>74</v>
      </c>
      <c r="L508" t="s">
        <v>74</v>
      </c>
      <c r="M508" t="s">
        <v>78</v>
      </c>
      <c r="N508" t="s">
        <v>52</v>
      </c>
      <c r="O508" t="s">
        <v>9974</v>
      </c>
      <c r="P508" t="s">
        <v>9975</v>
      </c>
      <c r="Q508" t="s">
        <v>9976</v>
      </c>
      <c r="R508" t="s">
        <v>74</v>
      </c>
      <c r="S508" t="s">
        <v>74</v>
      </c>
      <c r="T508" t="s">
        <v>74</v>
      </c>
      <c r="U508" t="s">
        <v>74</v>
      </c>
      <c r="V508" t="s">
        <v>74</v>
      </c>
      <c r="W508" t="s">
        <v>9986</v>
      </c>
      <c r="X508" t="s">
        <v>9987</v>
      </c>
      <c r="Y508" t="s">
        <v>74</v>
      </c>
      <c r="Z508" t="s">
        <v>74</v>
      </c>
      <c r="AA508" t="s">
        <v>74</v>
      </c>
      <c r="AB508" t="s">
        <v>74</v>
      </c>
      <c r="AC508" t="s">
        <v>74</v>
      </c>
      <c r="AD508" t="s">
        <v>74</v>
      </c>
      <c r="AE508" t="s">
        <v>74</v>
      </c>
      <c r="AF508" t="s">
        <v>74</v>
      </c>
      <c r="AG508">
        <v>9</v>
      </c>
      <c r="AH508">
        <v>0</v>
      </c>
      <c r="AI508">
        <v>0</v>
      </c>
      <c r="AJ508">
        <v>0</v>
      </c>
      <c r="AK508">
        <v>3</v>
      </c>
      <c r="AL508" t="s">
        <v>501</v>
      </c>
      <c r="AM508" t="s">
        <v>502</v>
      </c>
      <c r="AN508" t="s">
        <v>503</v>
      </c>
      <c r="AO508" t="s">
        <v>504</v>
      </c>
      <c r="AP508" t="s">
        <v>505</v>
      </c>
      <c r="AQ508" t="s">
        <v>74</v>
      </c>
      <c r="AR508" t="s">
        <v>506</v>
      </c>
      <c r="AS508" t="s">
        <v>507</v>
      </c>
      <c r="AT508" t="s">
        <v>9902</v>
      </c>
      <c r="AU508">
        <v>2016</v>
      </c>
      <c r="AV508">
        <v>51</v>
      </c>
      <c r="AW508" t="s">
        <v>74</v>
      </c>
      <c r="AX508" t="s">
        <v>74</v>
      </c>
      <c r="AY508">
        <v>1</v>
      </c>
      <c r="AZ508" t="s">
        <v>650</v>
      </c>
      <c r="BA508" t="s">
        <v>74</v>
      </c>
      <c r="BB508" t="s">
        <v>9988</v>
      </c>
      <c r="BC508" t="s">
        <v>9988</v>
      </c>
      <c r="BD508" t="s">
        <v>74</v>
      </c>
      <c r="BE508" t="s">
        <v>74</v>
      </c>
      <c r="BF508" t="s">
        <v>74</v>
      </c>
      <c r="BG508" t="s">
        <v>74</v>
      </c>
      <c r="BH508" t="s">
        <v>74</v>
      </c>
      <c r="BI508">
        <v>1</v>
      </c>
      <c r="BJ508" t="s">
        <v>155</v>
      </c>
      <c r="BK508" t="s">
        <v>2548</v>
      </c>
      <c r="BL508" t="s">
        <v>155</v>
      </c>
      <c r="BM508" t="s">
        <v>9981</v>
      </c>
      <c r="BN508" t="s">
        <v>74</v>
      </c>
      <c r="BO508" t="s">
        <v>74</v>
      </c>
      <c r="BP508" t="s">
        <v>74</v>
      </c>
      <c r="BQ508" t="s">
        <v>74</v>
      </c>
      <c r="BR508" t="s">
        <v>105</v>
      </c>
      <c r="BS508" t="s">
        <v>9989</v>
      </c>
      <c r="BT508" t="str">
        <f>HYPERLINK("https%3A%2F%2Fwww.webofscience.com%2Fwos%2Fwoscc%2Ffull-record%2FWOS:000388662400159","View Full Record in Web of Science")</f>
        <v>View Full Record in Web of Science</v>
      </c>
    </row>
    <row r="509" spans="1:72" x14ac:dyDescent="0.15">
      <c r="A509" t="s">
        <v>72</v>
      </c>
      <c r="B509" t="s">
        <v>9990</v>
      </c>
      <c r="C509" t="s">
        <v>74</v>
      </c>
      <c r="D509" t="s">
        <v>74</v>
      </c>
      <c r="E509" t="s">
        <v>74</v>
      </c>
      <c r="F509" t="s">
        <v>9991</v>
      </c>
      <c r="G509" t="s">
        <v>74</v>
      </c>
      <c r="H509" t="s">
        <v>74</v>
      </c>
      <c r="I509" t="s">
        <v>9992</v>
      </c>
      <c r="J509" t="s">
        <v>489</v>
      </c>
      <c r="K509" t="s">
        <v>74</v>
      </c>
      <c r="L509" t="s">
        <v>74</v>
      </c>
      <c r="M509" t="s">
        <v>78</v>
      </c>
      <c r="N509" t="s">
        <v>52</v>
      </c>
      <c r="O509" t="s">
        <v>9974</v>
      </c>
      <c r="P509" t="s">
        <v>9975</v>
      </c>
      <c r="Q509" t="s">
        <v>9976</v>
      </c>
      <c r="R509" t="s">
        <v>74</v>
      </c>
      <c r="S509" t="s">
        <v>74</v>
      </c>
      <c r="T509" t="s">
        <v>74</v>
      </c>
      <c r="U509" t="s">
        <v>74</v>
      </c>
      <c r="V509" t="s">
        <v>74</v>
      </c>
      <c r="W509" t="s">
        <v>9993</v>
      </c>
      <c r="X509" t="s">
        <v>9994</v>
      </c>
      <c r="Y509" t="s">
        <v>74</v>
      </c>
      <c r="Z509" t="s">
        <v>9995</v>
      </c>
      <c r="AA509" t="s">
        <v>74</v>
      </c>
      <c r="AB509" t="s">
        <v>74</v>
      </c>
      <c r="AC509" t="s">
        <v>74</v>
      </c>
      <c r="AD509" t="s">
        <v>74</v>
      </c>
      <c r="AE509" t="s">
        <v>74</v>
      </c>
      <c r="AF509" t="s">
        <v>74</v>
      </c>
      <c r="AG509">
        <v>4</v>
      </c>
      <c r="AH509">
        <v>0</v>
      </c>
      <c r="AI509">
        <v>0</v>
      </c>
      <c r="AJ509">
        <v>0</v>
      </c>
      <c r="AK509">
        <v>0</v>
      </c>
      <c r="AL509" t="s">
        <v>2541</v>
      </c>
      <c r="AM509" t="s">
        <v>502</v>
      </c>
      <c r="AN509" t="s">
        <v>503</v>
      </c>
      <c r="AO509" t="s">
        <v>504</v>
      </c>
      <c r="AP509" t="s">
        <v>505</v>
      </c>
      <c r="AQ509" t="s">
        <v>74</v>
      </c>
      <c r="AR509" t="s">
        <v>506</v>
      </c>
      <c r="AS509" t="s">
        <v>507</v>
      </c>
      <c r="AT509" t="s">
        <v>9902</v>
      </c>
      <c r="AU509">
        <v>2016</v>
      </c>
      <c r="AV509">
        <v>51</v>
      </c>
      <c r="AW509" t="s">
        <v>74</v>
      </c>
      <c r="AX509" t="s">
        <v>74</v>
      </c>
      <c r="AY509">
        <v>1</v>
      </c>
      <c r="AZ509" t="s">
        <v>650</v>
      </c>
      <c r="BA509" t="s">
        <v>74</v>
      </c>
      <c r="BB509" t="s">
        <v>9996</v>
      </c>
      <c r="BC509" t="s">
        <v>9996</v>
      </c>
      <c r="BD509" t="s">
        <v>74</v>
      </c>
      <c r="BE509" t="s">
        <v>74</v>
      </c>
      <c r="BF509" t="s">
        <v>74</v>
      </c>
      <c r="BG509" t="s">
        <v>74</v>
      </c>
      <c r="BH509" t="s">
        <v>74</v>
      </c>
      <c r="BI509">
        <v>1</v>
      </c>
      <c r="BJ509" t="s">
        <v>155</v>
      </c>
      <c r="BK509" t="s">
        <v>2548</v>
      </c>
      <c r="BL509" t="s">
        <v>155</v>
      </c>
      <c r="BM509" t="s">
        <v>9981</v>
      </c>
      <c r="BN509" t="s">
        <v>74</v>
      </c>
      <c r="BO509" t="s">
        <v>74</v>
      </c>
      <c r="BP509" t="s">
        <v>74</v>
      </c>
      <c r="BQ509" t="s">
        <v>74</v>
      </c>
      <c r="BR509" t="s">
        <v>105</v>
      </c>
      <c r="BS509" t="s">
        <v>9997</v>
      </c>
      <c r="BT509" t="str">
        <f>HYPERLINK("https%3A%2F%2Fwww.webofscience.com%2Fwos%2Fwoscc%2Ffull-record%2FWOS:000388662400220","View Full Record in Web of Science")</f>
        <v>View Full Record in Web of Science</v>
      </c>
    </row>
    <row r="510" spans="1:72" x14ac:dyDescent="0.15">
      <c r="A510" t="s">
        <v>72</v>
      </c>
      <c r="B510" t="s">
        <v>9998</v>
      </c>
      <c r="C510" t="s">
        <v>74</v>
      </c>
      <c r="D510" t="s">
        <v>74</v>
      </c>
      <c r="E510" t="s">
        <v>74</v>
      </c>
      <c r="F510" t="s">
        <v>9999</v>
      </c>
      <c r="G510" t="s">
        <v>74</v>
      </c>
      <c r="H510" t="s">
        <v>74</v>
      </c>
      <c r="I510" t="s">
        <v>10000</v>
      </c>
      <c r="J510" t="s">
        <v>489</v>
      </c>
      <c r="K510" t="s">
        <v>74</v>
      </c>
      <c r="L510" t="s">
        <v>74</v>
      </c>
      <c r="M510" t="s">
        <v>78</v>
      </c>
      <c r="N510" t="s">
        <v>52</v>
      </c>
      <c r="O510" t="s">
        <v>9974</v>
      </c>
      <c r="P510" t="s">
        <v>9975</v>
      </c>
      <c r="Q510" t="s">
        <v>9976</v>
      </c>
      <c r="R510" t="s">
        <v>74</v>
      </c>
      <c r="S510" t="s">
        <v>74</v>
      </c>
      <c r="T510" t="s">
        <v>74</v>
      </c>
      <c r="U510" t="s">
        <v>74</v>
      </c>
      <c r="V510" t="s">
        <v>74</v>
      </c>
      <c r="W510" t="s">
        <v>10001</v>
      </c>
      <c r="X510" t="s">
        <v>74</v>
      </c>
      <c r="Y510" t="s">
        <v>74</v>
      </c>
      <c r="Z510" t="s">
        <v>10002</v>
      </c>
      <c r="AA510" t="s">
        <v>74</v>
      </c>
      <c r="AB510" t="s">
        <v>74</v>
      </c>
      <c r="AC510" t="s">
        <v>74</v>
      </c>
      <c r="AD510" t="s">
        <v>74</v>
      </c>
      <c r="AE510" t="s">
        <v>74</v>
      </c>
      <c r="AF510" t="s">
        <v>74</v>
      </c>
      <c r="AG510">
        <v>6</v>
      </c>
      <c r="AH510">
        <v>0</v>
      </c>
      <c r="AI510">
        <v>0</v>
      </c>
      <c r="AJ510">
        <v>0</v>
      </c>
      <c r="AK510">
        <v>8</v>
      </c>
      <c r="AL510" t="s">
        <v>2541</v>
      </c>
      <c r="AM510" t="s">
        <v>502</v>
      </c>
      <c r="AN510" t="s">
        <v>503</v>
      </c>
      <c r="AO510" t="s">
        <v>504</v>
      </c>
      <c r="AP510" t="s">
        <v>505</v>
      </c>
      <c r="AQ510" t="s">
        <v>74</v>
      </c>
      <c r="AR510" t="s">
        <v>506</v>
      </c>
      <c r="AS510" t="s">
        <v>507</v>
      </c>
      <c r="AT510" t="s">
        <v>9902</v>
      </c>
      <c r="AU510">
        <v>2016</v>
      </c>
      <c r="AV510">
        <v>51</v>
      </c>
      <c r="AW510" t="s">
        <v>74</v>
      </c>
      <c r="AX510" t="s">
        <v>74</v>
      </c>
      <c r="AY510">
        <v>1</v>
      </c>
      <c r="AZ510" t="s">
        <v>650</v>
      </c>
      <c r="BA510" t="s">
        <v>74</v>
      </c>
      <c r="BB510" t="s">
        <v>10003</v>
      </c>
      <c r="BC510" t="s">
        <v>10003</v>
      </c>
      <c r="BD510" t="s">
        <v>74</v>
      </c>
      <c r="BE510" t="s">
        <v>74</v>
      </c>
      <c r="BF510" t="s">
        <v>74</v>
      </c>
      <c r="BG510" t="s">
        <v>74</v>
      </c>
      <c r="BH510" t="s">
        <v>74</v>
      </c>
      <c r="BI510">
        <v>1</v>
      </c>
      <c r="BJ510" t="s">
        <v>155</v>
      </c>
      <c r="BK510" t="s">
        <v>2548</v>
      </c>
      <c r="BL510" t="s">
        <v>155</v>
      </c>
      <c r="BM510" t="s">
        <v>9981</v>
      </c>
      <c r="BN510" t="s">
        <v>74</v>
      </c>
      <c r="BO510" t="s">
        <v>74</v>
      </c>
      <c r="BP510" t="s">
        <v>74</v>
      </c>
      <c r="BQ510" t="s">
        <v>74</v>
      </c>
      <c r="BR510" t="s">
        <v>105</v>
      </c>
      <c r="BS510" t="s">
        <v>10004</v>
      </c>
      <c r="BT510" t="str">
        <f>HYPERLINK("https%3A%2F%2Fwww.webofscience.com%2Fwos%2Fwoscc%2Ffull-record%2FWOS:000388662400248","View Full Record in Web of Science")</f>
        <v>View Full Record in Web of Science</v>
      </c>
    </row>
    <row r="511" spans="1:72" x14ac:dyDescent="0.15">
      <c r="A511" t="s">
        <v>72</v>
      </c>
      <c r="B511" t="s">
        <v>10005</v>
      </c>
      <c r="C511" t="s">
        <v>74</v>
      </c>
      <c r="D511" t="s">
        <v>74</v>
      </c>
      <c r="E511" t="s">
        <v>74</v>
      </c>
      <c r="F511" t="s">
        <v>10006</v>
      </c>
      <c r="G511" t="s">
        <v>74</v>
      </c>
      <c r="H511" t="s">
        <v>74</v>
      </c>
      <c r="I511" t="s">
        <v>10007</v>
      </c>
      <c r="J511" t="s">
        <v>489</v>
      </c>
      <c r="K511" t="s">
        <v>74</v>
      </c>
      <c r="L511" t="s">
        <v>74</v>
      </c>
      <c r="M511" t="s">
        <v>78</v>
      </c>
      <c r="N511" t="s">
        <v>52</v>
      </c>
      <c r="O511" t="s">
        <v>9974</v>
      </c>
      <c r="P511" t="s">
        <v>9975</v>
      </c>
      <c r="Q511" t="s">
        <v>9976</v>
      </c>
      <c r="R511" t="s">
        <v>74</v>
      </c>
      <c r="S511" t="s">
        <v>74</v>
      </c>
      <c r="T511" t="s">
        <v>74</v>
      </c>
      <c r="U511" t="s">
        <v>74</v>
      </c>
      <c r="V511" t="s">
        <v>74</v>
      </c>
      <c r="W511" t="s">
        <v>10008</v>
      </c>
      <c r="X511" t="s">
        <v>10009</v>
      </c>
      <c r="Y511" t="s">
        <v>74</v>
      </c>
      <c r="Z511" t="s">
        <v>10010</v>
      </c>
      <c r="AA511" t="s">
        <v>10011</v>
      </c>
      <c r="AB511" t="s">
        <v>10012</v>
      </c>
      <c r="AC511" t="s">
        <v>74</v>
      </c>
      <c r="AD511" t="s">
        <v>74</v>
      </c>
      <c r="AE511" t="s">
        <v>74</v>
      </c>
      <c r="AF511" t="s">
        <v>74</v>
      </c>
      <c r="AG511">
        <v>1</v>
      </c>
      <c r="AH511">
        <v>1</v>
      </c>
      <c r="AI511">
        <v>1</v>
      </c>
      <c r="AJ511">
        <v>0</v>
      </c>
      <c r="AK511">
        <v>2</v>
      </c>
      <c r="AL511" t="s">
        <v>2541</v>
      </c>
      <c r="AM511" t="s">
        <v>502</v>
      </c>
      <c r="AN511" t="s">
        <v>503</v>
      </c>
      <c r="AO511" t="s">
        <v>504</v>
      </c>
      <c r="AP511" t="s">
        <v>505</v>
      </c>
      <c r="AQ511" t="s">
        <v>74</v>
      </c>
      <c r="AR511" t="s">
        <v>506</v>
      </c>
      <c r="AS511" t="s">
        <v>507</v>
      </c>
      <c r="AT511" t="s">
        <v>9902</v>
      </c>
      <c r="AU511">
        <v>2016</v>
      </c>
      <c r="AV511">
        <v>51</v>
      </c>
      <c r="AW511" t="s">
        <v>74</v>
      </c>
      <c r="AX511" t="s">
        <v>74</v>
      </c>
      <c r="AY511">
        <v>1</v>
      </c>
      <c r="AZ511" t="s">
        <v>650</v>
      </c>
      <c r="BA511" t="s">
        <v>74</v>
      </c>
      <c r="BB511" t="s">
        <v>10013</v>
      </c>
      <c r="BC511" t="s">
        <v>10013</v>
      </c>
      <c r="BD511" t="s">
        <v>74</v>
      </c>
      <c r="BE511" t="s">
        <v>74</v>
      </c>
      <c r="BF511" t="s">
        <v>74</v>
      </c>
      <c r="BG511" t="s">
        <v>74</v>
      </c>
      <c r="BH511" t="s">
        <v>74</v>
      </c>
      <c r="BI511">
        <v>1</v>
      </c>
      <c r="BJ511" t="s">
        <v>155</v>
      </c>
      <c r="BK511" t="s">
        <v>2548</v>
      </c>
      <c r="BL511" t="s">
        <v>155</v>
      </c>
      <c r="BM511" t="s">
        <v>9981</v>
      </c>
      <c r="BN511" t="s">
        <v>74</v>
      </c>
      <c r="BO511" t="s">
        <v>74</v>
      </c>
      <c r="BP511" t="s">
        <v>74</v>
      </c>
      <c r="BQ511" t="s">
        <v>74</v>
      </c>
      <c r="BR511" t="s">
        <v>105</v>
      </c>
      <c r="BS511" t="s">
        <v>10014</v>
      </c>
      <c r="BT511" t="str">
        <f>HYPERLINK("https%3A%2F%2Fwww.webofscience.com%2Fwos%2Fwoscc%2Ffull-record%2FWOS:000388662400258","View Full Record in Web of Science")</f>
        <v>View Full Record in Web of Science</v>
      </c>
    </row>
    <row r="512" spans="1:72" x14ac:dyDescent="0.15">
      <c r="A512" t="s">
        <v>72</v>
      </c>
      <c r="B512" t="s">
        <v>10015</v>
      </c>
      <c r="C512" t="s">
        <v>74</v>
      </c>
      <c r="D512" t="s">
        <v>74</v>
      </c>
      <c r="E512" t="s">
        <v>74</v>
      </c>
      <c r="F512" t="s">
        <v>10016</v>
      </c>
      <c r="G512" t="s">
        <v>74</v>
      </c>
      <c r="H512" t="s">
        <v>74</v>
      </c>
      <c r="I512" t="s">
        <v>10017</v>
      </c>
      <c r="J512" t="s">
        <v>489</v>
      </c>
      <c r="K512" t="s">
        <v>74</v>
      </c>
      <c r="L512" t="s">
        <v>74</v>
      </c>
      <c r="M512" t="s">
        <v>78</v>
      </c>
      <c r="N512" t="s">
        <v>52</v>
      </c>
      <c r="O512" t="s">
        <v>9974</v>
      </c>
      <c r="P512" t="s">
        <v>9975</v>
      </c>
      <c r="Q512" t="s">
        <v>9976</v>
      </c>
      <c r="R512" t="s">
        <v>74</v>
      </c>
      <c r="S512" t="s">
        <v>74</v>
      </c>
      <c r="T512" t="s">
        <v>74</v>
      </c>
      <c r="U512" t="s">
        <v>74</v>
      </c>
      <c r="V512" t="s">
        <v>74</v>
      </c>
      <c r="W512" t="s">
        <v>10018</v>
      </c>
      <c r="X512" t="s">
        <v>10019</v>
      </c>
      <c r="Y512" t="s">
        <v>74</v>
      </c>
      <c r="Z512" t="s">
        <v>10020</v>
      </c>
      <c r="AA512" t="s">
        <v>74</v>
      </c>
      <c r="AB512" t="s">
        <v>74</v>
      </c>
      <c r="AC512" t="s">
        <v>74</v>
      </c>
      <c r="AD512" t="s">
        <v>74</v>
      </c>
      <c r="AE512" t="s">
        <v>74</v>
      </c>
      <c r="AF512" t="s">
        <v>74</v>
      </c>
      <c r="AG512">
        <v>13</v>
      </c>
      <c r="AH512">
        <v>0</v>
      </c>
      <c r="AI512">
        <v>0</v>
      </c>
      <c r="AJ512">
        <v>0</v>
      </c>
      <c r="AK512">
        <v>1</v>
      </c>
      <c r="AL512" t="s">
        <v>501</v>
      </c>
      <c r="AM512" t="s">
        <v>502</v>
      </c>
      <c r="AN512" t="s">
        <v>503</v>
      </c>
      <c r="AO512" t="s">
        <v>504</v>
      </c>
      <c r="AP512" t="s">
        <v>505</v>
      </c>
      <c r="AQ512" t="s">
        <v>74</v>
      </c>
      <c r="AR512" t="s">
        <v>506</v>
      </c>
      <c r="AS512" t="s">
        <v>507</v>
      </c>
      <c r="AT512" t="s">
        <v>9902</v>
      </c>
      <c r="AU512">
        <v>2016</v>
      </c>
      <c r="AV512">
        <v>51</v>
      </c>
      <c r="AW512" t="s">
        <v>74</v>
      </c>
      <c r="AX512" t="s">
        <v>74</v>
      </c>
      <c r="AY512">
        <v>1</v>
      </c>
      <c r="AZ512" t="s">
        <v>650</v>
      </c>
      <c r="BA512" t="s">
        <v>74</v>
      </c>
      <c r="BB512" t="s">
        <v>10021</v>
      </c>
      <c r="BC512" t="s">
        <v>10021</v>
      </c>
      <c r="BD512" t="s">
        <v>74</v>
      </c>
      <c r="BE512" t="s">
        <v>74</v>
      </c>
      <c r="BF512" t="s">
        <v>74</v>
      </c>
      <c r="BG512" t="s">
        <v>74</v>
      </c>
      <c r="BH512" t="s">
        <v>74</v>
      </c>
      <c r="BI512">
        <v>1</v>
      </c>
      <c r="BJ512" t="s">
        <v>155</v>
      </c>
      <c r="BK512" t="s">
        <v>2548</v>
      </c>
      <c r="BL512" t="s">
        <v>155</v>
      </c>
      <c r="BM512" t="s">
        <v>9981</v>
      </c>
      <c r="BN512" t="s">
        <v>74</v>
      </c>
      <c r="BO512" t="s">
        <v>74</v>
      </c>
      <c r="BP512" t="s">
        <v>74</v>
      </c>
      <c r="BQ512" t="s">
        <v>74</v>
      </c>
      <c r="BR512" t="s">
        <v>105</v>
      </c>
      <c r="BS512" t="s">
        <v>10022</v>
      </c>
      <c r="BT512" t="str">
        <f>HYPERLINK("https%3A%2F%2Fwww.webofscience.com%2Fwos%2Fwoscc%2Ffull-record%2FWOS:000388662400281","View Full Record in Web of Science")</f>
        <v>View Full Record in Web of Science</v>
      </c>
    </row>
    <row r="513" spans="1:72" x14ac:dyDescent="0.15">
      <c r="A513" t="s">
        <v>72</v>
      </c>
      <c r="B513" t="s">
        <v>10023</v>
      </c>
      <c r="C513" t="s">
        <v>74</v>
      </c>
      <c r="D513" t="s">
        <v>74</v>
      </c>
      <c r="E513" t="s">
        <v>74</v>
      </c>
      <c r="F513" t="s">
        <v>10024</v>
      </c>
      <c r="G513" t="s">
        <v>74</v>
      </c>
      <c r="H513" t="s">
        <v>74</v>
      </c>
      <c r="I513" t="s">
        <v>10025</v>
      </c>
      <c r="J513" t="s">
        <v>489</v>
      </c>
      <c r="K513" t="s">
        <v>74</v>
      </c>
      <c r="L513" t="s">
        <v>74</v>
      </c>
      <c r="M513" t="s">
        <v>78</v>
      </c>
      <c r="N513" t="s">
        <v>52</v>
      </c>
      <c r="O513" t="s">
        <v>9974</v>
      </c>
      <c r="P513" t="s">
        <v>9975</v>
      </c>
      <c r="Q513" t="s">
        <v>9976</v>
      </c>
      <c r="R513" t="s">
        <v>74</v>
      </c>
      <c r="S513" t="s">
        <v>74</v>
      </c>
      <c r="T513" t="s">
        <v>74</v>
      </c>
      <c r="U513" t="s">
        <v>10026</v>
      </c>
      <c r="V513" t="s">
        <v>74</v>
      </c>
      <c r="W513" t="s">
        <v>10027</v>
      </c>
      <c r="X513" t="s">
        <v>10028</v>
      </c>
      <c r="Y513" t="s">
        <v>74</v>
      </c>
      <c r="Z513" t="s">
        <v>10029</v>
      </c>
      <c r="AA513" t="s">
        <v>10030</v>
      </c>
      <c r="AB513" t="s">
        <v>10031</v>
      </c>
      <c r="AC513" t="s">
        <v>74</v>
      </c>
      <c r="AD513" t="s">
        <v>74</v>
      </c>
      <c r="AE513" t="s">
        <v>74</v>
      </c>
      <c r="AF513" t="s">
        <v>74</v>
      </c>
      <c r="AG513">
        <v>7</v>
      </c>
      <c r="AH513">
        <v>0</v>
      </c>
      <c r="AI513">
        <v>0</v>
      </c>
      <c r="AJ513">
        <v>0</v>
      </c>
      <c r="AK513">
        <v>1</v>
      </c>
      <c r="AL513" t="s">
        <v>2541</v>
      </c>
      <c r="AM513" t="s">
        <v>502</v>
      </c>
      <c r="AN513" t="s">
        <v>503</v>
      </c>
      <c r="AO513" t="s">
        <v>504</v>
      </c>
      <c r="AP513" t="s">
        <v>505</v>
      </c>
      <c r="AQ513" t="s">
        <v>74</v>
      </c>
      <c r="AR513" t="s">
        <v>506</v>
      </c>
      <c r="AS513" t="s">
        <v>507</v>
      </c>
      <c r="AT513" t="s">
        <v>9902</v>
      </c>
      <c r="AU513">
        <v>2016</v>
      </c>
      <c r="AV513">
        <v>51</v>
      </c>
      <c r="AW513" t="s">
        <v>74</v>
      </c>
      <c r="AX513" t="s">
        <v>74</v>
      </c>
      <c r="AY513">
        <v>1</v>
      </c>
      <c r="AZ513" t="s">
        <v>650</v>
      </c>
      <c r="BA513" t="s">
        <v>74</v>
      </c>
      <c r="BB513" t="s">
        <v>10032</v>
      </c>
      <c r="BC513" t="s">
        <v>10032</v>
      </c>
      <c r="BD513" t="s">
        <v>74</v>
      </c>
      <c r="BE513" t="s">
        <v>74</v>
      </c>
      <c r="BF513" t="s">
        <v>74</v>
      </c>
      <c r="BG513" t="s">
        <v>74</v>
      </c>
      <c r="BH513" t="s">
        <v>74</v>
      </c>
      <c r="BI513">
        <v>1</v>
      </c>
      <c r="BJ513" t="s">
        <v>155</v>
      </c>
      <c r="BK513" t="s">
        <v>2548</v>
      </c>
      <c r="BL513" t="s">
        <v>155</v>
      </c>
      <c r="BM513" t="s">
        <v>9981</v>
      </c>
      <c r="BN513" t="s">
        <v>74</v>
      </c>
      <c r="BO513" t="s">
        <v>74</v>
      </c>
      <c r="BP513" t="s">
        <v>74</v>
      </c>
      <c r="BQ513" t="s">
        <v>74</v>
      </c>
      <c r="BR513" t="s">
        <v>105</v>
      </c>
      <c r="BS513" t="s">
        <v>10033</v>
      </c>
      <c r="BT513" t="str">
        <f>HYPERLINK("https%3A%2F%2Fwww.webofscience.com%2Fwos%2Fwoscc%2Ffull-record%2FWOS:000388662400443","View Full Record in Web of Science")</f>
        <v>View Full Record in Web of Science</v>
      </c>
    </row>
    <row r="514" spans="1:72" x14ac:dyDescent="0.15">
      <c r="A514" t="s">
        <v>72</v>
      </c>
      <c r="B514" t="s">
        <v>10034</v>
      </c>
      <c r="C514" t="s">
        <v>74</v>
      </c>
      <c r="D514" t="s">
        <v>74</v>
      </c>
      <c r="E514" t="s">
        <v>74</v>
      </c>
      <c r="F514" t="s">
        <v>10035</v>
      </c>
      <c r="G514" t="s">
        <v>74</v>
      </c>
      <c r="H514" t="s">
        <v>74</v>
      </c>
      <c r="I514" t="s">
        <v>10036</v>
      </c>
      <c r="J514" t="s">
        <v>489</v>
      </c>
      <c r="K514" t="s">
        <v>74</v>
      </c>
      <c r="L514" t="s">
        <v>74</v>
      </c>
      <c r="M514" t="s">
        <v>78</v>
      </c>
      <c r="N514" t="s">
        <v>52</v>
      </c>
      <c r="O514" t="s">
        <v>9974</v>
      </c>
      <c r="P514" t="s">
        <v>9975</v>
      </c>
      <c r="Q514" t="s">
        <v>9976</v>
      </c>
      <c r="R514" t="s">
        <v>74</v>
      </c>
      <c r="S514" t="s">
        <v>74</v>
      </c>
      <c r="T514" t="s">
        <v>74</v>
      </c>
      <c r="U514" t="s">
        <v>10037</v>
      </c>
      <c r="V514" t="s">
        <v>74</v>
      </c>
      <c r="W514" t="s">
        <v>10038</v>
      </c>
      <c r="X514" t="s">
        <v>10039</v>
      </c>
      <c r="Y514" t="s">
        <v>74</v>
      </c>
      <c r="Z514" t="s">
        <v>10040</v>
      </c>
      <c r="AA514" t="s">
        <v>10041</v>
      </c>
      <c r="AB514" t="s">
        <v>10042</v>
      </c>
      <c r="AC514" t="s">
        <v>74</v>
      </c>
      <c r="AD514" t="s">
        <v>74</v>
      </c>
      <c r="AE514" t="s">
        <v>74</v>
      </c>
      <c r="AF514" t="s">
        <v>74</v>
      </c>
      <c r="AG514">
        <v>10</v>
      </c>
      <c r="AH514">
        <v>0</v>
      </c>
      <c r="AI514">
        <v>0</v>
      </c>
      <c r="AJ514">
        <v>0</v>
      </c>
      <c r="AK514">
        <v>2</v>
      </c>
      <c r="AL514" t="s">
        <v>2541</v>
      </c>
      <c r="AM514" t="s">
        <v>502</v>
      </c>
      <c r="AN514" t="s">
        <v>503</v>
      </c>
      <c r="AO514" t="s">
        <v>504</v>
      </c>
      <c r="AP514" t="s">
        <v>505</v>
      </c>
      <c r="AQ514" t="s">
        <v>74</v>
      </c>
      <c r="AR514" t="s">
        <v>506</v>
      </c>
      <c r="AS514" t="s">
        <v>507</v>
      </c>
      <c r="AT514" t="s">
        <v>9902</v>
      </c>
      <c r="AU514">
        <v>2016</v>
      </c>
      <c r="AV514">
        <v>51</v>
      </c>
      <c r="AW514" t="s">
        <v>74</v>
      </c>
      <c r="AX514" t="s">
        <v>74</v>
      </c>
      <c r="AY514">
        <v>1</v>
      </c>
      <c r="AZ514" t="s">
        <v>650</v>
      </c>
      <c r="BA514" t="s">
        <v>74</v>
      </c>
      <c r="BB514" t="s">
        <v>10043</v>
      </c>
      <c r="BC514" t="s">
        <v>10043</v>
      </c>
      <c r="BD514" t="s">
        <v>74</v>
      </c>
      <c r="BE514" t="s">
        <v>74</v>
      </c>
      <c r="BF514" t="s">
        <v>74</v>
      </c>
      <c r="BG514" t="s">
        <v>74</v>
      </c>
      <c r="BH514" t="s">
        <v>74</v>
      </c>
      <c r="BI514">
        <v>1</v>
      </c>
      <c r="BJ514" t="s">
        <v>155</v>
      </c>
      <c r="BK514" t="s">
        <v>2548</v>
      </c>
      <c r="BL514" t="s">
        <v>155</v>
      </c>
      <c r="BM514" t="s">
        <v>9981</v>
      </c>
      <c r="BN514" t="s">
        <v>74</v>
      </c>
      <c r="BO514" t="s">
        <v>74</v>
      </c>
      <c r="BP514" t="s">
        <v>74</v>
      </c>
      <c r="BQ514" t="s">
        <v>74</v>
      </c>
      <c r="BR514" t="s">
        <v>105</v>
      </c>
      <c r="BS514" t="s">
        <v>10044</v>
      </c>
      <c r="BT514" t="str">
        <f>HYPERLINK("https%3A%2F%2Fwww.webofscience.com%2Fwos%2Fwoscc%2Ffull-record%2FWOS:000388662400476","View Full Record in Web of Science")</f>
        <v>View Full Record in Web of Science</v>
      </c>
    </row>
    <row r="515" spans="1:72" x14ac:dyDescent="0.15">
      <c r="A515" t="s">
        <v>72</v>
      </c>
      <c r="B515" t="s">
        <v>10045</v>
      </c>
      <c r="C515" t="s">
        <v>74</v>
      </c>
      <c r="D515" t="s">
        <v>74</v>
      </c>
      <c r="E515" t="s">
        <v>74</v>
      </c>
      <c r="F515" t="s">
        <v>10046</v>
      </c>
      <c r="G515" t="s">
        <v>74</v>
      </c>
      <c r="H515" t="s">
        <v>74</v>
      </c>
      <c r="I515" t="s">
        <v>10047</v>
      </c>
      <c r="J515" t="s">
        <v>489</v>
      </c>
      <c r="K515" t="s">
        <v>74</v>
      </c>
      <c r="L515" t="s">
        <v>74</v>
      </c>
      <c r="M515" t="s">
        <v>78</v>
      </c>
      <c r="N515" t="s">
        <v>52</v>
      </c>
      <c r="O515" t="s">
        <v>9974</v>
      </c>
      <c r="P515" t="s">
        <v>9975</v>
      </c>
      <c r="Q515" t="s">
        <v>9976</v>
      </c>
      <c r="R515" t="s">
        <v>74</v>
      </c>
      <c r="S515" t="s">
        <v>74</v>
      </c>
      <c r="T515" t="s">
        <v>74</v>
      </c>
      <c r="U515" t="s">
        <v>10048</v>
      </c>
      <c r="V515" t="s">
        <v>74</v>
      </c>
      <c r="W515" t="s">
        <v>10049</v>
      </c>
      <c r="X515" t="s">
        <v>10050</v>
      </c>
      <c r="Y515" t="s">
        <v>74</v>
      </c>
      <c r="Z515" t="s">
        <v>10051</v>
      </c>
      <c r="AA515" t="s">
        <v>10052</v>
      </c>
      <c r="AB515" t="s">
        <v>74</v>
      </c>
      <c r="AC515" t="s">
        <v>74</v>
      </c>
      <c r="AD515" t="s">
        <v>74</v>
      </c>
      <c r="AE515" t="s">
        <v>74</v>
      </c>
      <c r="AF515" t="s">
        <v>74</v>
      </c>
      <c r="AG515">
        <v>27</v>
      </c>
      <c r="AH515">
        <v>0</v>
      </c>
      <c r="AI515">
        <v>0</v>
      </c>
      <c r="AJ515">
        <v>0</v>
      </c>
      <c r="AK515">
        <v>0</v>
      </c>
      <c r="AL515" t="s">
        <v>501</v>
      </c>
      <c r="AM515" t="s">
        <v>502</v>
      </c>
      <c r="AN515" t="s">
        <v>503</v>
      </c>
      <c r="AO515" t="s">
        <v>504</v>
      </c>
      <c r="AP515" t="s">
        <v>505</v>
      </c>
      <c r="AQ515" t="s">
        <v>74</v>
      </c>
      <c r="AR515" t="s">
        <v>506</v>
      </c>
      <c r="AS515" t="s">
        <v>507</v>
      </c>
      <c r="AT515" t="s">
        <v>9902</v>
      </c>
      <c r="AU515">
        <v>2016</v>
      </c>
      <c r="AV515">
        <v>51</v>
      </c>
      <c r="AW515" t="s">
        <v>74</v>
      </c>
      <c r="AX515" t="s">
        <v>74</v>
      </c>
      <c r="AY515">
        <v>1</v>
      </c>
      <c r="AZ515" t="s">
        <v>650</v>
      </c>
      <c r="BA515" t="s">
        <v>74</v>
      </c>
      <c r="BB515" t="s">
        <v>10053</v>
      </c>
      <c r="BC515" t="s">
        <v>10053</v>
      </c>
      <c r="BD515" t="s">
        <v>74</v>
      </c>
      <c r="BE515" t="s">
        <v>74</v>
      </c>
      <c r="BF515" t="s">
        <v>74</v>
      </c>
      <c r="BG515" t="s">
        <v>74</v>
      </c>
      <c r="BH515" t="s">
        <v>74</v>
      </c>
      <c r="BI515">
        <v>1</v>
      </c>
      <c r="BJ515" t="s">
        <v>155</v>
      </c>
      <c r="BK515" t="s">
        <v>2548</v>
      </c>
      <c r="BL515" t="s">
        <v>155</v>
      </c>
      <c r="BM515" t="s">
        <v>9981</v>
      </c>
      <c r="BN515" t="s">
        <v>74</v>
      </c>
      <c r="BO515" t="s">
        <v>74</v>
      </c>
      <c r="BP515" t="s">
        <v>74</v>
      </c>
      <c r="BQ515" t="s">
        <v>74</v>
      </c>
      <c r="BR515" t="s">
        <v>105</v>
      </c>
      <c r="BS515" t="s">
        <v>10054</v>
      </c>
      <c r="BT515" t="str">
        <f>HYPERLINK("https%3A%2F%2Fwww.webofscience.com%2Fwos%2Fwoscc%2Ffull-record%2FWOS:000388662400499","View Full Record in Web of Science")</f>
        <v>View Full Record in Web of Science</v>
      </c>
    </row>
    <row r="516" spans="1:72" x14ac:dyDescent="0.15">
      <c r="A516" t="s">
        <v>72</v>
      </c>
      <c r="B516" t="s">
        <v>10055</v>
      </c>
      <c r="C516" t="s">
        <v>74</v>
      </c>
      <c r="D516" t="s">
        <v>74</v>
      </c>
      <c r="E516" t="s">
        <v>74</v>
      </c>
      <c r="F516" t="s">
        <v>10056</v>
      </c>
      <c r="G516" t="s">
        <v>74</v>
      </c>
      <c r="H516" t="s">
        <v>74</v>
      </c>
      <c r="I516" t="s">
        <v>10057</v>
      </c>
      <c r="J516" t="s">
        <v>489</v>
      </c>
      <c r="K516" t="s">
        <v>74</v>
      </c>
      <c r="L516" t="s">
        <v>74</v>
      </c>
      <c r="M516" t="s">
        <v>78</v>
      </c>
      <c r="N516" t="s">
        <v>52</v>
      </c>
      <c r="O516" t="s">
        <v>9974</v>
      </c>
      <c r="P516" t="s">
        <v>9975</v>
      </c>
      <c r="Q516" t="s">
        <v>9976</v>
      </c>
      <c r="R516" t="s">
        <v>74</v>
      </c>
      <c r="S516" t="s">
        <v>74</v>
      </c>
      <c r="T516" t="s">
        <v>74</v>
      </c>
      <c r="U516" t="s">
        <v>10058</v>
      </c>
      <c r="V516" t="s">
        <v>74</v>
      </c>
      <c r="W516" t="s">
        <v>10059</v>
      </c>
      <c r="X516" t="s">
        <v>10060</v>
      </c>
      <c r="Y516" t="s">
        <v>74</v>
      </c>
      <c r="Z516" t="s">
        <v>10061</v>
      </c>
      <c r="AA516" t="s">
        <v>74</v>
      </c>
      <c r="AB516" t="s">
        <v>74</v>
      </c>
      <c r="AC516" t="s">
        <v>74</v>
      </c>
      <c r="AD516" t="s">
        <v>74</v>
      </c>
      <c r="AE516" t="s">
        <v>74</v>
      </c>
      <c r="AF516" t="s">
        <v>74</v>
      </c>
      <c r="AG516">
        <v>6</v>
      </c>
      <c r="AH516">
        <v>0</v>
      </c>
      <c r="AI516">
        <v>0</v>
      </c>
      <c r="AJ516">
        <v>0</v>
      </c>
      <c r="AK516">
        <v>0</v>
      </c>
      <c r="AL516" t="s">
        <v>2541</v>
      </c>
      <c r="AM516" t="s">
        <v>502</v>
      </c>
      <c r="AN516" t="s">
        <v>503</v>
      </c>
      <c r="AO516" t="s">
        <v>504</v>
      </c>
      <c r="AP516" t="s">
        <v>505</v>
      </c>
      <c r="AQ516" t="s">
        <v>74</v>
      </c>
      <c r="AR516" t="s">
        <v>506</v>
      </c>
      <c r="AS516" t="s">
        <v>507</v>
      </c>
      <c r="AT516" t="s">
        <v>9902</v>
      </c>
      <c r="AU516">
        <v>2016</v>
      </c>
      <c r="AV516">
        <v>51</v>
      </c>
      <c r="AW516" t="s">
        <v>74</v>
      </c>
      <c r="AX516" t="s">
        <v>74</v>
      </c>
      <c r="AY516">
        <v>1</v>
      </c>
      <c r="AZ516" t="s">
        <v>650</v>
      </c>
      <c r="BA516" t="s">
        <v>74</v>
      </c>
      <c r="BB516" t="s">
        <v>10062</v>
      </c>
      <c r="BC516" t="s">
        <v>10062</v>
      </c>
      <c r="BD516" t="s">
        <v>74</v>
      </c>
      <c r="BE516" t="s">
        <v>74</v>
      </c>
      <c r="BF516" t="s">
        <v>74</v>
      </c>
      <c r="BG516" t="s">
        <v>74</v>
      </c>
      <c r="BH516" t="s">
        <v>74</v>
      </c>
      <c r="BI516">
        <v>1</v>
      </c>
      <c r="BJ516" t="s">
        <v>155</v>
      </c>
      <c r="BK516" t="s">
        <v>2548</v>
      </c>
      <c r="BL516" t="s">
        <v>155</v>
      </c>
      <c r="BM516" t="s">
        <v>9981</v>
      </c>
      <c r="BN516" t="s">
        <v>74</v>
      </c>
      <c r="BO516" t="s">
        <v>74</v>
      </c>
      <c r="BP516" t="s">
        <v>74</v>
      </c>
      <c r="BQ516" t="s">
        <v>74</v>
      </c>
      <c r="BR516" t="s">
        <v>105</v>
      </c>
      <c r="BS516" t="s">
        <v>10063</v>
      </c>
      <c r="BT516" t="str">
        <f>HYPERLINK("https%3A%2F%2Fwww.webofscience.com%2Fwos%2Fwoscc%2Ffull-record%2FWOS:000388662400514","View Full Record in Web of Science")</f>
        <v>View Full Record in Web of Science</v>
      </c>
    </row>
    <row r="517" spans="1:72" x14ac:dyDescent="0.15">
      <c r="A517" t="s">
        <v>72</v>
      </c>
      <c r="B517" t="s">
        <v>10064</v>
      </c>
      <c r="C517" t="s">
        <v>74</v>
      </c>
      <c r="D517" t="s">
        <v>74</v>
      </c>
      <c r="E517" t="s">
        <v>74</v>
      </c>
      <c r="F517" t="s">
        <v>10065</v>
      </c>
      <c r="G517" t="s">
        <v>74</v>
      </c>
      <c r="H517" t="s">
        <v>74</v>
      </c>
      <c r="I517" t="s">
        <v>10066</v>
      </c>
      <c r="J517" t="s">
        <v>10067</v>
      </c>
      <c r="K517" t="s">
        <v>74</v>
      </c>
      <c r="L517" t="s">
        <v>74</v>
      </c>
      <c r="M517" t="s">
        <v>78</v>
      </c>
      <c r="N517" t="s">
        <v>79</v>
      </c>
      <c r="O517" t="s">
        <v>74</v>
      </c>
      <c r="P517" t="s">
        <v>74</v>
      </c>
      <c r="Q517" t="s">
        <v>74</v>
      </c>
      <c r="R517" t="s">
        <v>74</v>
      </c>
      <c r="S517" t="s">
        <v>74</v>
      </c>
      <c r="T517" t="s">
        <v>10068</v>
      </c>
      <c r="U517" t="s">
        <v>10069</v>
      </c>
      <c r="V517" t="s">
        <v>10070</v>
      </c>
      <c r="W517" t="s">
        <v>10071</v>
      </c>
      <c r="X517" t="s">
        <v>10072</v>
      </c>
      <c r="Y517" t="s">
        <v>10073</v>
      </c>
      <c r="Z517" t="s">
        <v>6807</v>
      </c>
      <c r="AA517" t="s">
        <v>10074</v>
      </c>
      <c r="AB517" t="s">
        <v>74</v>
      </c>
      <c r="AC517" t="s">
        <v>10075</v>
      </c>
      <c r="AD517" t="s">
        <v>10076</v>
      </c>
      <c r="AE517" t="s">
        <v>10077</v>
      </c>
      <c r="AF517" t="s">
        <v>74</v>
      </c>
      <c r="AG517">
        <v>58</v>
      </c>
      <c r="AH517">
        <v>2</v>
      </c>
      <c r="AI517">
        <v>2</v>
      </c>
      <c r="AJ517">
        <v>2</v>
      </c>
      <c r="AK517">
        <v>33</v>
      </c>
      <c r="AL517" t="s">
        <v>501</v>
      </c>
      <c r="AM517" t="s">
        <v>502</v>
      </c>
      <c r="AN517" t="s">
        <v>503</v>
      </c>
      <c r="AO517" t="s">
        <v>10078</v>
      </c>
      <c r="AP517" t="s">
        <v>74</v>
      </c>
      <c r="AQ517" t="s">
        <v>74</v>
      </c>
      <c r="AR517" t="s">
        <v>10067</v>
      </c>
      <c r="AS517" t="s">
        <v>10079</v>
      </c>
      <c r="AT517" t="s">
        <v>9902</v>
      </c>
      <c r="AU517">
        <v>2016</v>
      </c>
      <c r="AV517">
        <v>7</v>
      </c>
      <c r="AW517">
        <v>8</v>
      </c>
      <c r="AX517" t="s">
        <v>74</v>
      </c>
      <c r="AY517" t="s">
        <v>74</v>
      </c>
      <c r="AZ517" t="s">
        <v>74</v>
      </c>
      <c r="BA517" t="s">
        <v>74</v>
      </c>
      <c r="BB517" t="s">
        <v>74</v>
      </c>
      <c r="BC517" t="s">
        <v>74</v>
      </c>
      <c r="BD517" t="s">
        <v>10080</v>
      </c>
      <c r="BE517" t="s">
        <v>10081</v>
      </c>
      <c r="BF517" t="str">
        <f>HYPERLINK("http://dx.doi.org/10.1002/ecs2.1442","http://dx.doi.org/10.1002/ecs2.1442")</f>
        <v>http://dx.doi.org/10.1002/ecs2.1442</v>
      </c>
      <c r="BG517" t="s">
        <v>74</v>
      </c>
      <c r="BH517" t="s">
        <v>74</v>
      </c>
      <c r="BI517">
        <v>9</v>
      </c>
      <c r="BJ517" t="s">
        <v>531</v>
      </c>
      <c r="BK517" t="s">
        <v>156</v>
      </c>
      <c r="BL517" t="s">
        <v>532</v>
      </c>
      <c r="BM517" t="s">
        <v>10082</v>
      </c>
      <c r="BN517" t="s">
        <v>74</v>
      </c>
      <c r="BO517" t="s">
        <v>777</v>
      </c>
      <c r="BP517" t="s">
        <v>74</v>
      </c>
      <c r="BQ517" t="s">
        <v>74</v>
      </c>
      <c r="BR517" t="s">
        <v>105</v>
      </c>
      <c r="BS517" t="s">
        <v>10083</v>
      </c>
      <c r="BT517" t="str">
        <f>HYPERLINK("https%3A%2F%2Fwww.webofscience.com%2Fwos%2Fwoscc%2Ffull-record%2FWOS:000387208900032","View Full Record in Web of Science")</f>
        <v>View Full Record in Web of Science</v>
      </c>
    </row>
    <row r="518" spans="1:72" x14ac:dyDescent="0.15">
      <c r="A518" t="s">
        <v>72</v>
      </c>
      <c r="B518" t="s">
        <v>10084</v>
      </c>
      <c r="C518" t="s">
        <v>74</v>
      </c>
      <c r="D518" t="s">
        <v>74</v>
      </c>
      <c r="E518" t="s">
        <v>74</v>
      </c>
      <c r="F518" t="s">
        <v>10085</v>
      </c>
      <c r="G518" t="s">
        <v>74</v>
      </c>
      <c r="H518" t="s">
        <v>74</v>
      </c>
      <c r="I518" t="s">
        <v>10086</v>
      </c>
      <c r="J518" t="s">
        <v>2357</v>
      </c>
      <c r="K518" t="s">
        <v>74</v>
      </c>
      <c r="L518" t="s">
        <v>74</v>
      </c>
      <c r="M518" t="s">
        <v>78</v>
      </c>
      <c r="N518" t="s">
        <v>79</v>
      </c>
      <c r="O518" t="s">
        <v>74</v>
      </c>
      <c r="P518" t="s">
        <v>74</v>
      </c>
      <c r="Q518" t="s">
        <v>74</v>
      </c>
      <c r="R518" t="s">
        <v>74</v>
      </c>
      <c r="S518" t="s">
        <v>74</v>
      </c>
      <c r="T518" t="s">
        <v>74</v>
      </c>
      <c r="U518" t="s">
        <v>10087</v>
      </c>
      <c r="V518" t="s">
        <v>10088</v>
      </c>
      <c r="W518" t="s">
        <v>10089</v>
      </c>
      <c r="X518" t="s">
        <v>10090</v>
      </c>
      <c r="Y518" t="s">
        <v>10091</v>
      </c>
      <c r="Z518" t="s">
        <v>10092</v>
      </c>
      <c r="AA518" t="s">
        <v>10093</v>
      </c>
      <c r="AB518" t="s">
        <v>10094</v>
      </c>
      <c r="AC518" t="s">
        <v>10095</v>
      </c>
      <c r="AD518" t="s">
        <v>10096</v>
      </c>
      <c r="AE518" t="s">
        <v>10097</v>
      </c>
      <c r="AF518" t="s">
        <v>74</v>
      </c>
      <c r="AG518">
        <v>48</v>
      </c>
      <c r="AH518">
        <v>37</v>
      </c>
      <c r="AI518">
        <v>45</v>
      </c>
      <c r="AJ518">
        <v>2</v>
      </c>
      <c r="AK518">
        <v>28</v>
      </c>
      <c r="AL518" t="s">
        <v>149</v>
      </c>
      <c r="AM518" t="s">
        <v>123</v>
      </c>
      <c r="AN518" t="s">
        <v>150</v>
      </c>
      <c r="AO518" t="s">
        <v>2370</v>
      </c>
      <c r="AP518" t="s">
        <v>2371</v>
      </c>
      <c r="AQ518" t="s">
        <v>74</v>
      </c>
      <c r="AR518" t="s">
        <v>2372</v>
      </c>
      <c r="AS518" t="s">
        <v>2373</v>
      </c>
      <c r="AT518" t="s">
        <v>9902</v>
      </c>
      <c r="AU518">
        <v>2016</v>
      </c>
      <c r="AV518">
        <v>121</v>
      </c>
      <c r="AW518">
        <v>8</v>
      </c>
      <c r="AX518" t="s">
        <v>74</v>
      </c>
      <c r="AY518" t="s">
        <v>74</v>
      </c>
      <c r="AZ518" t="s">
        <v>74</v>
      </c>
      <c r="BA518" t="s">
        <v>74</v>
      </c>
      <c r="BB518">
        <v>5470</v>
      </c>
      <c r="BC518">
        <v>5486</v>
      </c>
      <c r="BD518" t="s">
        <v>74</v>
      </c>
      <c r="BE518" t="s">
        <v>10098</v>
      </c>
      <c r="BF518" t="str">
        <f>HYPERLINK("http://dx.doi.org/10.1002/2016JC011831","http://dx.doi.org/10.1002/2016JC011831")</f>
        <v>http://dx.doi.org/10.1002/2016JC011831</v>
      </c>
      <c r="BG518" t="s">
        <v>74</v>
      </c>
      <c r="BH518" t="s">
        <v>74</v>
      </c>
      <c r="BI518">
        <v>17</v>
      </c>
      <c r="BJ518" t="s">
        <v>405</v>
      </c>
      <c r="BK518" t="s">
        <v>156</v>
      </c>
      <c r="BL518" t="s">
        <v>405</v>
      </c>
      <c r="BM518" t="s">
        <v>10099</v>
      </c>
      <c r="BN518" t="s">
        <v>74</v>
      </c>
      <c r="BO518" t="s">
        <v>1002</v>
      </c>
      <c r="BP518" t="s">
        <v>74</v>
      </c>
      <c r="BQ518" t="s">
        <v>74</v>
      </c>
      <c r="BR518" t="s">
        <v>105</v>
      </c>
      <c r="BS518" t="s">
        <v>10100</v>
      </c>
      <c r="BT518" t="str">
        <f>HYPERLINK("https%3A%2F%2Fwww.webofscience.com%2Fwos%2Fwoscc%2Ffull-record%2FWOS:000386912700005","View Full Record in Web of Science")</f>
        <v>View Full Record in Web of Science</v>
      </c>
    </row>
    <row r="519" spans="1:72" x14ac:dyDescent="0.15">
      <c r="A519" t="s">
        <v>72</v>
      </c>
      <c r="B519" t="s">
        <v>10101</v>
      </c>
      <c r="C519" t="s">
        <v>74</v>
      </c>
      <c r="D519" t="s">
        <v>74</v>
      </c>
      <c r="E519" t="s">
        <v>74</v>
      </c>
      <c r="F519" t="s">
        <v>10102</v>
      </c>
      <c r="G519" t="s">
        <v>74</v>
      </c>
      <c r="H519" t="s">
        <v>74</v>
      </c>
      <c r="I519" t="s">
        <v>10103</v>
      </c>
      <c r="J519" t="s">
        <v>2357</v>
      </c>
      <c r="K519" t="s">
        <v>74</v>
      </c>
      <c r="L519" t="s">
        <v>74</v>
      </c>
      <c r="M519" t="s">
        <v>78</v>
      </c>
      <c r="N519" t="s">
        <v>79</v>
      </c>
      <c r="O519" t="s">
        <v>74</v>
      </c>
      <c r="P519" t="s">
        <v>74</v>
      </c>
      <c r="Q519" t="s">
        <v>74</v>
      </c>
      <c r="R519" t="s">
        <v>74</v>
      </c>
      <c r="S519" t="s">
        <v>74</v>
      </c>
      <c r="T519" t="s">
        <v>74</v>
      </c>
      <c r="U519" t="s">
        <v>10104</v>
      </c>
      <c r="V519" t="s">
        <v>10105</v>
      </c>
      <c r="W519" t="s">
        <v>10106</v>
      </c>
      <c r="X519" t="s">
        <v>10107</v>
      </c>
      <c r="Y519" t="s">
        <v>10108</v>
      </c>
      <c r="Z519" t="s">
        <v>10109</v>
      </c>
      <c r="AA519" t="s">
        <v>74</v>
      </c>
      <c r="AB519" t="s">
        <v>74</v>
      </c>
      <c r="AC519" t="s">
        <v>10110</v>
      </c>
      <c r="AD519" t="s">
        <v>10111</v>
      </c>
      <c r="AE519" t="s">
        <v>10112</v>
      </c>
      <c r="AF519" t="s">
        <v>74</v>
      </c>
      <c r="AG519">
        <v>45</v>
      </c>
      <c r="AH519">
        <v>5</v>
      </c>
      <c r="AI519">
        <v>8</v>
      </c>
      <c r="AJ519">
        <v>0</v>
      </c>
      <c r="AK519">
        <v>21</v>
      </c>
      <c r="AL519" t="s">
        <v>149</v>
      </c>
      <c r="AM519" t="s">
        <v>123</v>
      </c>
      <c r="AN519" t="s">
        <v>150</v>
      </c>
      <c r="AO519" t="s">
        <v>2370</v>
      </c>
      <c r="AP519" t="s">
        <v>2371</v>
      </c>
      <c r="AQ519" t="s">
        <v>74</v>
      </c>
      <c r="AR519" t="s">
        <v>2372</v>
      </c>
      <c r="AS519" t="s">
        <v>2373</v>
      </c>
      <c r="AT519" t="s">
        <v>9902</v>
      </c>
      <c r="AU519">
        <v>2016</v>
      </c>
      <c r="AV519">
        <v>121</v>
      </c>
      <c r="AW519">
        <v>8</v>
      </c>
      <c r="AX519" t="s">
        <v>74</v>
      </c>
      <c r="AY519" t="s">
        <v>74</v>
      </c>
      <c r="AZ519" t="s">
        <v>74</v>
      </c>
      <c r="BA519" t="s">
        <v>74</v>
      </c>
      <c r="BB519">
        <v>5608</v>
      </c>
      <c r="BC519">
        <v>5621</v>
      </c>
      <c r="BD519" t="s">
        <v>74</v>
      </c>
      <c r="BE519" t="s">
        <v>10113</v>
      </c>
      <c r="BF519" t="str">
        <f>HYPERLINK("http://dx.doi.org/10.1002/2016JC011925","http://dx.doi.org/10.1002/2016JC011925")</f>
        <v>http://dx.doi.org/10.1002/2016JC011925</v>
      </c>
      <c r="BG519" t="s">
        <v>74</v>
      </c>
      <c r="BH519" t="s">
        <v>74</v>
      </c>
      <c r="BI519">
        <v>14</v>
      </c>
      <c r="BJ519" t="s">
        <v>405</v>
      </c>
      <c r="BK519" t="s">
        <v>156</v>
      </c>
      <c r="BL519" t="s">
        <v>405</v>
      </c>
      <c r="BM519" t="s">
        <v>10099</v>
      </c>
      <c r="BN519" t="s">
        <v>74</v>
      </c>
      <c r="BO519" t="s">
        <v>74</v>
      </c>
      <c r="BP519" t="s">
        <v>74</v>
      </c>
      <c r="BQ519" t="s">
        <v>74</v>
      </c>
      <c r="BR519" t="s">
        <v>105</v>
      </c>
      <c r="BS519" t="s">
        <v>10114</v>
      </c>
      <c r="BT519" t="str">
        <f>HYPERLINK("https%3A%2F%2Fwww.webofscience.com%2Fwos%2Fwoscc%2Ffull-record%2FWOS:000386912700013","View Full Record in Web of Science")</f>
        <v>View Full Record in Web of Science</v>
      </c>
    </row>
    <row r="520" spans="1:72" x14ac:dyDescent="0.15">
      <c r="A520" t="s">
        <v>72</v>
      </c>
      <c r="B520" t="s">
        <v>10115</v>
      </c>
      <c r="C520" t="s">
        <v>74</v>
      </c>
      <c r="D520" t="s">
        <v>74</v>
      </c>
      <c r="E520" t="s">
        <v>74</v>
      </c>
      <c r="F520" t="s">
        <v>10116</v>
      </c>
      <c r="G520" t="s">
        <v>74</v>
      </c>
      <c r="H520" t="s">
        <v>74</v>
      </c>
      <c r="I520" t="s">
        <v>10117</v>
      </c>
      <c r="J520" t="s">
        <v>2357</v>
      </c>
      <c r="K520" t="s">
        <v>74</v>
      </c>
      <c r="L520" t="s">
        <v>74</v>
      </c>
      <c r="M520" t="s">
        <v>78</v>
      </c>
      <c r="N520" t="s">
        <v>79</v>
      </c>
      <c r="O520" t="s">
        <v>74</v>
      </c>
      <c r="P520" t="s">
        <v>74</v>
      </c>
      <c r="Q520" t="s">
        <v>74</v>
      </c>
      <c r="R520" t="s">
        <v>74</v>
      </c>
      <c r="S520" t="s">
        <v>74</v>
      </c>
      <c r="T520" t="s">
        <v>74</v>
      </c>
      <c r="U520" t="s">
        <v>10118</v>
      </c>
      <c r="V520" t="s">
        <v>10119</v>
      </c>
      <c r="W520" t="s">
        <v>10120</v>
      </c>
      <c r="X520" t="s">
        <v>10121</v>
      </c>
      <c r="Y520" t="s">
        <v>10122</v>
      </c>
      <c r="Z520" t="s">
        <v>10123</v>
      </c>
      <c r="AA520" t="s">
        <v>10124</v>
      </c>
      <c r="AB520" t="s">
        <v>10125</v>
      </c>
      <c r="AC520" t="s">
        <v>10126</v>
      </c>
      <c r="AD520" t="s">
        <v>10127</v>
      </c>
      <c r="AE520" t="s">
        <v>10128</v>
      </c>
      <c r="AF520" t="s">
        <v>74</v>
      </c>
      <c r="AG520">
        <v>42</v>
      </c>
      <c r="AH520">
        <v>61</v>
      </c>
      <c r="AI520">
        <v>63</v>
      </c>
      <c r="AJ520">
        <v>1</v>
      </c>
      <c r="AK520">
        <v>17</v>
      </c>
      <c r="AL520" t="s">
        <v>149</v>
      </c>
      <c r="AM520" t="s">
        <v>123</v>
      </c>
      <c r="AN520" t="s">
        <v>150</v>
      </c>
      <c r="AO520" t="s">
        <v>2370</v>
      </c>
      <c r="AP520" t="s">
        <v>2371</v>
      </c>
      <c r="AQ520" t="s">
        <v>74</v>
      </c>
      <c r="AR520" t="s">
        <v>2372</v>
      </c>
      <c r="AS520" t="s">
        <v>2373</v>
      </c>
      <c r="AT520" t="s">
        <v>9902</v>
      </c>
      <c r="AU520">
        <v>2016</v>
      </c>
      <c r="AV520">
        <v>121</v>
      </c>
      <c r="AW520">
        <v>8</v>
      </c>
      <c r="AX520" t="s">
        <v>74</v>
      </c>
      <c r="AY520" t="s">
        <v>74</v>
      </c>
      <c r="AZ520" t="s">
        <v>74</v>
      </c>
      <c r="BA520" t="s">
        <v>74</v>
      </c>
      <c r="BB520">
        <v>5773</v>
      </c>
      <c r="BC520">
        <v>5788</v>
      </c>
      <c r="BD520" t="s">
        <v>74</v>
      </c>
      <c r="BE520" t="s">
        <v>10129</v>
      </c>
      <c r="BF520" t="str">
        <f>HYPERLINK("http://dx.doi.org/10.1002/2016JC011835","http://dx.doi.org/10.1002/2016JC011835")</f>
        <v>http://dx.doi.org/10.1002/2016JC011835</v>
      </c>
      <c r="BG520" t="s">
        <v>74</v>
      </c>
      <c r="BH520" t="s">
        <v>74</v>
      </c>
      <c r="BI520">
        <v>16</v>
      </c>
      <c r="BJ520" t="s">
        <v>405</v>
      </c>
      <c r="BK520" t="s">
        <v>156</v>
      </c>
      <c r="BL520" t="s">
        <v>405</v>
      </c>
      <c r="BM520" t="s">
        <v>10099</v>
      </c>
      <c r="BN520" t="s">
        <v>74</v>
      </c>
      <c r="BO520" t="s">
        <v>74</v>
      </c>
      <c r="BP520" t="s">
        <v>74</v>
      </c>
      <c r="BQ520" t="s">
        <v>74</v>
      </c>
      <c r="BR520" t="s">
        <v>105</v>
      </c>
      <c r="BS520" t="s">
        <v>10130</v>
      </c>
      <c r="BT520" t="str">
        <f>HYPERLINK("https%3A%2F%2Fwww.webofscience.com%2Fwos%2Fwoscc%2Ffull-record%2FWOS:000386912700023","View Full Record in Web of Science")</f>
        <v>View Full Record in Web of Science</v>
      </c>
    </row>
    <row r="521" spans="1:72" x14ac:dyDescent="0.15">
      <c r="A521" t="s">
        <v>72</v>
      </c>
      <c r="B521" t="s">
        <v>10131</v>
      </c>
      <c r="C521" t="s">
        <v>74</v>
      </c>
      <c r="D521" t="s">
        <v>74</v>
      </c>
      <c r="E521" t="s">
        <v>74</v>
      </c>
      <c r="F521" t="s">
        <v>10132</v>
      </c>
      <c r="G521" t="s">
        <v>74</v>
      </c>
      <c r="H521" t="s">
        <v>74</v>
      </c>
      <c r="I521" t="s">
        <v>10133</v>
      </c>
      <c r="J521" t="s">
        <v>2357</v>
      </c>
      <c r="K521" t="s">
        <v>74</v>
      </c>
      <c r="L521" t="s">
        <v>74</v>
      </c>
      <c r="M521" t="s">
        <v>78</v>
      </c>
      <c r="N521" t="s">
        <v>79</v>
      </c>
      <c r="O521" t="s">
        <v>74</v>
      </c>
      <c r="P521" t="s">
        <v>74</v>
      </c>
      <c r="Q521" t="s">
        <v>74</v>
      </c>
      <c r="R521" t="s">
        <v>74</v>
      </c>
      <c r="S521" t="s">
        <v>74</v>
      </c>
      <c r="T521" t="s">
        <v>74</v>
      </c>
      <c r="U521" t="s">
        <v>10134</v>
      </c>
      <c r="V521" t="s">
        <v>10135</v>
      </c>
      <c r="W521" t="s">
        <v>10136</v>
      </c>
      <c r="X521" t="s">
        <v>10121</v>
      </c>
      <c r="Y521" t="s">
        <v>10137</v>
      </c>
      <c r="Z521" t="s">
        <v>10138</v>
      </c>
      <c r="AA521" t="s">
        <v>10139</v>
      </c>
      <c r="AB521" t="s">
        <v>10140</v>
      </c>
      <c r="AC521" t="s">
        <v>74</v>
      </c>
      <c r="AD521" t="s">
        <v>74</v>
      </c>
      <c r="AE521" t="s">
        <v>74</v>
      </c>
      <c r="AF521" t="s">
        <v>74</v>
      </c>
      <c r="AG521">
        <v>34</v>
      </c>
      <c r="AH521">
        <v>13</v>
      </c>
      <c r="AI521">
        <v>14</v>
      </c>
      <c r="AJ521">
        <v>0</v>
      </c>
      <c r="AK521">
        <v>10</v>
      </c>
      <c r="AL521" t="s">
        <v>149</v>
      </c>
      <c r="AM521" t="s">
        <v>123</v>
      </c>
      <c r="AN521" t="s">
        <v>150</v>
      </c>
      <c r="AO521" t="s">
        <v>2370</v>
      </c>
      <c r="AP521" t="s">
        <v>2371</v>
      </c>
      <c r="AQ521" t="s">
        <v>74</v>
      </c>
      <c r="AR521" t="s">
        <v>2372</v>
      </c>
      <c r="AS521" t="s">
        <v>2373</v>
      </c>
      <c r="AT521" t="s">
        <v>9902</v>
      </c>
      <c r="AU521">
        <v>2016</v>
      </c>
      <c r="AV521">
        <v>121</v>
      </c>
      <c r="AW521">
        <v>8</v>
      </c>
      <c r="AX521" t="s">
        <v>74</v>
      </c>
      <c r="AY521" t="s">
        <v>74</v>
      </c>
      <c r="AZ521" t="s">
        <v>74</v>
      </c>
      <c r="BA521" t="s">
        <v>74</v>
      </c>
      <c r="BB521">
        <v>5825</v>
      </c>
      <c r="BC521">
        <v>5846</v>
      </c>
      <c r="BD521" t="s">
        <v>74</v>
      </c>
      <c r="BE521" t="s">
        <v>10141</v>
      </c>
      <c r="BF521" t="str">
        <f>HYPERLINK("http://dx.doi.org/10.1002/2016JC011790","http://dx.doi.org/10.1002/2016JC011790")</f>
        <v>http://dx.doi.org/10.1002/2016JC011790</v>
      </c>
      <c r="BG521" t="s">
        <v>74</v>
      </c>
      <c r="BH521" t="s">
        <v>74</v>
      </c>
      <c r="BI521">
        <v>22</v>
      </c>
      <c r="BJ521" t="s">
        <v>405</v>
      </c>
      <c r="BK521" t="s">
        <v>156</v>
      </c>
      <c r="BL521" t="s">
        <v>405</v>
      </c>
      <c r="BM521" t="s">
        <v>10099</v>
      </c>
      <c r="BN521" t="s">
        <v>74</v>
      </c>
      <c r="BO521" t="s">
        <v>74</v>
      </c>
      <c r="BP521" t="s">
        <v>74</v>
      </c>
      <c r="BQ521" t="s">
        <v>74</v>
      </c>
      <c r="BR521" t="s">
        <v>105</v>
      </c>
      <c r="BS521" t="s">
        <v>10142</v>
      </c>
      <c r="BT521" t="str">
        <f>HYPERLINK("https%3A%2F%2Fwww.webofscience.com%2Fwos%2Fwoscc%2Ffull-record%2FWOS:000386912700026","View Full Record in Web of Science")</f>
        <v>View Full Record in Web of Science</v>
      </c>
    </row>
    <row r="522" spans="1:72" x14ac:dyDescent="0.15">
      <c r="A522" t="s">
        <v>72</v>
      </c>
      <c r="B522" t="s">
        <v>10143</v>
      </c>
      <c r="C522" t="s">
        <v>74</v>
      </c>
      <c r="D522" t="s">
        <v>74</v>
      </c>
      <c r="E522" t="s">
        <v>74</v>
      </c>
      <c r="F522" t="s">
        <v>10144</v>
      </c>
      <c r="G522" t="s">
        <v>74</v>
      </c>
      <c r="H522" t="s">
        <v>74</v>
      </c>
      <c r="I522" t="s">
        <v>10145</v>
      </c>
      <c r="J522" t="s">
        <v>2357</v>
      </c>
      <c r="K522" t="s">
        <v>74</v>
      </c>
      <c r="L522" t="s">
        <v>74</v>
      </c>
      <c r="M522" t="s">
        <v>78</v>
      </c>
      <c r="N522" t="s">
        <v>79</v>
      </c>
      <c r="O522" t="s">
        <v>74</v>
      </c>
      <c r="P522" t="s">
        <v>74</v>
      </c>
      <c r="Q522" t="s">
        <v>74</v>
      </c>
      <c r="R522" t="s">
        <v>74</v>
      </c>
      <c r="S522" t="s">
        <v>74</v>
      </c>
      <c r="T522" t="s">
        <v>74</v>
      </c>
      <c r="U522" t="s">
        <v>10146</v>
      </c>
      <c r="V522" t="s">
        <v>10147</v>
      </c>
      <c r="W522" t="s">
        <v>10148</v>
      </c>
      <c r="X522" t="s">
        <v>10149</v>
      </c>
      <c r="Y522" t="s">
        <v>10150</v>
      </c>
      <c r="Z522" t="s">
        <v>10151</v>
      </c>
      <c r="AA522" t="s">
        <v>10152</v>
      </c>
      <c r="AB522" t="s">
        <v>10153</v>
      </c>
      <c r="AC522" t="s">
        <v>10154</v>
      </c>
      <c r="AD522" t="s">
        <v>10155</v>
      </c>
      <c r="AE522" t="s">
        <v>10156</v>
      </c>
      <c r="AF522" t="s">
        <v>74</v>
      </c>
      <c r="AG522">
        <v>56</v>
      </c>
      <c r="AH522">
        <v>22</v>
      </c>
      <c r="AI522">
        <v>24</v>
      </c>
      <c r="AJ522">
        <v>0</v>
      </c>
      <c r="AK522">
        <v>7</v>
      </c>
      <c r="AL522" t="s">
        <v>149</v>
      </c>
      <c r="AM522" t="s">
        <v>123</v>
      </c>
      <c r="AN522" t="s">
        <v>150</v>
      </c>
      <c r="AO522" t="s">
        <v>2370</v>
      </c>
      <c r="AP522" t="s">
        <v>2371</v>
      </c>
      <c r="AQ522" t="s">
        <v>74</v>
      </c>
      <c r="AR522" t="s">
        <v>2372</v>
      </c>
      <c r="AS522" t="s">
        <v>2373</v>
      </c>
      <c r="AT522" t="s">
        <v>9902</v>
      </c>
      <c r="AU522">
        <v>2016</v>
      </c>
      <c r="AV522">
        <v>121</v>
      </c>
      <c r="AW522">
        <v>8</v>
      </c>
      <c r="AX522" t="s">
        <v>74</v>
      </c>
      <c r="AY522" t="s">
        <v>74</v>
      </c>
      <c r="AZ522" t="s">
        <v>74</v>
      </c>
      <c r="BA522" t="s">
        <v>74</v>
      </c>
      <c r="BB522">
        <v>5916</v>
      </c>
      <c r="BC522">
        <v>5930</v>
      </c>
      <c r="BD522" t="s">
        <v>74</v>
      </c>
      <c r="BE522" t="s">
        <v>10157</v>
      </c>
      <c r="BF522" t="str">
        <f>HYPERLINK("http://dx.doi.org/10.1002/2015JC011504","http://dx.doi.org/10.1002/2015JC011504")</f>
        <v>http://dx.doi.org/10.1002/2015JC011504</v>
      </c>
      <c r="BG522" t="s">
        <v>74</v>
      </c>
      <c r="BH522" t="s">
        <v>74</v>
      </c>
      <c r="BI522">
        <v>15</v>
      </c>
      <c r="BJ522" t="s">
        <v>405</v>
      </c>
      <c r="BK522" t="s">
        <v>156</v>
      </c>
      <c r="BL522" t="s">
        <v>405</v>
      </c>
      <c r="BM522" t="s">
        <v>10099</v>
      </c>
      <c r="BN522" t="s">
        <v>74</v>
      </c>
      <c r="BO522" t="s">
        <v>10158</v>
      </c>
      <c r="BP522" t="s">
        <v>74</v>
      </c>
      <c r="BQ522" t="s">
        <v>74</v>
      </c>
      <c r="BR522" t="s">
        <v>105</v>
      </c>
      <c r="BS522" t="s">
        <v>10159</v>
      </c>
      <c r="BT522" t="str">
        <f>HYPERLINK("https%3A%2F%2Fwww.webofscience.com%2Fwos%2Fwoscc%2Ffull-record%2FWOS:000386912700031","View Full Record in Web of Science")</f>
        <v>View Full Record in Web of Science</v>
      </c>
    </row>
    <row r="523" spans="1:72" x14ac:dyDescent="0.15">
      <c r="A523" t="s">
        <v>72</v>
      </c>
      <c r="B523" t="s">
        <v>10160</v>
      </c>
      <c r="C523" t="s">
        <v>74</v>
      </c>
      <c r="D523" t="s">
        <v>74</v>
      </c>
      <c r="E523" t="s">
        <v>74</v>
      </c>
      <c r="F523" t="s">
        <v>10161</v>
      </c>
      <c r="G523" t="s">
        <v>74</v>
      </c>
      <c r="H523" t="s">
        <v>74</v>
      </c>
      <c r="I523" t="s">
        <v>10162</v>
      </c>
      <c r="J523" t="s">
        <v>2357</v>
      </c>
      <c r="K523" t="s">
        <v>74</v>
      </c>
      <c r="L523" t="s">
        <v>74</v>
      </c>
      <c r="M523" t="s">
        <v>78</v>
      </c>
      <c r="N523" t="s">
        <v>79</v>
      </c>
      <c r="O523" t="s">
        <v>74</v>
      </c>
      <c r="P523" t="s">
        <v>74</v>
      </c>
      <c r="Q523" t="s">
        <v>74</v>
      </c>
      <c r="R523" t="s">
        <v>74</v>
      </c>
      <c r="S523" t="s">
        <v>74</v>
      </c>
      <c r="T523" t="s">
        <v>74</v>
      </c>
      <c r="U523" t="s">
        <v>10163</v>
      </c>
      <c r="V523" t="s">
        <v>10164</v>
      </c>
      <c r="W523" t="s">
        <v>10165</v>
      </c>
      <c r="X523" t="s">
        <v>10166</v>
      </c>
      <c r="Y523" t="s">
        <v>10167</v>
      </c>
      <c r="Z523" t="s">
        <v>10168</v>
      </c>
      <c r="AA523" t="s">
        <v>10169</v>
      </c>
      <c r="AB523" t="s">
        <v>10170</v>
      </c>
      <c r="AC523" t="s">
        <v>10171</v>
      </c>
      <c r="AD523" t="s">
        <v>10172</v>
      </c>
      <c r="AE523" t="s">
        <v>10173</v>
      </c>
      <c r="AF523" t="s">
        <v>74</v>
      </c>
      <c r="AG523">
        <v>74</v>
      </c>
      <c r="AH523">
        <v>45</v>
      </c>
      <c r="AI523">
        <v>49</v>
      </c>
      <c r="AJ523">
        <v>2</v>
      </c>
      <c r="AK523">
        <v>26</v>
      </c>
      <c r="AL523" t="s">
        <v>149</v>
      </c>
      <c r="AM523" t="s">
        <v>123</v>
      </c>
      <c r="AN523" t="s">
        <v>150</v>
      </c>
      <c r="AO523" t="s">
        <v>2370</v>
      </c>
      <c r="AP523" t="s">
        <v>2371</v>
      </c>
      <c r="AQ523" t="s">
        <v>74</v>
      </c>
      <c r="AR523" t="s">
        <v>2372</v>
      </c>
      <c r="AS523" t="s">
        <v>2373</v>
      </c>
      <c r="AT523" t="s">
        <v>9902</v>
      </c>
      <c r="AU523">
        <v>2016</v>
      </c>
      <c r="AV523">
        <v>121</v>
      </c>
      <c r="AW523">
        <v>8</v>
      </c>
      <c r="AX523" t="s">
        <v>74</v>
      </c>
      <c r="AY523" t="s">
        <v>74</v>
      </c>
      <c r="AZ523" t="s">
        <v>74</v>
      </c>
      <c r="BA523" t="s">
        <v>74</v>
      </c>
      <c r="BB523">
        <v>6009</v>
      </c>
      <c r="BC523">
        <v>6020</v>
      </c>
      <c r="BD523" t="s">
        <v>74</v>
      </c>
      <c r="BE523" t="s">
        <v>10174</v>
      </c>
      <c r="BF523" t="str">
        <f>HYPERLINK("http://dx.doi.org/10.1002/2016JC011687","http://dx.doi.org/10.1002/2016JC011687")</f>
        <v>http://dx.doi.org/10.1002/2016JC011687</v>
      </c>
      <c r="BG523" t="s">
        <v>74</v>
      </c>
      <c r="BH523" t="s">
        <v>74</v>
      </c>
      <c r="BI523">
        <v>12</v>
      </c>
      <c r="BJ523" t="s">
        <v>405</v>
      </c>
      <c r="BK523" t="s">
        <v>156</v>
      </c>
      <c r="BL523" t="s">
        <v>405</v>
      </c>
      <c r="BM523" t="s">
        <v>10099</v>
      </c>
      <c r="BN523" t="s">
        <v>74</v>
      </c>
      <c r="BO523" t="s">
        <v>8363</v>
      </c>
      <c r="BP523" t="s">
        <v>74</v>
      </c>
      <c r="BQ523" t="s">
        <v>74</v>
      </c>
      <c r="BR523" t="s">
        <v>105</v>
      </c>
      <c r="BS523" t="s">
        <v>10175</v>
      </c>
      <c r="BT523" t="str">
        <f>HYPERLINK("https%3A%2F%2Fwww.webofscience.com%2Fwos%2Fwoscc%2Ffull-record%2FWOS:000386912700037","View Full Record in Web of Science")</f>
        <v>View Full Record in Web of Science</v>
      </c>
    </row>
    <row r="524" spans="1:72" x14ac:dyDescent="0.15">
      <c r="A524" t="s">
        <v>72</v>
      </c>
      <c r="B524" t="s">
        <v>10176</v>
      </c>
      <c r="C524" t="s">
        <v>74</v>
      </c>
      <c r="D524" t="s">
        <v>74</v>
      </c>
      <c r="E524" t="s">
        <v>74</v>
      </c>
      <c r="F524" t="s">
        <v>10177</v>
      </c>
      <c r="G524" t="s">
        <v>74</v>
      </c>
      <c r="H524" t="s">
        <v>74</v>
      </c>
      <c r="I524" t="s">
        <v>10178</v>
      </c>
      <c r="J524" t="s">
        <v>2357</v>
      </c>
      <c r="K524" t="s">
        <v>74</v>
      </c>
      <c r="L524" t="s">
        <v>74</v>
      </c>
      <c r="M524" t="s">
        <v>78</v>
      </c>
      <c r="N524" t="s">
        <v>79</v>
      </c>
      <c r="O524" t="s">
        <v>74</v>
      </c>
      <c r="P524" t="s">
        <v>74</v>
      </c>
      <c r="Q524" t="s">
        <v>74</v>
      </c>
      <c r="R524" t="s">
        <v>74</v>
      </c>
      <c r="S524" t="s">
        <v>74</v>
      </c>
      <c r="T524" t="s">
        <v>74</v>
      </c>
      <c r="U524" t="s">
        <v>10179</v>
      </c>
      <c r="V524" t="s">
        <v>10180</v>
      </c>
      <c r="W524" t="s">
        <v>10181</v>
      </c>
      <c r="X524" t="s">
        <v>10182</v>
      </c>
      <c r="Y524" t="s">
        <v>10183</v>
      </c>
      <c r="Z524" t="s">
        <v>10184</v>
      </c>
      <c r="AA524" t="s">
        <v>74</v>
      </c>
      <c r="AB524" t="s">
        <v>74</v>
      </c>
      <c r="AC524" t="s">
        <v>10185</v>
      </c>
      <c r="AD524" t="s">
        <v>10186</v>
      </c>
      <c r="AE524" t="s">
        <v>10187</v>
      </c>
      <c r="AF524" t="s">
        <v>74</v>
      </c>
      <c r="AG524">
        <v>54</v>
      </c>
      <c r="AH524">
        <v>19</v>
      </c>
      <c r="AI524">
        <v>22</v>
      </c>
      <c r="AJ524">
        <v>0</v>
      </c>
      <c r="AK524">
        <v>10</v>
      </c>
      <c r="AL524" t="s">
        <v>149</v>
      </c>
      <c r="AM524" t="s">
        <v>123</v>
      </c>
      <c r="AN524" t="s">
        <v>150</v>
      </c>
      <c r="AO524" t="s">
        <v>2370</v>
      </c>
      <c r="AP524" t="s">
        <v>2371</v>
      </c>
      <c r="AQ524" t="s">
        <v>74</v>
      </c>
      <c r="AR524" t="s">
        <v>2372</v>
      </c>
      <c r="AS524" t="s">
        <v>2373</v>
      </c>
      <c r="AT524" t="s">
        <v>9902</v>
      </c>
      <c r="AU524">
        <v>2016</v>
      </c>
      <c r="AV524">
        <v>121</v>
      </c>
      <c r="AW524">
        <v>8</v>
      </c>
      <c r="AX524" t="s">
        <v>74</v>
      </c>
      <c r="AY524" t="s">
        <v>74</v>
      </c>
      <c r="AZ524" t="s">
        <v>74</v>
      </c>
      <c r="BA524" t="s">
        <v>74</v>
      </c>
      <c r="BB524">
        <v>6295</v>
      </c>
      <c r="BC524">
        <v>6309</v>
      </c>
      <c r="BD524" t="s">
        <v>74</v>
      </c>
      <c r="BE524" t="s">
        <v>10188</v>
      </c>
      <c r="BF524" t="str">
        <f>HYPERLINK("http://dx.doi.org/10.1002/2016JC011773","http://dx.doi.org/10.1002/2016JC011773")</f>
        <v>http://dx.doi.org/10.1002/2016JC011773</v>
      </c>
      <c r="BG524" t="s">
        <v>74</v>
      </c>
      <c r="BH524" t="s">
        <v>74</v>
      </c>
      <c r="BI524">
        <v>15</v>
      </c>
      <c r="BJ524" t="s">
        <v>405</v>
      </c>
      <c r="BK524" t="s">
        <v>156</v>
      </c>
      <c r="BL524" t="s">
        <v>405</v>
      </c>
      <c r="BM524" t="s">
        <v>10099</v>
      </c>
      <c r="BN524" t="s">
        <v>74</v>
      </c>
      <c r="BO524" t="s">
        <v>534</v>
      </c>
      <c r="BP524" t="s">
        <v>74</v>
      </c>
      <c r="BQ524" t="s">
        <v>74</v>
      </c>
      <c r="BR524" t="s">
        <v>105</v>
      </c>
      <c r="BS524" t="s">
        <v>10189</v>
      </c>
      <c r="BT524" t="str">
        <f>HYPERLINK("https%3A%2F%2Fwww.webofscience.com%2Fwos%2Fwoscc%2Ffull-record%2FWOS:000386912700052","View Full Record in Web of Science")</f>
        <v>View Full Record in Web of Science</v>
      </c>
    </row>
    <row r="525" spans="1:72" x14ac:dyDescent="0.15">
      <c r="A525" t="s">
        <v>72</v>
      </c>
      <c r="B525" t="s">
        <v>10190</v>
      </c>
      <c r="C525" t="s">
        <v>74</v>
      </c>
      <c r="D525" t="s">
        <v>74</v>
      </c>
      <c r="E525" t="s">
        <v>74</v>
      </c>
      <c r="F525" t="s">
        <v>10191</v>
      </c>
      <c r="G525" t="s">
        <v>74</v>
      </c>
      <c r="H525" t="s">
        <v>74</v>
      </c>
      <c r="I525" t="s">
        <v>10192</v>
      </c>
      <c r="J525" t="s">
        <v>2357</v>
      </c>
      <c r="K525" t="s">
        <v>74</v>
      </c>
      <c r="L525" t="s">
        <v>74</v>
      </c>
      <c r="M525" t="s">
        <v>78</v>
      </c>
      <c r="N525" t="s">
        <v>79</v>
      </c>
      <c r="O525" t="s">
        <v>74</v>
      </c>
      <c r="P525" t="s">
        <v>74</v>
      </c>
      <c r="Q525" t="s">
        <v>74</v>
      </c>
      <c r="R525" t="s">
        <v>74</v>
      </c>
      <c r="S525" t="s">
        <v>74</v>
      </c>
      <c r="T525" t="s">
        <v>74</v>
      </c>
      <c r="U525" t="s">
        <v>10193</v>
      </c>
      <c r="V525" t="s">
        <v>10194</v>
      </c>
      <c r="W525" t="s">
        <v>10195</v>
      </c>
      <c r="X525" t="s">
        <v>10196</v>
      </c>
      <c r="Y525" t="s">
        <v>10197</v>
      </c>
      <c r="Z525" t="s">
        <v>10198</v>
      </c>
      <c r="AA525" t="s">
        <v>10199</v>
      </c>
      <c r="AB525" t="s">
        <v>10200</v>
      </c>
      <c r="AC525" t="s">
        <v>10201</v>
      </c>
      <c r="AD525" t="s">
        <v>10202</v>
      </c>
      <c r="AE525" t="s">
        <v>10203</v>
      </c>
      <c r="AF525" t="s">
        <v>74</v>
      </c>
      <c r="AG525">
        <v>73</v>
      </c>
      <c r="AH525">
        <v>12</v>
      </c>
      <c r="AI525">
        <v>14</v>
      </c>
      <c r="AJ525">
        <v>1</v>
      </c>
      <c r="AK525">
        <v>44</v>
      </c>
      <c r="AL525" t="s">
        <v>149</v>
      </c>
      <c r="AM525" t="s">
        <v>123</v>
      </c>
      <c r="AN525" t="s">
        <v>150</v>
      </c>
      <c r="AO525" t="s">
        <v>2370</v>
      </c>
      <c r="AP525" t="s">
        <v>2371</v>
      </c>
      <c r="AQ525" t="s">
        <v>74</v>
      </c>
      <c r="AR525" t="s">
        <v>2372</v>
      </c>
      <c r="AS525" t="s">
        <v>2373</v>
      </c>
      <c r="AT525" t="s">
        <v>9902</v>
      </c>
      <c r="AU525">
        <v>2016</v>
      </c>
      <c r="AV525">
        <v>121</v>
      </c>
      <c r="AW525">
        <v>8</v>
      </c>
      <c r="AX525" t="s">
        <v>74</v>
      </c>
      <c r="AY525" t="s">
        <v>74</v>
      </c>
      <c r="AZ525" t="s">
        <v>74</v>
      </c>
      <c r="BA525" t="s">
        <v>74</v>
      </c>
      <c r="BB525">
        <v>6403</v>
      </c>
      <c r="BC525">
        <v>6417</v>
      </c>
      <c r="BD525" t="s">
        <v>74</v>
      </c>
      <c r="BE525" t="s">
        <v>10204</v>
      </c>
      <c r="BF525" t="str">
        <f>HYPERLINK("http://dx.doi.org/10.1002/2016JC011771","http://dx.doi.org/10.1002/2016JC011771")</f>
        <v>http://dx.doi.org/10.1002/2016JC011771</v>
      </c>
      <c r="BG525" t="s">
        <v>74</v>
      </c>
      <c r="BH525" t="s">
        <v>74</v>
      </c>
      <c r="BI525">
        <v>15</v>
      </c>
      <c r="BJ525" t="s">
        <v>405</v>
      </c>
      <c r="BK525" t="s">
        <v>156</v>
      </c>
      <c r="BL525" t="s">
        <v>405</v>
      </c>
      <c r="BM525" t="s">
        <v>10099</v>
      </c>
      <c r="BN525" t="s">
        <v>74</v>
      </c>
      <c r="BO525" t="s">
        <v>74</v>
      </c>
      <c r="BP525" t="s">
        <v>74</v>
      </c>
      <c r="BQ525" t="s">
        <v>74</v>
      </c>
      <c r="BR525" t="s">
        <v>105</v>
      </c>
      <c r="BS525" t="s">
        <v>10205</v>
      </c>
      <c r="BT525" t="str">
        <f>HYPERLINK("https%3A%2F%2Fwww.webofscience.com%2Fwos%2Fwoscc%2Ffull-record%2FWOS:000386912700059","View Full Record in Web of Science")</f>
        <v>View Full Record in Web of Science</v>
      </c>
    </row>
    <row r="526" spans="1:72" x14ac:dyDescent="0.15">
      <c r="A526" t="s">
        <v>72</v>
      </c>
      <c r="B526" t="s">
        <v>10206</v>
      </c>
      <c r="C526" t="s">
        <v>74</v>
      </c>
      <c r="D526" t="s">
        <v>74</v>
      </c>
      <c r="E526" t="s">
        <v>74</v>
      </c>
      <c r="F526" t="s">
        <v>10207</v>
      </c>
      <c r="G526" t="s">
        <v>74</v>
      </c>
      <c r="H526" t="s">
        <v>74</v>
      </c>
      <c r="I526" t="s">
        <v>10208</v>
      </c>
      <c r="J526" t="s">
        <v>10209</v>
      </c>
      <c r="K526" t="s">
        <v>74</v>
      </c>
      <c r="L526" t="s">
        <v>74</v>
      </c>
      <c r="M526" t="s">
        <v>78</v>
      </c>
      <c r="N526" t="s">
        <v>79</v>
      </c>
      <c r="O526" t="s">
        <v>74</v>
      </c>
      <c r="P526" t="s">
        <v>74</v>
      </c>
      <c r="Q526" t="s">
        <v>74</v>
      </c>
      <c r="R526" t="s">
        <v>74</v>
      </c>
      <c r="S526" t="s">
        <v>74</v>
      </c>
      <c r="T526" t="s">
        <v>10210</v>
      </c>
      <c r="U526" t="s">
        <v>10211</v>
      </c>
      <c r="V526" t="s">
        <v>10212</v>
      </c>
      <c r="W526" t="s">
        <v>10213</v>
      </c>
      <c r="X526" t="s">
        <v>10214</v>
      </c>
      <c r="Y526" t="s">
        <v>10215</v>
      </c>
      <c r="Z526" t="s">
        <v>10216</v>
      </c>
      <c r="AA526" t="s">
        <v>10217</v>
      </c>
      <c r="AB526" t="s">
        <v>10218</v>
      </c>
      <c r="AC526" t="s">
        <v>10219</v>
      </c>
      <c r="AD526" t="s">
        <v>10220</v>
      </c>
      <c r="AE526" t="s">
        <v>10221</v>
      </c>
      <c r="AF526" t="s">
        <v>74</v>
      </c>
      <c r="AG526">
        <v>51</v>
      </c>
      <c r="AH526">
        <v>25</v>
      </c>
      <c r="AI526">
        <v>25</v>
      </c>
      <c r="AJ526">
        <v>0</v>
      </c>
      <c r="AK526">
        <v>18</v>
      </c>
      <c r="AL526" t="s">
        <v>10222</v>
      </c>
      <c r="AM526" t="s">
        <v>10223</v>
      </c>
      <c r="AN526" t="s">
        <v>10224</v>
      </c>
      <c r="AO526" t="s">
        <v>10225</v>
      </c>
      <c r="AP526" t="s">
        <v>10226</v>
      </c>
      <c r="AQ526" t="s">
        <v>74</v>
      </c>
      <c r="AR526" t="s">
        <v>10227</v>
      </c>
      <c r="AS526" t="s">
        <v>10228</v>
      </c>
      <c r="AT526" t="s">
        <v>9902</v>
      </c>
      <c r="AU526">
        <v>2016</v>
      </c>
      <c r="AV526">
        <v>592</v>
      </c>
      <c r="AW526" t="s">
        <v>74</v>
      </c>
      <c r="AX526" t="s">
        <v>74</v>
      </c>
      <c r="AY526" t="s">
        <v>74</v>
      </c>
      <c r="AZ526" t="s">
        <v>74</v>
      </c>
      <c r="BA526" t="s">
        <v>74</v>
      </c>
      <c r="BB526" t="s">
        <v>74</v>
      </c>
      <c r="BC526" t="s">
        <v>74</v>
      </c>
      <c r="BD526" t="s">
        <v>10229</v>
      </c>
      <c r="BE526" t="s">
        <v>10230</v>
      </c>
      <c r="BF526" t="str">
        <f>HYPERLINK("http://dx.doi.org/10.1051/0004-6361/201527650","http://dx.doi.org/10.1051/0004-6361/201527650")</f>
        <v>http://dx.doi.org/10.1051/0004-6361/201527650</v>
      </c>
      <c r="BG526" t="s">
        <v>74</v>
      </c>
      <c r="BH526" t="s">
        <v>74</v>
      </c>
      <c r="BI526">
        <v>9</v>
      </c>
      <c r="BJ526" t="s">
        <v>748</v>
      </c>
      <c r="BK526" t="s">
        <v>156</v>
      </c>
      <c r="BL526" t="s">
        <v>748</v>
      </c>
      <c r="BM526" t="s">
        <v>10231</v>
      </c>
      <c r="BN526" t="s">
        <v>74</v>
      </c>
      <c r="BO526" t="s">
        <v>1494</v>
      </c>
      <c r="BP526" t="s">
        <v>74</v>
      </c>
      <c r="BQ526" t="s">
        <v>74</v>
      </c>
      <c r="BR526" t="s">
        <v>105</v>
      </c>
      <c r="BS526" t="s">
        <v>10232</v>
      </c>
      <c r="BT526" t="str">
        <f>HYPERLINK("https%3A%2F%2Fwww.webofscience.com%2Fwos%2Fwoscc%2Ffull-record%2FWOS:000384722600048","View Full Record in Web of Science")</f>
        <v>View Full Record in Web of Science</v>
      </c>
    </row>
    <row r="527" spans="1:72" x14ac:dyDescent="0.15">
      <c r="A527" t="s">
        <v>72</v>
      </c>
      <c r="B527" t="s">
        <v>10233</v>
      </c>
      <c r="C527" t="s">
        <v>74</v>
      </c>
      <c r="D527" t="s">
        <v>74</v>
      </c>
      <c r="E527" t="s">
        <v>74</v>
      </c>
      <c r="F527" t="s">
        <v>10234</v>
      </c>
      <c r="G527" t="s">
        <v>74</v>
      </c>
      <c r="H527" t="s">
        <v>74</v>
      </c>
      <c r="I527" t="s">
        <v>10235</v>
      </c>
      <c r="J527" t="s">
        <v>10236</v>
      </c>
      <c r="K527" t="s">
        <v>74</v>
      </c>
      <c r="L527" t="s">
        <v>74</v>
      </c>
      <c r="M527" t="s">
        <v>78</v>
      </c>
      <c r="N527" t="s">
        <v>79</v>
      </c>
      <c r="O527" t="s">
        <v>74</v>
      </c>
      <c r="P527" t="s">
        <v>74</v>
      </c>
      <c r="Q527" t="s">
        <v>74</v>
      </c>
      <c r="R527" t="s">
        <v>74</v>
      </c>
      <c r="S527" t="s">
        <v>74</v>
      </c>
      <c r="T527" t="s">
        <v>10237</v>
      </c>
      <c r="U527" t="s">
        <v>10238</v>
      </c>
      <c r="V527" t="s">
        <v>10239</v>
      </c>
      <c r="W527" t="s">
        <v>10240</v>
      </c>
      <c r="X527" t="s">
        <v>10241</v>
      </c>
      <c r="Y527" t="s">
        <v>10242</v>
      </c>
      <c r="Z527" t="s">
        <v>10243</v>
      </c>
      <c r="AA527" t="s">
        <v>10244</v>
      </c>
      <c r="AB527" t="s">
        <v>74</v>
      </c>
      <c r="AC527" t="s">
        <v>10245</v>
      </c>
      <c r="AD527" t="s">
        <v>10246</v>
      </c>
      <c r="AE527" t="s">
        <v>10247</v>
      </c>
      <c r="AF527" t="s">
        <v>74</v>
      </c>
      <c r="AG527">
        <v>54</v>
      </c>
      <c r="AH527">
        <v>33</v>
      </c>
      <c r="AI527">
        <v>34</v>
      </c>
      <c r="AJ527">
        <v>2</v>
      </c>
      <c r="AK527">
        <v>40</v>
      </c>
      <c r="AL527" t="s">
        <v>713</v>
      </c>
      <c r="AM527" t="s">
        <v>250</v>
      </c>
      <c r="AN527" t="s">
        <v>714</v>
      </c>
      <c r="AO527" t="s">
        <v>10248</v>
      </c>
      <c r="AP527" t="s">
        <v>10249</v>
      </c>
      <c r="AQ527" t="s">
        <v>74</v>
      </c>
      <c r="AR527" t="s">
        <v>10250</v>
      </c>
      <c r="AS527" t="s">
        <v>10251</v>
      </c>
      <c r="AT527" t="s">
        <v>9902</v>
      </c>
      <c r="AU527">
        <v>2016</v>
      </c>
      <c r="AV527">
        <v>13</v>
      </c>
      <c r="AW527">
        <v>121</v>
      </c>
      <c r="AX527" t="s">
        <v>74</v>
      </c>
      <c r="AY527" t="s">
        <v>74</v>
      </c>
      <c r="AZ527" t="s">
        <v>74</v>
      </c>
      <c r="BA527" t="s">
        <v>74</v>
      </c>
      <c r="BB527" t="s">
        <v>74</v>
      </c>
      <c r="BC527" t="s">
        <v>74</v>
      </c>
      <c r="BD527">
        <v>20160210</v>
      </c>
      <c r="BE527" t="s">
        <v>10252</v>
      </c>
      <c r="BF527" t="str">
        <f>HYPERLINK("http://dx.doi.org/10.1098/rsif.2016.0210","http://dx.doi.org/10.1098/rsif.2016.0210")</f>
        <v>http://dx.doi.org/10.1098/rsif.2016.0210</v>
      </c>
      <c r="BG527" t="s">
        <v>74</v>
      </c>
      <c r="BH527" t="s">
        <v>74</v>
      </c>
      <c r="BI527">
        <v>11</v>
      </c>
      <c r="BJ527" t="s">
        <v>719</v>
      </c>
      <c r="BK527" t="s">
        <v>156</v>
      </c>
      <c r="BL527" t="s">
        <v>720</v>
      </c>
      <c r="BM527" t="s">
        <v>10253</v>
      </c>
      <c r="BN527" t="s">
        <v>74</v>
      </c>
      <c r="BO527" t="s">
        <v>285</v>
      </c>
      <c r="BP527" t="s">
        <v>74</v>
      </c>
      <c r="BQ527" t="s">
        <v>74</v>
      </c>
      <c r="BR527" t="s">
        <v>105</v>
      </c>
      <c r="BS527" t="s">
        <v>10254</v>
      </c>
      <c r="BT527" t="str">
        <f>HYPERLINK("https%3A%2F%2Fwww.webofscience.com%2Fwos%2Fwoscc%2Ffull-record%2FWOS:000385993000016","View Full Record in Web of Science")</f>
        <v>View Full Record in Web of Science</v>
      </c>
    </row>
    <row r="528" spans="1:72" x14ac:dyDescent="0.15">
      <c r="A528" t="s">
        <v>72</v>
      </c>
      <c r="B528" t="s">
        <v>10255</v>
      </c>
      <c r="C528" t="s">
        <v>74</v>
      </c>
      <c r="D528" t="s">
        <v>74</v>
      </c>
      <c r="E528" t="s">
        <v>74</v>
      </c>
      <c r="F528" t="s">
        <v>10256</v>
      </c>
      <c r="G528" t="s">
        <v>74</v>
      </c>
      <c r="H528" t="s">
        <v>74</v>
      </c>
      <c r="I528" t="s">
        <v>10257</v>
      </c>
      <c r="J528" t="s">
        <v>2292</v>
      </c>
      <c r="K528" t="s">
        <v>74</v>
      </c>
      <c r="L528" t="s">
        <v>74</v>
      </c>
      <c r="M528" t="s">
        <v>78</v>
      </c>
      <c r="N528" t="s">
        <v>79</v>
      </c>
      <c r="O528" t="s">
        <v>74</v>
      </c>
      <c r="P528" t="s">
        <v>74</v>
      </c>
      <c r="Q528" t="s">
        <v>74</v>
      </c>
      <c r="R528" t="s">
        <v>74</v>
      </c>
      <c r="S528" t="s">
        <v>74</v>
      </c>
      <c r="T528" t="s">
        <v>74</v>
      </c>
      <c r="U528" t="s">
        <v>10258</v>
      </c>
      <c r="V528" t="s">
        <v>10259</v>
      </c>
      <c r="W528" t="s">
        <v>10260</v>
      </c>
      <c r="X528" t="s">
        <v>10261</v>
      </c>
      <c r="Y528" t="s">
        <v>10262</v>
      </c>
      <c r="Z528" t="s">
        <v>10263</v>
      </c>
      <c r="AA528" t="s">
        <v>74</v>
      </c>
      <c r="AB528" t="s">
        <v>10264</v>
      </c>
      <c r="AC528" t="s">
        <v>10265</v>
      </c>
      <c r="AD528" t="s">
        <v>10266</v>
      </c>
      <c r="AE528" t="s">
        <v>10267</v>
      </c>
      <c r="AF528" t="s">
        <v>74</v>
      </c>
      <c r="AG528">
        <v>27</v>
      </c>
      <c r="AH528">
        <v>12</v>
      </c>
      <c r="AI528">
        <v>16</v>
      </c>
      <c r="AJ528">
        <v>0</v>
      </c>
      <c r="AK528">
        <v>8</v>
      </c>
      <c r="AL528" t="s">
        <v>149</v>
      </c>
      <c r="AM528" t="s">
        <v>123</v>
      </c>
      <c r="AN528" t="s">
        <v>150</v>
      </c>
      <c r="AO528" t="s">
        <v>2303</v>
      </c>
      <c r="AP528" t="s">
        <v>2304</v>
      </c>
      <c r="AQ528" t="s">
        <v>74</v>
      </c>
      <c r="AR528" t="s">
        <v>2305</v>
      </c>
      <c r="AS528" t="s">
        <v>2306</v>
      </c>
      <c r="AT528" t="s">
        <v>9902</v>
      </c>
      <c r="AU528">
        <v>2016</v>
      </c>
      <c r="AV528">
        <v>121</v>
      </c>
      <c r="AW528">
        <v>8</v>
      </c>
      <c r="AX528" t="s">
        <v>74</v>
      </c>
      <c r="AY528" t="s">
        <v>74</v>
      </c>
      <c r="AZ528" t="s">
        <v>74</v>
      </c>
      <c r="BA528" t="s">
        <v>74</v>
      </c>
      <c r="BB528">
        <v>7728</v>
      </c>
      <c r="BC528">
        <v>7738</v>
      </c>
      <c r="BD528" t="s">
        <v>74</v>
      </c>
      <c r="BE528" t="s">
        <v>10268</v>
      </c>
      <c r="BF528" t="str">
        <f>HYPERLINK("http://dx.doi.org/10.1002/2016JA022657","http://dx.doi.org/10.1002/2016JA022657")</f>
        <v>http://dx.doi.org/10.1002/2016JA022657</v>
      </c>
      <c r="BG528" t="s">
        <v>74</v>
      </c>
      <c r="BH528" t="s">
        <v>74</v>
      </c>
      <c r="BI528">
        <v>11</v>
      </c>
      <c r="BJ528" t="s">
        <v>748</v>
      </c>
      <c r="BK528" t="s">
        <v>156</v>
      </c>
      <c r="BL528" t="s">
        <v>748</v>
      </c>
      <c r="BM528" t="s">
        <v>10269</v>
      </c>
      <c r="BN528">
        <v>27867797</v>
      </c>
      <c r="BO528" t="s">
        <v>3229</v>
      </c>
      <c r="BP528" t="s">
        <v>74</v>
      </c>
      <c r="BQ528" t="s">
        <v>74</v>
      </c>
      <c r="BR528" t="s">
        <v>105</v>
      </c>
      <c r="BS528" t="s">
        <v>10270</v>
      </c>
      <c r="BT528" t="str">
        <f>HYPERLINK("https%3A%2F%2Fwww.webofscience.com%2Fwos%2Fwoscc%2Ffull-record%2FWOS:000385811500029","View Full Record in Web of Science")</f>
        <v>View Full Record in Web of Science</v>
      </c>
    </row>
    <row r="529" spans="1:72" x14ac:dyDescent="0.15">
      <c r="A529" t="s">
        <v>72</v>
      </c>
      <c r="B529" t="s">
        <v>10271</v>
      </c>
      <c r="C529" t="s">
        <v>74</v>
      </c>
      <c r="D529" t="s">
        <v>74</v>
      </c>
      <c r="E529" t="s">
        <v>74</v>
      </c>
      <c r="F529" t="s">
        <v>10272</v>
      </c>
      <c r="G529" t="s">
        <v>74</v>
      </c>
      <c r="H529" t="s">
        <v>74</v>
      </c>
      <c r="I529" t="s">
        <v>10273</v>
      </c>
      <c r="J529" t="s">
        <v>10274</v>
      </c>
      <c r="K529" t="s">
        <v>74</v>
      </c>
      <c r="L529" t="s">
        <v>74</v>
      </c>
      <c r="M529" t="s">
        <v>78</v>
      </c>
      <c r="N529" t="s">
        <v>1073</v>
      </c>
      <c r="O529" t="s">
        <v>74</v>
      </c>
      <c r="P529" t="s">
        <v>74</v>
      </c>
      <c r="Q529" t="s">
        <v>74</v>
      </c>
      <c r="R529" t="s">
        <v>74</v>
      </c>
      <c r="S529" t="s">
        <v>74</v>
      </c>
      <c r="T529" t="s">
        <v>74</v>
      </c>
      <c r="U529" t="s">
        <v>74</v>
      </c>
      <c r="V529" t="s">
        <v>74</v>
      </c>
      <c r="W529" t="s">
        <v>74</v>
      </c>
      <c r="X529" t="s">
        <v>74</v>
      </c>
      <c r="Y529" t="s">
        <v>74</v>
      </c>
      <c r="Z529" t="s">
        <v>74</v>
      </c>
      <c r="AA529" t="s">
        <v>10275</v>
      </c>
      <c r="AB529" t="s">
        <v>10276</v>
      </c>
      <c r="AC529" t="s">
        <v>74</v>
      </c>
      <c r="AD529" t="s">
        <v>74</v>
      </c>
      <c r="AE529" t="s">
        <v>74</v>
      </c>
      <c r="AF529" t="s">
        <v>74</v>
      </c>
      <c r="AG529">
        <v>1</v>
      </c>
      <c r="AH529">
        <v>0</v>
      </c>
      <c r="AI529">
        <v>0</v>
      </c>
      <c r="AJ529">
        <v>0</v>
      </c>
      <c r="AK529">
        <v>13</v>
      </c>
      <c r="AL529" t="s">
        <v>501</v>
      </c>
      <c r="AM529" t="s">
        <v>502</v>
      </c>
      <c r="AN529" t="s">
        <v>503</v>
      </c>
      <c r="AO529" t="s">
        <v>10277</v>
      </c>
      <c r="AP529" t="s">
        <v>10278</v>
      </c>
      <c r="AQ529" t="s">
        <v>74</v>
      </c>
      <c r="AR529" t="s">
        <v>10279</v>
      </c>
      <c r="AS529" t="s">
        <v>10280</v>
      </c>
      <c r="AT529" t="s">
        <v>9902</v>
      </c>
      <c r="AU529">
        <v>2016</v>
      </c>
      <c r="AV529">
        <v>37</v>
      </c>
      <c r="AW529">
        <v>4</v>
      </c>
      <c r="AX529" t="s">
        <v>74</v>
      </c>
      <c r="AY529" t="s">
        <v>74</v>
      </c>
      <c r="AZ529" t="s">
        <v>74</v>
      </c>
      <c r="BA529" t="s">
        <v>74</v>
      </c>
      <c r="BB529">
        <v>929</v>
      </c>
      <c r="BC529">
        <v>929</v>
      </c>
      <c r="BD529" t="s">
        <v>74</v>
      </c>
      <c r="BE529" t="s">
        <v>10281</v>
      </c>
      <c r="BF529" t="str">
        <f>HYPERLINK("http://dx.doi.org/10.1111/maec.12344","http://dx.doi.org/10.1111/maec.12344")</f>
        <v>http://dx.doi.org/10.1111/maec.12344</v>
      </c>
      <c r="BG529" t="s">
        <v>74</v>
      </c>
      <c r="BH529" t="s">
        <v>74</v>
      </c>
      <c r="BI529">
        <v>1</v>
      </c>
      <c r="BJ529" t="s">
        <v>457</v>
      </c>
      <c r="BK529" t="s">
        <v>156</v>
      </c>
      <c r="BL529" t="s">
        <v>457</v>
      </c>
      <c r="BM529" t="s">
        <v>10282</v>
      </c>
      <c r="BN529" t="s">
        <v>74</v>
      </c>
      <c r="BO529" t="s">
        <v>258</v>
      </c>
      <c r="BP529" t="s">
        <v>74</v>
      </c>
      <c r="BQ529" t="s">
        <v>74</v>
      </c>
      <c r="BR529" t="s">
        <v>105</v>
      </c>
      <c r="BS529" t="s">
        <v>10283</v>
      </c>
      <c r="BT529" t="str">
        <f>HYPERLINK("https%3A%2F%2Fwww.webofscience.com%2Fwos%2Fwoscc%2Ffull-record%2FWOS:000383606200018","View Full Record in Web of Science")</f>
        <v>View Full Record in Web of Science</v>
      </c>
    </row>
    <row r="530" spans="1:72" x14ac:dyDescent="0.15">
      <c r="A530" t="s">
        <v>72</v>
      </c>
      <c r="B530" t="s">
        <v>10284</v>
      </c>
      <c r="C530" t="s">
        <v>74</v>
      </c>
      <c r="D530" t="s">
        <v>74</v>
      </c>
      <c r="E530" t="s">
        <v>74</v>
      </c>
      <c r="F530" t="s">
        <v>10285</v>
      </c>
      <c r="G530" t="s">
        <v>74</v>
      </c>
      <c r="H530" t="s">
        <v>74</v>
      </c>
      <c r="I530" t="s">
        <v>10286</v>
      </c>
      <c r="J530" t="s">
        <v>2467</v>
      </c>
      <c r="K530" t="s">
        <v>74</v>
      </c>
      <c r="L530" t="s">
        <v>74</v>
      </c>
      <c r="M530" t="s">
        <v>78</v>
      </c>
      <c r="N530" t="s">
        <v>79</v>
      </c>
      <c r="O530" t="s">
        <v>74</v>
      </c>
      <c r="P530" t="s">
        <v>74</v>
      </c>
      <c r="Q530" t="s">
        <v>74</v>
      </c>
      <c r="R530" t="s">
        <v>74</v>
      </c>
      <c r="S530" t="s">
        <v>74</v>
      </c>
      <c r="T530" t="s">
        <v>10287</v>
      </c>
      <c r="U530" t="s">
        <v>74</v>
      </c>
      <c r="V530" t="s">
        <v>10288</v>
      </c>
      <c r="W530" t="s">
        <v>10289</v>
      </c>
      <c r="X530" t="s">
        <v>2471</v>
      </c>
      <c r="Y530" t="s">
        <v>10290</v>
      </c>
      <c r="Z530" t="s">
        <v>10291</v>
      </c>
      <c r="AA530" t="s">
        <v>10292</v>
      </c>
      <c r="AB530" t="s">
        <v>10293</v>
      </c>
      <c r="AC530" t="s">
        <v>10294</v>
      </c>
      <c r="AD530" t="s">
        <v>10295</v>
      </c>
      <c r="AE530" t="s">
        <v>10296</v>
      </c>
      <c r="AF530" t="s">
        <v>74</v>
      </c>
      <c r="AG530">
        <v>38</v>
      </c>
      <c r="AH530">
        <v>8</v>
      </c>
      <c r="AI530">
        <v>8</v>
      </c>
      <c r="AJ530">
        <v>3</v>
      </c>
      <c r="AK530">
        <v>13</v>
      </c>
      <c r="AL530" t="s">
        <v>10297</v>
      </c>
      <c r="AM530" t="s">
        <v>5967</v>
      </c>
      <c r="AN530" t="s">
        <v>10298</v>
      </c>
      <c r="AO530" t="s">
        <v>2477</v>
      </c>
      <c r="AP530" t="s">
        <v>2478</v>
      </c>
      <c r="AQ530" t="s">
        <v>74</v>
      </c>
      <c r="AR530" t="s">
        <v>2479</v>
      </c>
      <c r="AS530" t="s">
        <v>2480</v>
      </c>
      <c r="AT530" t="s">
        <v>9902</v>
      </c>
      <c r="AU530">
        <v>2016</v>
      </c>
      <c r="AV530">
        <v>41</v>
      </c>
      <c r="AW530">
        <v>8</v>
      </c>
      <c r="AX530" t="s">
        <v>74</v>
      </c>
      <c r="AY530" t="s">
        <v>74</v>
      </c>
      <c r="AZ530" t="s">
        <v>74</v>
      </c>
      <c r="BA530" t="s">
        <v>74</v>
      </c>
      <c r="BB530">
        <v>544</v>
      </c>
      <c r="BC530">
        <v>558</v>
      </c>
      <c r="BD530" t="s">
        <v>74</v>
      </c>
      <c r="BE530" t="s">
        <v>10299</v>
      </c>
      <c r="BF530" t="str">
        <f>HYPERLINK("http://dx.doi.org/10.3103/S1068373916080045","http://dx.doi.org/10.3103/S1068373916080045")</f>
        <v>http://dx.doi.org/10.3103/S1068373916080045</v>
      </c>
      <c r="BG530" t="s">
        <v>74</v>
      </c>
      <c r="BH530" t="s">
        <v>74</v>
      </c>
      <c r="BI530">
        <v>15</v>
      </c>
      <c r="BJ530" t="s">
        <v>2482</v>
      </c>
      <c r="BK530" t="s">
        <v>156</v>
      </c>
      <c r="BL530" t="s">
        <v>2482</v>
      </c>
      <c r="BM530" t="s">
        <v>10300</v>
      </c>
      <c r="BN530" t="s">
        <v>74</v>
      </c>
      <c r="BO530" t="s">
        <v>74</v>
      </c>
      <c r="BP530" t="s">
        <v>74</v>
      </c>
      <c r="BQ530" t="s">
        <v>74</v>
      </c>
      <c r="BR530" t="s">
        <v>105</v>
      </c>
      <c r="BS530" t="s">
        <v>10301</v>
      </c>
      <c r="BT530" t="str">
        <f>HYPERLINK("https%3A%2F%2Fwww.webofscience.com%2Fwos%2Fwoscc%2Ffull-record%2FWOS:000385170700004","View Full Record in Web of Science")</f>
        <v>View Full Record in Web of Science</v>
      </c>
    </row>
    <row r="531" spans="1:72" x14ac:dyDescent="0.15">
      <c r="A531" t="s">
        <v>72</v>
      </c>
      <c r="B531" t="s">
        <v>10302</v>
      </c>
      <c r="C531" t="s">
        <v>74</v>
      </c>
      <c r="D531" t="s">
        <v>74</v>
      </c>
      <c r="E531" t="s">
        <v>74</v>
      </c>
      <c r="F531" t="s">
        <v>10303</v>
      </c>
      <c r="G531" t="s">
        <v>74</v>
      </c>
      <c r="H531" t="s">
        <v>74</v>
      </c>
      <c r="I531" t="s">
        <v>10304</v>
      </c>
      <c r="J531" t="s">
        <v>138</v>
      </c>
      <c r="K531" t="s">
        <v>74</v>
      </c>
      <c r="L531" t="s">
        <v>74</v>
      </c>
      <c r="M531" t="s">
        <v>78</v>
      </c>
      <c r="N531" t="s">
        <v>79</v>
      </c>
      <c r="O531" t="s">
        <v>74</v>
      </c>
      <c r="P531" t="s">
        <v>74</v>
      </c>
      <c r="Q531" t="s">
        <v>74</v>
      </c>
      <c r="R531" t="s">
        <v>74</v>
      </c>
      <c r="S531" t="s">
        <v>74</v>
      </c>
      <c r="T531" t="s">
        <v>10305</v>
      </c>
      <c r="U531" t="s">
        <v>10306</v>
      </c>
      <c r="V531" t="s">
        <v>10307</v>
      </c>
      <c r="W531" t="s">
        <v>10308</v>
      </c>
      <c r="X531" t="s">
        <v>3145</v>
      </c>
      <c r="Y531" t="s">
        <v>10309</v>
      </c>
      <c r="Z531" t="s">
        <v>10310</v>
      </c>
      <c r="AA531" t="s">
        <v>10311</v>
      </c>
      <c r="AB531" t="s">
        <v>10312</v>
      </c>
      <c r="AC531" t="s">
        <v>10313</v>
      </c>
      <c r="AD531" t="s">
        <v>10314</v>
      </c>
      <c r="AE531" t="s">
        <v>10315</v>
      </c>
      <c r="AF531" t="s">
        <v>74</v>
      </c>
      <c r="AG531">
        <v>82</v>
      </c>
      <c r="AH531">
        <v>17</v>
      </c>
      <c r="AI531">
        <v>19</v>
      </c>
      <c r="AJ531">
        <v>0</v>
      </c>
      <c r="AK531">
        <v>15</v>
      </c>
      <c r="AL531" t="s">
        <v>149</v>
      </c>
      <c r="AM531" t="s">
        <v>123</v>
      </c>
      <c r="AN531" t="s">
        <v>150</v>
      </c>
      <c r="AO531" t="s">
        <v>74</v>
      </c>
      <c r="AP531" t="s">
        <v>151</v>
      </c>
      <c r="AQ531" t="s">
        <v>74</v>
      </c>
      <c r="AR531" t="s">
        <v>152</v>
      </c>
      <c r="AS531" t="s">
        <v>153</v>
      </c>
      <c r="AT531" t="s">
        <v>9902</v>
      </c>
      <c r="AU531">
        <v>2016</v>
      </c>
      <c r="AV531">
        <v>17</v>
      </c>
      <c r="AW531">
        <v>8</v>
      </c>
      <c r="AX531" t="s">
        <v>74</v>
      </c>
      <c r="AY531" t="s">
        <v>74</v>
      </c>
      <c r="AZ531" t="s">
        <v>74</v>
      </c>
      <c r="BA531" t="s">
        <v>74</v>
      </c>
      <c r="BB531">
        <v>3131</v>
      </c>
      <c r="BC531">
        <v>3149</v>
      </c>
      <c r="BD531" t="s">
        <v>74</v>
      </c>
      <c r="BE531" t="s">
        <v>10316</v>
      </c>
      <c r="BF531" t="str">
        <f>HYPERLINK("http://dx.doi.org/10.1002/2015GC006232","http://dx.doi.org/10.1002/2015GC006232")</f>
        <v>http://dx.doi.org/10.1002/2015GC006232</v>
      </c>
      <c r="BG531" t="s">
        <v>74</v>
      </c>
      <c r="BH531" t="s">
        <v>74</v>
      </c>
      <c r="BI531">
        <v>19</v>
      </c>
      <c r="BJ531" t="s">
        <v>155</v>
      </c>
      <c r="BK531" t="s">
        <v>156</v>
      </c>
      <c r="BL531" t="s">
        <v>155</v>
      </c>
      <c r="BM531" t="s">
        <v>10317</v>
      </c>
      <c r="BN531" t="s">
        <v>74</v>
      </c>
      <c r="BO531" t="s">
        <v>258</v>
      </c>
      <c r="BP531" t="s">
        <v>74</v>
      </c>
      <c r="BQ531" t="s">
        <v>74</v>
      </c>
      <c r="BR531" t="s">
        <v>105</v>
      </c>
      <c r="BS531" t="s">
        <v>10318</v>
      </c>
      <c r="BT531" t="str">
        <f>HYPERLINK("https%3A%2F%2Fwww.webofscience.com%2Fwos%2Fwoscc%2Ffull-record%2FWOS:000384808200010","View Full Record in Web of Science")</f>
        <v>View Full Record in Web of Science</v>
      </c>
    </row>
    <row r="532" spans="1:72" x14ac:dyDescent="0.15">
      <c r="A532" t="s">
        <v>72</v>
      </c>
      <c r="B532" t="s">
        <v>10319</v>
      </c>
      <c r="C532" t="s">
        <v>74</v>
      </c>
      <c r="D532" t="s">
        <v>74</v>
      </c>
      <c r="E532" t="s">
        <v>74</v>
      </c>
      <c r="F532" t="s">
        <v>10320</v>
      </c>
      <c r="G532" t="s">
        <v>74</v>
      </c>
      <c r="H532" t="s">
        <v>74</v>
      </c>
      <c r="I532" t="s">
        <v>10321</v>
      </c>
      <c r="J532" t="s">
        <v>3700</v>
      </c>
      <c r="K532" t="s">
        <v>74</v>
      </c>
      <c r="L532" t="s">
        <v>74</v>
      </c>
      <c r="M532" t="s">
        <v>78</v>
      </c>
      <c r="N532" t="s">
        <v>79</v>
      </c>
      <c r="O532" t="s">
        <v>74</v>
      </c>
      <c r="P532" t="s">
        <v>74</v>
      </c>
      <c r="Q532" t="s">
        <v>74</v>
      </c>
      <c r="R532" t="s">
        <v>74</v>
      </c>
      <c r="S532" t="s">
        <v>74</v>
      </c>
      <c r="T532" t="s">
        <v>10322</v>
      </c>
      <c r="U532" t="s">
        <v>10323</v>
      </c>
      <c r="V532" t="s">
        <v>10324</v>
      </c>
      <c r="W532" t="s">
        <v>10325</v>
      </c>
      <c r="X532" t="s">
        <v>10326</v>
      </c>
      <c r="Y532" t="s">
        <v>10327</v>
      </c>
      <c r="Z532" t="s">
        <v>10328</v>
      </c>
      <c r="AA532" t="s">
        <v>10329</v>
      </c>
      <c r="AB532" t="s">
        <v>74</v>
      </c>
      <c r="AC532" t="s">
        <v>10330</v>
      </c>
      <c r="AD532" t="s">
        <v>10331</v>
      </c>
      <c r="AE532" t="s">
        <v>10332</v>
      </c>
      <c r="AF532" t="s">
        <v>74</v>
      </c>
      <c r="AG532">
        <v>96</v>
      </c>
      <c r="AH532">
        <v>40</v>
      </c>
      <c r="AI532">
        <v>42</v>
      </c>
      <c r="AJ532">
        <v>0</v>
      </c>
      <c r="AK532">
        <v>14</v>
      </c>
      <c r="AL532" t="s">
        <v>196</v>
      </c>
      <c r="AM532" t="s">
        <v>93</v>
      </c>
      <c r="AN532" t="s">
        <v>197</v>
      </c>
      <c r="AO532" t="s">
        <v>3713</v>
      </c>
      <c r="AP532" t="s">
        <v>3714</v>
      </c>
      <c r="AQ532" t="s">
        <v>74</v>
      </c>
      <c r="AR532" t="s">
        <v>3715</v>
      </c>
      <c r="AS532" t="s">
        <v>3716</v>
      </c>
      <c r="AT532" t="s">
        <v>9902</v>
      </c>
      <c r="AU532">
        <v>2016</v>
      </c>
      <c r="AV532">
        <v>36</v>
      </c>
      <c r="AW532" t="s">
        <v>74</v>
      </c>
      <c r="AX532" t="s">
        <v>74</v>
      </c>
      <c r="AY532" t="s">
        <v>74</v>
      </c>
      <c r="AZ532" t="s">
        <v>74</v>
      </c>
      <c r="BA532" t="s">
        <v>74</v>
      </c>
      <c r="BB532">
        <v>1</v>
      </c>
      <c r="BC532">
        <v>13</v>
      </c>
      <c r="BD532" t="s">
        <v>74</v>
      </c>
      <c r="BE532" t="s">
        <v>10333</v>
      </c>
      <c r="BF532" t="str">
        <f>HYPERLINK("http://dx.doi.org/10.1016/j.gr.2015.07.014","http://dx.doi.org/10.1016/j.gr.2015.07.014")</f>
        <v>http://dx.doi.org/10.1016/j.gr.2015.07.014</v>
      </c>
      <c r="BG532" t="s">
        <v>74</v>
      </c>
      <c r="BH532" t="s">
        <v>74</v>
      </c>
      <c r="BI532">
        <v>13</v>
      </c>
      <c r="BJ532" t="s">
        <v>352</v>
      </c>
      <c r="BK532" t="s">
        <v>156</v>
      </c>
      <c r="BL532" t="s">
        <v>177</v>
      </c>
      <c r="BM532" t="s">
        <v>10334</v>
      </c>
      <c r="BN532" t="s">
        <v>74</v>
      </c>
      <c r="BO532" t="s">
        <v>74</v>
      </c>
      <c r="BP532" t="s">
        <v>74</v>
      </c>
      <c r="BQ532" t="s">
        <v>74</v>
      </c>
      <c r="BR532" t="s">
        <v>105</v>
      </c>
      <c r="BS532" t="s">
        <v>10335</v>
      </c>
      <c r="BT532" t="str">
        <f>HYPERLINK("https%3A%2F%2Fwww.webofscience.com%2Fwos%2Fwoscc%2Ffull-record%2FWOS:000384702900001","View Full Record in Web of Science")</f>
        <v>View Full Record in Web of Science</v>
      </c>
    </row>
    <row r="533" spans="1:72" x14ac:dyDescent="0.15">
      <c r="A533" t="s">
        <v>72</v>
      </c>
      <c r="B533" t="s">
        <v>10336</v>
      </c>
      <c r="C533" t="s">
        <v>74</v>
      </c>
      <c r="D533" t="s">
        <v>74</v>
      </c>
      <c r="E533" t="s">
        <v>74</v>
      </c>
      <c r="F533" t="s">
        <v>10337</v>
      </c>
      <c r="G533" t="s">
        <v>74</v>
      </c>
      <c r="H533" t="s">
        <v>74</v>
      </c>
      <c r="I533" t="s">
        <v>10338</v>
      </c>
      <c r="J533" t="s">
        <v>10339</v>
      </c>
      <c r="K533" t="s">
        <v>74</v>
      </c>
      <c r="L533" t="s">
        <v>74</v>
      </c>
      <c r="M533" t="s">
        <v>78</v>
      </c>
      <c r="N533" t="s">
        <v>79</v>
      </c>
      <c r="O533" t="s">
        <v>74</v>
      </c>
      <c r="P533" t="s">
        <v>74</v>
      </c>
      <c r="Q533" t="s">
        <v>74</v>
      </c>
      <c r="R533" t="s">
        <v>74</v>
      </c>
      <c r="S533" t="s">
        <v>74</v>
      </c>
      <c r="T533" t="s">
        <v>10340</v>
      </c>
      <c r="U533" t="s">
        <v>74</v>
      </c>
      <c r="V533" t="s">
        <v>10341</v>
      </c>
      <c r="W533" t="s">
        <v>10342</v>
      </c>
      <c r="X533" t="s">
        <v>10343</v>
      </c>
      <c r="Y533" t="s">
        <v>10344</v>
      </c>
      <c r="Z533" t="s">
        <v>10345</v>
      </c>
      <c r="AA533" t="s">
        <v>74</v>
      </c>
      <c r="AB533" t="s">
        <v>10346</v>
      </c>
      <c r="AC533" t="s">
        <v>74</v>
      </c>
      <c r="AD533" t="s">
        <v>74</v>
      </c>
      <c r="AE533" t="s">
        <v>74</v>
      </c>
      <c r="AF533" t="s">
        <v>74</v>
      </c>
      <c r="AG533">
        <v>16</v>
      </c>
      <c r="AH533">
        <v>3</v>
      </c>
      <c r="AI533">
        <v>3</v>
      </c>
      <c r="AJ533">
        <v>0</v>
      </c>
      <c r="AK533">
        <v>7</v>
      </c>
      <c r="AL533" t="s">
        <v>501</v>
      </c>
      <c r="AM533" t="s">
        <v>502</v>
      </c>
      <c r="AN533" t="s">
        <v>503</v>
      </c>
      <c r="AO533" t="s">
        <v>10347</v>
      </c>
      <c r="AP533" t="s">
        <v>10348</v>
      </c>
      <c r="AQ533" t="s">
        <v>74</v>
      </c>
      <c r="AR533" t="s">
        <v>10349</v>
      </c>
      <c r="AS533" t="s">
        <v>10350</v>
      </c>
      <c r="AT533" t="s">
        <v>9902</v>
      </c>
      <c r="AU533">
        <v>2016</v>
      </c>
      <c r="AV533">
        <v>89</v>
      </c>
      <c r="AW533">
        <v>2</v>
      </c>
      <c r="AX533" t="s">
        <v>74</v>
      </c>
      <c r="AY533" t="s">
        <v>74</v>
      </c>
      <c r="AZ533" t="s">
        <v>74</v>
      </c>
      <c r="BA533" t="s">
        <v>74</v>
      </c>
      <c r="BB533">
        <v>1494</v>
      </c>
      <c r="BC533">
        <v>1500</v>
      </c>
      <c r="BD533" t="s">
        <v>74</v>
      </c>
      <c r="BE533" t="s">
        <v>10351</v>
      </c>
      <c r="BF533" t="str">
        <f>HYPERLINK("http://dx.doi.org/10.1111/jfb.13046","http://dx.doi.org/10.1111/jfb.13046")</f>
        <v>http://dx.doi.org/10.1111/jfb.13046</v>
      </c>
      <c r="BG533" t="s">
        <v>74</v>
      </c>
      <c r="BH533" t="s">
        <v>74</v>
      </c>
      <c r="BI533">
        <v>7</v>
      </c>
      <c r="BJ533" t="s">
        <v>2751</v>
      </c>
      <c r="BK533" t="s">
        <v>156</v>
      </c>
      <c r="BL533" t="s">
        <v>2751</v>
      </c>
      <c r="BM533" t="s">
        <v>10352</v>
      </c>
      <c r="BN533">
        <v>27354338</v>
      </c>
      <c r="BO533" t="s">
        <v>74</v>
      </c>
      <c r="BP533" t="s">
        <v>74</v>
      </c>
      <c r="BQ533" t="s">
        <v>74</v>
      </c>
      <c r="BR533" t="s">
        <v>105</v>
      </c>
      <c r="BS533" t="s">
        <v>10353</v>
      </c>
      <c r="BT533" t="str">
        <f>HYPERLINK("https%3A%2F%2Fwww.webofscience.com%2Fwos%2Fwoscc%2Ffull-record%2FWOS:000384309300027","View Full Record in Web of Science")</f>
        <v>View Full Record in Web of Science</v>
      </c>
    </row>
    <row r="534" spans="1:72" x14ac:dyDescent="0.15">
      <c r="A534" t="s">
        <v>72</v>
      </c>
      <c r="B534" t="s">
        <v>10354</v>
      </c>
      <c r="C534" t="s">
        <v>74</v>
      </c>
      <c r="D534" t="s">
        <v>74</v>
      </c>
      <c r="E534" t="s">
        <v>74</v>
      </c>
      <c r="F534" t="s">
        <v>10355</v>
      </c>
      <c r="G534" t="s">
        <v>74</v>
      </c>
      <c r="H534" t="s">
        <v>74</v>
      </c>
      <c r="I534" t="s">
        <v>10356</v>
      </c>
      <c r="J534" t="s">
        <v>10357</v>
      </c>
      <c r="K534" t="s">
        <v>74</v>
      </c>
      <c r="L534" t="s">
        <v>74</v>
      </c>
      <c r="M534" t="s">
        <v>78</v>
      </c>
      <c r="N534" t="s">
        <v>79</v>
      </c>
      <c r="O534" t="s">
        <v>74</v>
      </c>
      <c r="P534" t="s">
        <v>74</v>
      </c>
      <c r="Q534" t="s">
        <v>74</v>
      </c>
      <c r="R534" t="s">
        <v>74</v>
      </c>
      <c r="S534" t="s">
        <v>74</v>
      </c>
      <c r="T534" t="s">
        <v>10358</v>
      </c>
      <c r="U534" t="s">
        <v>10359</v>
      </c>
      <c r="V534" t="s">
        <v>10360</v>
      </c>
      <c r="W534" t="s">
        <v>10361</v>
      </c>
      <c r="X534" t="s">
        <v>10362</v>
      </c>
      <c r="Y534" t="s">
        <v>10363</v>
      </c>
      <c r="Z534" t="s">
        <v>10364</v>
      </c>
      <c r="AA534" t="s">
        <v>10365</v>
      </c>
      <c r="AB534" t="s">
        <v>10366</v>
      </c>
      <c r="AC534" t="s">
        <v>10367</v>
      </c>
      <c r="AD534" t="s">
        <v>10368</v>
      </c>
      <c r="AE534" t="s">
        <v>10369</v>
      </c>
      <c r="AF534" t="s">
        <v>74</v>
      </c>
      <c r="AG534">
        <v>52</v>
      </c>
      <c r="AH534">
        <v>8</v>
      </c>
      <c r="AI534">
        <v>8</v>
      </c>
      <c r="AJ534">
        <v>0</v>
      </c>
      <c r="AK534">
        <v>18</v>
      </c>
      <c r="AL534" t="s">
        <v>501</v>
      </c>
      <c r="AM534" t="s">
        <v>502</v>
      </c>
      <c r="AN534" t="s">
        <v>503</v>
      </c>
      <c r="AO534" t="s">
        <v>10370</v>
      </c>
      <c r="AP534" t="s">
        <v>10371</v>
      </c>
      <c r="AQ534" t="s">
        <v>74</v>
      </c>
      <c r="AR534" t="s">
        <v>10372</v>
      </c>
      <c r="AS534" t="s">
        <v>10373</v>
      </c>
      <c r="AT534" t="s">
        <v>9902</v>
      </c>
      <c r="AU534">
        <v>2016</v>
      </c>
      <c r="AV534">
        <v>51</v>
      </c>
      <c r="AW534" t="s">
        <v>74</v>
      </c>
      <c r="AX534" t="s">
        <v>74</v>
      </c>
      <c r="AY534" t="s">
        <v>74</v>
      </c>
      <c r="AZ534">
        <v>1</v>
      </c>
      <c r="BA534" t="s">
        <v>74</v>
      </c>
      <c r="BB534">
        <v>634</v>
      </c>
      <c r="BC534">
        <v>643</v>
      </c>
      <c r="BD534" t="s">
        <v>74</v>
      </c>
      <c r="BE534" t="s">
        <v>10374</v>
      </c>
      <c r="BF534" t="str">
        <f>HYPERLINK("http://dx.doi.org/10.1002/gj.2786","http://dx.doi.org/10.1002/gj.2786")</f>
        <v>http://dx.doi.org/10.1002/gj.2786</v>
      </c>
      <c r="BG534" t="s">
        <v>74</v>
      </c>
      <c r="BH534" t="s">
        <v>74</v>
      </c>
      <c r="BI534">
        <v>10</v>
      </c>
      <c r="BJ534" t="s">
        <v>352</v>
      </c>
      <c r="BK534" t="s">
        <v>156</v>
      </c>
      <c r="BL534" t="s">
        <v>177</v>
      </c>
      <c r="BM534" t="s">
        <v>10375</v>
      </c>
      <c r="BN534" t="s">
        <v>74</v>
      </c>
      <c r="BO534" t="s">
        <v>74</v>
      </c>
      <c r="BP534" t="s">
        <v>74</v>
      </c>
      <c r="BQ534" t="s">
        <v>74</v>
      </c>
      <c r="BR534" t="s">
        <v>105</v>
      </c>
      <c r="BS534" t="s">
        <v>10376</v>
      </c>
      <c r="BT534" t="str">
        <f>HYPERLINK("https%3A%2F%2Fwww.webofscience.com%2Fwos%2Fwoscc%2Ffull-record%2FWOS:000383513600044","View Full Record in Web of Science")</f>
        <v>View Full Record in Web of Science</v>
      </c>
    </row>
    <row r="535" spans="1:72" x14ac:dyDescent="0.15">
      <c r="A535" t="s">
        <v>72</v>
      </c>
      <c r="B535" t="s">
        <v>10377</v>
      </c>
      <c r="C535" t="s">
        <v>74</v>
      </c>
      <c r="D535" t="s">
        <v>74</v>
      </c>
      <c r="E535" t="s">
        <v>74</v>
      </c>
      <c r="F535" t="s">
        <v>10378</v>
      </c>
      <c r="G535" t="s">
        <v>74</v>
      </c>
      <c r="H535" t="s">
        <v>74</v>
      </c>
      <c r="I535" t="s">
        <v>10379</v>
      </c>
      <c r="J535" t="s">
        <v>10380</v>
      </c>
      <c r="K535" t="s">
        <v>74</v>
      </c>
      <c r="L535" t="s">
        <v>74</v>
      </c>
      <c r="M535" t="s">
        <v>78</v>
      </c>
      <c r="N535" t="s">
        <v>2730</v>
      </c>
      <c r="O535" t="s">
        <v>10381</v>
      </c>
      <c r="P535" t="s">
        <v>10382</v>
      </c>
      <c r="Q535" t="s">
        <v>10383</v>
      </c>
      <c r="R535" t="s">
        <v>74</v>
      </c>
      <c r="S535" t="s">
        <v>10384</v>
      </c>
      <c r="T535" t="s">
        <v>10385</v>
      </c>
      <c r="U535" t="s">
        <v>10386</v>
      </c>
      <c r="V535" t="s">
        <v>10387</v>
      </c>
      <c r="W535" t="s">
        <v>10388</v>
      </c>
      <c r="X535" t="s">
        <v>10389</v>
      </c>
      <c r="Y535" t="s">
        <v>10390</v>
      </c>
      <c r="Z535" t="s">
        <v>10391</v>
      </c>
      <c r="AA535" t="s">
        <v>10392</v>
      </c>
      <c r="AB535" t="s">
        <v>10393</v>
      </c>
      <c r="AC535" t="s">
        <v>74</v>
      </c>
      <c r="AD535" t="s">
        <v>74</v>
      </c>
      <c r="AE535" t="s">
        <v>74</v>
      </c>
      <c r="AF535" t="s">
        <v>74</v>
      </c>
      <c r="AG535">
        <v>17</v>
      </c>
      <c r="AH535">
        <v>20</v>
      </c>
      <c r="AI535">
        <v>22</v>
      </c>
      <c r="AJ535">
        <v>1</v>
      </c>
      <c r="AK535">
        <v>21</v>
      </c>
      <c r="AL535" t="s">
        <v>860</v>
      </c>
      <c r="AM535" t="s">
        <v>861</v>
      </c>
      <c r="AN535" t="s">
        <v>862</v>
      </c>
      <c r="AO535" t="s">
        <v>10394</v>
      </c>
      <c r="AP535" t="s">
        <v>10395</v>
      </c>
      <c r="AQ535" t="s">
        <v>74</v>
      </c>
      <c r="AR535" t="s">
        <v>10396</v>
      </c>
      <c r="AS535" t="s">
        <v>10397</v>
      </c>
      <c r="AT535" t="s">
        <v>10398</v>
      </c>
      <c r="AU535">
        <v>2016</v>
      </c>
      <c r="AV535">
        <v>52</v>
      </c>
      <c r="AW535" t="s">
        <v>10399</v>
      </c>
      <c r="AX535" t="s">
        <v>74</v>
      </c>
      <c r="AY535" t="s">
        <v>74</v>
      </c>
      <c r="AZ535" t="s">
        <v>650</v>
      </c>
      <c r="BA535" t="s">
        <v>74</v>
      </c>
      <c r="BB535">
        <v>343</v>
      </c>
      <c r="BC535">
        <v>352</v>
      </c>
      <c r="BD535" t="s">
        <v>74</v>
      </c>
      <c r="BE535" t="s">
        <v>10400</v>
      </c>
      <c r="BF535" t="str">
        <f>HYPERLINK("http://dx.doi.org/10.1080/10256016.2016.1153472","http://dx.doi.org/10.1080/10256016.2016.1153472")</f>
        <v>http://dx.doi.org/10.1080/10256016.2016.1153472</v>
      </c>
      <c r="BG535" t="s">
        <v>74</v>
      </c>
      <c r="BH535" t="s">
        <v>74</v>
      </c>
      <c r="BI535">
        <v>10</v>
      </c>
      <c r="BJ535" t="s">
        <v>10401</v>
      </c>
      <c r="BK535" t="s">
        <v>2548</v>
      </c>
      <c r="BL535" t="s">
        <v>10402</v>
      </c>
      <c r="BM535" t="s">
        <v>10403</v>
      </c>
      <c r="BN535">
        <v>27007914</v>
      </c>
      <c r="BO535" t="s">
        <v>805</v>
      </c>
      <c r="BP535" t="s">
        <v>74</v>
      </c>
      <c r="BQ535" t="s">
        <v>74</v>
      </c>
      <c r="BR535" t="s">
        <v>105</v>
      </c>
      <c r="BS535" t="s">
        <v>10404</v>
      </c>
      <c r="BT535" t="str">
        <f>HYPERLINK("https%3A%2F%2Fwww.webofscience.com%2Fwos%2Fwoscc%2Ffull-record%2FWOS:000383923800003","View Full Record in Web of Science")</f>
        <v>View Full Record in Web of Science</v>
      </c>
    </row>
    <row r="536" spans="1:72" x14ac:dyDescent="0.15">
      <c r="A536" t="s">
        <v>72</v>
      </c>
      <c r="B536" t="s">
        <v>10405</v>
      </c>
      <c r="C536" t="s">
        <v>74</v>
      </c>
      <c r="D536" t="s">
        <v>74</v>
      </c>
      <c r="E536" t="s">
        <v>74</v>
      </c>
      <c r="F536" t="s">
        <v>10406</v>
      </c>
      <c r="G536" t="s">
        <v>74</v>
      </c>
      <c r="H536" t="s">
        <v>74</v>
      </c>
      <c r="I536" t="s">
        <v>10407</v>
      </c>
      <c r="J536" t="s">
        <v>10380</v>
      </c>
      <c r="K536" t="s">
        <v>74</v>
      </c>
      <c r="L536" t="s">
        <v>74</v>
      </c>
      <c r="M536" t="s">
        <v>78</v>
      </c>
      <c r="N536" t="s">
        <v>2730</v>
      </c>
      <c r="O536" t="s">
        <v>10381</v>
      </c>
      <c r="P536" t="s">
        <v>10382</v>
      </c>
      <c r="Q536" t="s">
        <v>10383</v>
      </c>
      <c r="R536" t="s">
        <v>74</v>
      </c>
      <c r="S536" t="s">
        <v>10384</v>
      </c>
      <c r="T536" t="s">
        <v>10408</v>
      </c>
      <c r="U536" t="s">
        <v>10409</v>
      </c>
      <c r="V536" t="s">
        <v>10410</v>
      </c>
      <c r="W536" t="s">
        <v>10411</v>
      </c>
      <c r="X536" t="s">
        <v>10412</v>
      </c>
      <c r="Y536" t="s">
        <v>10413</v>
      </c>
      <c r="Z536" t="s">
        <v>10414</v>
      </c>
      <c r="AA536" t="s">
        <v>10415</v>
      </c>
      <c r="AB536" t="s">
        <v>10416</v>
      </c>
      <c r="AC536" t="s">
        <v>10417</v>
      </c>
      <c r="AD536" t="s">
        <v>10418</v>
      </c>
      <c r="AE536" t="s">
        <v>74</v>
      </c>
      <c r="AF536" t="s">
        <v>74</v>
      </c>
      <c r="AG536">
        <v>9</v>
      </c>
      <c r="AH536">
        <v>7</v>
      </c>
      <c r="AI536">
        <v>9</v>
      </c>
      <c r="AJ536">
        <v>0</v>
      </c>
      <c r="AK536">
        <v>18</v>
      </c>
      <c r="AL536" t="s">
        <v>860</v>
      </c>
      <c r="AM536" t="s">
        <v>861</v>
      </c>
      <c r="AN536" t="s">
        <v>862</v>
      </c>
      <c r="AO536" t="s">
        <v>10394</v>
      </c>
      <c r="AP536" t="s">
        <v>10395</v>
      </c>
      <c r="AQ536" t="s">
        <v>74</v>
      </c>
      <c r="AR536" t="s">
        <v>10396</v>
      </c>
      <c r="AS536" t="s">
        <v>10397</v>
      </c>
      <c r="AT536" t="s">
        <v>10398</v>
      </c>
      <c r="AU536">
        <v>2016</v>
      </c>
      <c r="AV536">
        <v>52</v>
      </c>
      <c r="AW536" t="s">
        <v>10399</v>
      </c>
      <c r="AX536" t="s">
        <v>74</v>
      </c>
      <c r="AY536" t="s">
        <v>74</v>
      </c>
      <c r="AZ536" t="s">
        <v>650</v>
      </c>
      <c r="BA536" t="s">
        <v>74</v>
      </c>
      <c r="BB536">
        <v>468</v>
      </c>
      <c r="BC536">
        <v>476</v>
      </c>
      <c r="BD536" t="s">
        <v>74</v>
      </c>
      <c r="BE536" t="s">
        <v>10419</v>
      </c>
      <c r="BF536" t="str">
        <f>HYPERLINK("http://dx.doi.org/10.1080/10256016.2015.1129327","http://dx.doi.org/10.1080/10256016.2015.1129327")</f>
        <v>http://dx.doi.org/10.1080/10256016.2015.1129327</v>
      </c>
      <c r="BG536" t="s">
        <v>74</v>
      </c>
      <c r="BH536" t="s">
        <v>74</v>
      </c>
      <c r="BI536">
        <v>9</v>
      </c>
      <c r="BJ536" t="s">
        <v>10401</v>
      </c>
      <c r="BK536" t="s">
        <v>2548</v>
      </c>
      <c r="BL536" t="s">
        <v>10402</v>
      </c>
      <c r="BM536" t="s">
        <v>10403</v>
      </c>
      <c r="BN536">
        <v>26862787</v>
      </c>
      <c r="BO536" t="s">
        <v>74</v>
      </c>
      <c r="BP536" t="s">
        <v>74</v>
      </c>
      <c r="BQ536" t="s">
        <v>74</v>
      </c>
      <c r="BR536" t="s">
        <v>105</v>
      </c>
      <c r="BS536" t="s">
        <v>10420</v>
      </c>
      <c r="BT536" t="str">
        <f>HYPERLINK("https%3A%2F%2Fwww.webofscience.com%2Fwos%2Fwoscc%2Ffull-record%2FWOS:000383923800014","View Full Record in Web of Science")</f>
        <v>View Full Record in Web of Science</v>
      </c>
    </row>
    <row r="537" spans="1:72" x14ac:dyDescent="0.15">
      <c r="A537" t="s">
        <v>72</v>
      </c>
      <c r="B537" t="s">
        <v>10421</v>
      </c>
      <c r="C537" t="s">
        <v>74</v>
      </c>
      <c r="D537" t="s">
        <v>74</v>
      </c>
      <c r="E537" t="s">
        <v>74</v>
      </c>
      <c r="F537" t="s">
        <v>10422</v>
      </c>
      <c r="G537" t="s">
        <v>74</v>
      </c>
      <c r="H537" t="s">
        <v>74</v>
      </c>
      <c r="I537" t="s">
        <v>10423</v>
      </c>
      <c r="J537" t="s">
        <v>10424</v>
      </c>
      <c r="K537" t="s">
        <v>74</v>
      </c>
      <c r="L537" t="s">
        <v>74</v>
      </c>
      <c r="M537" t="s">
        <v>78</v>
      </c>
      <c r="N537" t="s">
        <v>79</v>
      </c>
      <c r="O537" t="s">
        <v>74</v>
      </c>
      <c r="P537" t="s">
        <v>74</v>
      </c>
      <c r="Q537" t="s">
        <v>74</v>
      </c>
      <c r="R537" t="s">
        <v>74</v>
      </c>
      <c r="S537" t="s">
        <v>74</v>
      </c>
      <c r="T537" t="s">
        <v>74</v>
      </c>
      <c r="U537" t="s">
        <v>10425</v>
      </c>
      <c r="V537" t="s">
        <v>10426</v>
      </c>
      <c r="W537" t="s">
        <v>10427</v>
      </c>
      <c r="X537" t="s">
        <v>10428</v>
      </c>
      <c r="Y537" t="s">
        <v>10429</v>
      </c>
      <c r="Z537" t="s">
        <v>10430</v>
      </c>
      <c r="AA537" t="s">
        <v>74</v>
      </c>
      <c r="AB537" t="s">
        <v>74</v>
      </c>
      <c r="AC537" t="s">
        <v>10431</v>
      </c>
      <c r="AD537" t="s">
        <v>10432</v>
      </c>
      <c r="AE537" t="s">
        <v>10433</v>
      </c>
      <c r="AF537" t="s">
        <v>74</v>
      </c>
      <c r="AG537">
        <v>40</v>
      </c>
      <c r="AH537">
        <v>1</v>
      </c>
      <c r="AI537">
        <v>1</v>
      </c>
      <c r="AJ537">
        <v>0</v>
      </c>
      <c r="AK537">
        <v>10</v>
      </c>
      <c r="AL537" t="s">
        <v>10434</v>
      </c>
      <c r="AM537" t="s">
        <v>10435</v>
      </c>
      <c r="AN537" t="s">
        <v>10436</v>
      </c>
      <c r="AO537" t="s">
        <v>10437</v>
      </c>
      <c r="AP537" t="s">
        <v>10438</v>
      </c>
      <c r="AQ537" t="s">
        <v>74</v>
      </c>
      <c r="AR537" t="s">
        <v>10439</v>
      </c>
      <c r="AS537" t="s">
        <v>10440</v>
      </c>
      <c r="AT537" t="s">
        <v>9902</v>
      </c>
      <c r="AU537">
        <v>2016</v>
      </c>
      <c r="AV537">
        <v>78</v>
      </c>
      <c r="AW537">
        <v>2</v>
      </c>
      <c r="AX537" t="s">
        <v>74</v>
      </c>
      <c r="AY537" t="s">
        <v>74</v>
      </c>
      <c r="AZ537" t="s">
        <v>74</v>
      </c>
      <c r="BA537" t="s">
        <v>74</v>
      </c>
      <c r="BB537">
        <v>85</v>
      </c>
      <c r="BC537">
        <v>93</v>
      </c>
      <c r="BD537" t="s">
        <v>74</v>
      </c>
      <c r="BE537" t="s">
        <v>10441</v>
      </c>
      <c r="BF537" t="str">
        <f>HYPERLINK("http://dx.doi.org/10.4311/2014ES0109","http://dx.doi.org/10.4311/2014ES0109")</f>
        <v>http://dx.doi.org/10.4311/2014ES0109</v>
      </c>
      <c r="BG537" t="s">
        <v>74</v>
      </c>
      <c r="BH537" t="s">
        <v>74</v>
      </c>
      <c r="BI537">
        <v>9</v>
      </c>
      <c r="BJ537" t="s">
        <v>352</v>
      </c>
      <c r="BK537" t="s">
        <v>156</v>
      </c>
      <c r="BL537" t="s">
        <v>177</v>
      </c>
      <c r="BM537" t="s">
        <v>10442</v>
      </c>
      <c r="BN537" t="s">
        <v>74</v>
      </c>
      <c r="BO537" t="s">
        <v>777</v>
      </c>
      <c r="BP537" t="s">
        <v>74</v>
      </c>
      <c r="BQ537" t="s">
        <v>74</v>
      </c>
      <c r="BR537" t="s">
        <v>105</v>
      </c>
      <c r="BS537" t="s">
        <v>10443</v>
      </c>
      <c r="BT537" t="str">
        <f>HYPERLINK("https%3A%2F%2Fwww.webofscience.com%2Fwos%2Fwoscc%2Ffull-record%2FWOS:000383820300004","View Full Record in Web of Science")</f>
        <v>View Full Record in Web of Science</v>
      </c>
    </row>
    <row r="538" spans="1:72" x14ac:dyDescent="0.15">
      <c r="A538" t="s">
        <v>72</v>
      </c>
      <c r="B538" t="s">
        <v>10444</v>
      </c>
      <c r="C538" t="s">
        <v>74</v>
      </c>
      <c r="D538" t="s">
        <v>74</v>
      </c>
      <c r="E538" t="s">
        <v>74</v>
      </c>
      <c r="F538" t="s">
        <v>10445</v>
      </c>
      <c r="G538" t="s">
        <v>74</v>
      </c>
      <c r="H538" t="s">
        <v>74</v>
      </c>
      <c r="I538" t="s">
        <v>10446</v>
      </c>
      <c r="J538" t="s">
        <v>10447</v>
      </c>
      <c r="K538" t="s">
        <v>74</v>
      </c>
      <c r="L538" t="s">
        <v>74</v>
      </c>
      <c r="M538" t="s">
        <v>78</v>
      </c>
      <c r="N538" t="s">
        <v>79</v>
      </c>
      <c r="O538" t="s">
        <v>74</v>
      </c>
      <c r="P538" t="s">
        <v>74</v>
      </c>
      <c r="Q538" t="s">
        <v>74</v>
      </c>
      <c r="R538" t="s">
        <v>74</v>
      </c>
      <c r="S538" t="s">
        <v>74</v>
      </c>
      <c r="T538" t="s">
        <v>10448</v>
      </c>
      <c r="U538" t="s">
        <v>10449</v>
      </c>
      <c r="V538" t="s">
        <v>10450</v>
      </c>
      <c r="W538" t="s">
        <v>10451</v>
      </c>
      <c r="X538" t="s">
        <v>10452</v>
      </c>
      <c r="Y538" t="s">
        <v>10453</v>
      </c>
      <c r="Z538" t="s">
        <v>10454</v>
      </c>
      <c r="AA538" t="s">
        <v>10455</v>
      </c>
      <c r="AB538" t="s">
        <v>10456</v>
      </c>
      <c r="AC538" t="s">
        <v>10457</v>
      </c>
      <c r="AD538" t="s">
        <v>10458</v>
      </c>
      <c r="AE538" t="s">
        <v>10459</v>
      </c>
      <c r="AF538" t="s">
        <v>74</v>
      </c>
      <c r="AG538">
        <v>47</v>
      </c>
      <c r="AH538">
        <v>20</v>
      </c>
      <c r="AI538">
        <v>24</v>
      </c>
      <c r="AJ538">
        <v>1</v>
      </c>
      <c r="AK538">
        <v>32</v>
      </c>
      <c r="AL538" t="s">
        <v>2501</v>
      </c>
      <c r="AM538" t="s">
        <v>304</v>
      </c>
      <c r="AN538" t="s">
        <v>2502</v>
      </c>
      <c r="AO538" t="s">
        <v>10460</v>
      </c>
      <c r="AP538" t="s">
        <v>10461</v>
      </c>
      <c r="AQ538" t="s">
        <v>74</v>
      </c>
      <c r="AR538" t="s">
        <v>10462</v>
      </c>
      <c r="AS538" t="s">
        <v>10463</v>
      </c>
      <c r="AT538" t="s">
        <v>9902</v>
      </c>
      <c r="AU538">
        <v>2016</v>
      </c>
      <c r="AV538">
        <v>67</v>
      </c>
      <c r="AW538">
        <v>15</v>
      </c>
      <c r="AX538" t="s">
        <v>74</v>
      </c>
      <c r="AY538" t="s">
        <v>74</v>
      </c>
      <c r="AZ538" t="s">
        <v>74</v>
      </c>
      <c r="BA538" t="s">
        <v>74</v>
      </c>
      <c r="BB538">
        <v>4743</v>
      </c>
      <c r="BC538">
        <v>4753</v>
      </c>
      <c r="BD538" t="s">
        <v>74</v>
      </c>
      <c r="BE538" t="s">
        <v>10464</v>
      </c>
      <c r="BF538" t="str">
        <f>HYPERLINK("http://dx.doi.org/10.1093/jxb/erw253","http://dx.doi.org/10.1093/jxb/erw253")</f>
        <v>http://dx.doi.org/10.1093/jxb/erw253</v>
      </c>
      <c r="BG538" t="s">
        <v>74</v>
      </c>
      <c r="BH538" t="s">
        <v>74</v>
      </c>
      <c r="BI538">
        <v>11</v>
      </c>
      <c r="BJ538" t="s">
        <v>1580</v>
      </c>
      <c r="BK538" t="s">
        <v>156</v>
      </c>
      <c r="BL538" t="s">
        <v>1580</v>
      </c>
      <c r="BM538" t="s">
        <v>10465</v>
      </c>
      <c r="BN538">
        <v>27401911</v>
      </c>
      <c r="BO538" t="s">
        <v>10158</v>
      </c>
      <c r="BP538" t="s">
        <v>74</v>
      </c>
      <c r="BQ538" t="s">
        <v>74</v>
      </c>
      <c r="BR538" t="s">
        <v>105</v>
      </c>
      <c r="BS538" t="s">
        <v>10466</v>
      </c>
      <c r="BT538" t="str">
        <f>HYPERLINK("https%3A%2F%2Fwww.webofscience.com%2Fwos%2Fwoscc%2Ffull-record%2FWOS:000383233400026","View Full Record in Web of Science")</f>
        <v>View Full Record in Web of Science</v>
      </c>
    </row>
    <row r="539" spans="1:72" x14ac:dyDescent="0.15">
      <c r="A539" t="s">
        <v>72</v>
      </c>
      <c r="B539" t="s">
        <v>10467</v>
      </c>
      <c r="C539" t="s">
        <v>74</v>
      </c>
      <c r="D539" t="s">
        <v>74</v>
      </c>
      <c r="E539" t="s">
        <v>74</v>
      </c>
      <c r="F539" t="s">
        <v>10468</v>
      </c>
      <c r="G539" t="s">
        <v>74</v>
      </c>
      <c r="H539" t="s">
        <v>74</v>
      </c>
      <c r="I539" t="s">
        <v>10469</v>
      </c>
      <c r="J539" t="s">
        <v>2658</v>
      </c>
      <c r="K539" t="s">
        <v>74</v>
      </c>
      <c r="L539" t="s">
        <v>74</v>
      </c>
      <c r="M539" t="s">
        <v>78</v>
      </c>
      <c r="N539" t="s">
        <v>79</v>
      </c>
      <c r="O539" t="s">
        <v>74</v>
      </c>
      <c r="P539" t="s">
        <v>74</v>
      </c>
      <c r="Q539" t="s">
        <v>74</v>
      </c>
      <c r="R539" t="s">
        <v>74</v>
      </c>
      <c r="S539" t="s">
        <v>74</v>
      </c>
      <c r="T539" t="s">
        <v>10470</v>
      </c>
      <c r="U539" t="s">
        <v>10471</v>
      </c>
      <c r="V539" t="s">
        <v>10472</v>
      </c>
      <c r="W539" t="s">
        <v>10473</v>
      </c>
      <c r="X539" t="s">
        <v>10474</v>
      </c>
      <c r="Y539" t="s">
        <v>10475</v>
      </c>
      <c r="Z539" t="s">
        <v>10476</v>
      </c>
      <c r="AA539" t="s">
        <v>10477</v>
      </c>
      <c r="AB539" t="s">
        <v>10478</v>
      </c>
      <c r="AC539" t="s">
        <v>10479</v>
      </c>
      <c r="AD539" t="s">
        <v>10480</v>
      </c>
      <c r="AE539" t="s">
        <v>10481</v>
      </c>
      <c r="AF539" t="s">
        <v>74</v>
      </c>
      <c r="AG539">
        <v>128</v>
      </c>
      <c r="AH539">
        <v>11</v>
      </c>
      <c r="AI539">
        <v>11</v>
      </c>
      <c r="AJ539">
        <v>1</v>
      </c>
      <c r="AK539">
        <v>23</v>
      </c>
      <c r="AL539" t="s">
        <v>2670</v>
      </c>
      <c r="AM539" t="s">
        <v>2026</v>
      </c>
      <c r="AN539" t="s">
        <v>2671</v>
      </c>
      <c r="AO539" t="s">
        <v>2672</v>
      </c>
      <c r="AP539" t="s">
        <v>2673</v>
      </c>
      <c r="AQ539" t="s">
        <v>74</v>
      </c>
      <c r="AR539" t="s">
        <v>2674</v>
      </c>
      <c r="AS539" t="s">
        <v>2675</v>
      </c>
      <c r="AT539" t="s">
        <v>9902</v>
      </c>
      <c r="AU539">
        <v>2016</v>
      </c>
      <c r="AV539">
        <v>62</v>
      </c>
      <c r="AW539">
        <v>234</v>
      </c>
      <c r="AX539" t="s">
        <v>74</v>
      </c>
      <c r="AY539" t="s">
        <v>74</v>
      </c>
      <c r="AZ539" t="s">
        <v>74</v>
      </c>
      <c r="BA539" t="s">
        <v>74</v>
      </c>
      <c r="BB539">
        <v>655</v>
      </c>
      <c r="BC539">
        <v>673</v>
      </c>
      <c r="BD539" t="s">
        <v>74</v>
      </c>
      <c r="BE539" t="s">
        <v>10482</v>
      </c>
      <c r="BF539" t="str">
        <f>HYPERLINK("http://dx.doi.org/10.1017/jog.2016.50","http://dx.doi.org/10.1017/jog.2016.50")</f>
        <v>http://dx.doi.org/10.1017/jog.2016.50</v>
      </c>
      <c r="BG539" t="s">
        <v>74</v>
      </c>
      <c r="BH539" t="s">
        <v>74</v>
      </c>
      <c r="BI539">
        <v>19</v>
      </c>
      <c r="BJ539" t="s">
        <v>203</v>
      </c>
      <c r="BK539" t="s">
        <v>156</v>
      </c>
      <c r="BL539" t="s">
        <v>204</v>
      </c>
      <c r="BM539" t="s">
        <v>10483</v>
      </c>
      <c r="BN539" t="s">
        <v>74</v>
      </c>
      <c r="BO539" t="s">
        <v>1467</v>
      </c>
      <c r="BP539" t="s">
        <v>74</v>
      </c>
      <c r="BQ539" t="s">
        <v>74</v>
      </c>
      <c r="BR539" t="s">
        <v>105</v>
      </c>
      <c r="BS539" t="s">
        <v>10484</v>
      </c>
      <c r="BT539" t="str">
        <f>HYPERLINK("https%3A%2F%2Fwww.webofscience.com%2Fwos%2Fwoscc%2Ffull-record%2FWOS:000383883000004","View Full Record in Web of Science")</f>
        <v>View Full Record in Web of Science</v>
      </c>
    </row>
    <row r="540" spans="1:72" x14ac:dyDescent="0.15">
      <c r="A540" t="s">
        <v>72</v>
      </c>
      <c r="B540" t="s">
        <v>10485</v>
      </c>
      <c r="C540" t="s">
        <v>74</v>
      </c>
      <c r="D540" t="s">
        <v>74</v>
      </c>
      <c r="E540" t="s">
        <v>74</v>
      </c>
      <c r="F540" t="s">
        <v>10486</v>
      </c>
      <c r="G540" t="s">
        <v>74</v>
      </c>
      <c r="H540" t="s">
        <v>74</v>
      </c>
      <c r="I540" t="s">
        <v>10487</v>
      </c>
      <c r="J540" t="s">
        <v>2658</v>
      </c>
      <c r="K540" t="s">
        <v>74</v>
      </c>
      <c r="L540" t="s">
        <v>74</v>
      </c>
      <c r="M540" t="s">
        <v>78</v>
      </c>
      <c r="N540" t="s">
        <v>79</v>
      </c>
      <c r="O540" t="s">
        <v>74</v>
      </c>
      <c r="P540" t="s">
        <v>74</v>
      </c>
      <c r="Q540" t="s">
        <v>74</v>
      </c>
      <c r="R540" t="s">
        <v>74</v>
      </c>
      <c r="S540" t="s">
        <v>74</v>
      </c>
      <c r="T540" t="s">
        <v>10488</v>
      </c>
      <c r="U540" t="s">
        <v>10489</v>
      </c>
      <c r="V540" t="s">
        <v>10490</v>
      </c>
      <c r="W540" t="s">
        <v>10491</v>
      </c>
      <c r="X540" t="s">
        <v>10492</v>
      </c>
      <c r="Y540" t="s">
        <v>10493</v>
      </c>
      <c r="Z540" t="s">
        <v>10494</v>
      </c>
      <c r="AA540" t="s">
        <v>10495</v>
      </c>
      <c r="AB540" t="s">
        <v>10496</v>
      </c>
      <c r="AC540" t="s">
        <v>10497</v>
      </c>
      <c r="AD540" t="s">
        <v>10498</v>
      </c>
      <c r="AE540" t="s">
        <v>10499</v>
      </c>
      <c r="AF540" t="s">
        <v>74</v>
      </c>
      <c r="AG540">
        <v>37</v>
      </c>
      <c r="AH540">
        <v>3</v>
      </c>
      <c r="AI540">
        <v>4</v>
      </c>
      <c r="AJ540">
        <v>2</v>
      </c>
      <c r="AK540">
        <v>17</v>
      </c>
      <c r="AL540" t="s">
        <v>2670</v>
      </c>
      <c r="AM540" t="s">
        <v>2026</v>
      </c>
      <c r="AN540" t="s">
        <v>2671</v>
      </c>
      <c r="AO540" t="s">
        <v>2672</v>
      </c>
      <c r="AP540" t="s">
        <v>2673</v>
      </c>
      <c r="AQ540" t="s">
        <v>74</v>
      </c>
      <c r="AR540" t="s">
        <v>2674</v>
      </c>
      <c r="AS540" t="s">
        <v>2675</v>
      </c>
      <c r="AT540" t="s">
        <v>9902</v>
      </c>
      <c r="AU540">
        <v>2016</v>
      </c>
      <c r="AV540">
        <v>62</v>
      </c>
      <c r="AW540">
        <v>234</v>
      </c>
      <c r="AX540" t="s">
        <v>74</v>
      </c>
      <c r="AY540" t="s">
        <v>74</v>
      </c>
      <c r="AZ540" t="s">
        <v>74</v>
      </c>
      <c r="BA540" t="s">
        <v>74</v>
      </c>
      <c r="BB540">
        <v>714</v>
      </c>
      <c r="BC540">
        <v>724</v>
      </c>
      <c r="BD540" t="s">
        <v>74</v>
      </c>
      <c r="BE540" t="s">
        <v>10500</v>
      </c>
      <c r="BF540" t="str">
        <f>HYPERLINK("http://dx.doi.org/10.1017/jog.2016.62","http://dx.doi.org/10.1017/jog.2016.62")</f>
        <v>http://dx.doi.org/10.1017/jog.2016.62</v>
      </c>
      <c r="BG540" t="s">
        <v>74</v>
      </c>
      <c r="BH540" t="s">
        <v>74</v>
      </c>
      <c r="BI540">
        <v>11</v>
      </c>
      <c r="BJ540" t="s">
        <v>203</v>
      </c>
      <c r="BK540" t="s">
        <v>156</v>
      </c>
      <c r="BL540" t="s">
        <v>204</v>
      </c>
      <c r="BM540" t="s">
        <v>10483</v>
      </c>
      <c r="BN540" t="s">
        <v>74</v>
      </c>
      <c r="BO540" t="s">
        <v>777</v>
      </c>
      <c r="BP540" t="s">
        <v>74</v>
      </c>
      <c r="BQ540" t="s">
        <v>74</v>
      </c>
      <c r="BR540" t="s">
        <v>105</v>
      </c>
      <c r="BS540" t="s">
        <v>10501</v>
      </c>
      <c r="BT540" t="str">
        <f>HYPERLINK("https%3A%2F%2Fwww.webofscience.com%2Fwos%2Fwoscc%2Ffull-record%2FWOS:000383883000008","View Full Record in Web of Science")</f>
        <v>View Full Record in Web of Science</v>
      </c>
    </row>
    <row r="541" spans="1:72" x14ac:dyDescent="0.15">
      <c r="A541" t="s">
        <v>72</v>
      </c>
      <c r="B541" t="s">
        <v>10502</v>
      </c>
      <c r="C541" t="s">
        <v>74</v>
      </c>
      <c r="D541" t="s">
        <v>74</v>
      </c>
      <c r="E541" t="s">
        <v>74</v>
      </c>
      <c r="F541" t="s">
        <v>10503</v>
      </c>
      <c r="G541" t="s">
        <v>74</v>
      </c>
      <c r="H541" t="s">
        <v>74</v>
      </c>
      <c r="I541" t="s">
        <v>10504</v>
      </c>
      <c r="J541" t="s">
        <v>10505</v>
      </c>
      <c r="K541" t="s">
        <v>74</v>
      </c>
      <c r="L541" t="s">
        <v>74</v>
      </c>
      <c r="M541" t="s">
        <v>78</v>
      </c>
      <c r="N541" t="s">
        <v>79</v>
      </c>
      <c r="O541" t="s">
        <v>74</v>
      </c>
      <c r="P541" t="s">
        <v>74</v>
      </c>
      <c r="Q541" t="s">
        <v>74</v>
      </c>
      <c r="R541" t="s">
        <v>74</v>
      </c>
      <c r="S541" t="s">
        <v>74</v>
      </c>
      <c r="T541" t="s">
        <v>10506</v>
      </c>
      <c r="U541" t="s">
        <v>10507</v>
      </c>
      <c r="V541" t="s">
        <v>10508</v>
      </c>
      <c r="W541" t="s">
        <v>10509</v>
      </c>
      <c r="X541" t="s">
        <v>10510</v>
      </c>
      <c r="Y541" t="s">
        <v>10511</v>
      </c>
      <c r="Z541" t="s">
        <v>10512</v>
      </c>
      <c r="AA541" t="s">
        <v>10513</v>
      </c>
      <c r="AB541" t="s">
        <v>10514</v>
      </c>
      <c r="AC541" t="s">
        <v>10515</v>
      </c>
      <c r="AD541" t="s">
        <v>10516</v>
      </c>
      <c r="AE541" t="s">
        <v>10517</v>
      </c>
      <c r="AF541" t="s">
        <v>74</v>
      </c>
      <c r="AG541">
        <v>41</v>
      </c>
      <c r="AH541">
        <v>22</v>
      </c>
      <c r="AI541">
        <v>23</v>
      </c>
      <c r="AJ541">
        <v>1</v>
      </c>
      <c r="AK541">
        <v>28</v>
      </c>
      <c r="AL541" t="s">
        <v>501</v>
      </c>
      <c r="AM541" t="s">
        <v>502</v>
      </c>
      <c r="AN541" t="s">
        <v>503</v>
      </c>
      <c r="AO541" t="s">
        <v>10518</v>
      </c>
      <c r="AP541" t="s">
        <v>10519</v>
      </c>
      <c r="AQ541" t="s">
        <v>74</v>
      </c>
      <c r="AR541" t="s">
        <v>10505</v>
      </c>
      <c r="AS541" t="s">
        <v>10520</v>
      </c>
      <c r="AT541" t="s">
        <v>9902</v>
      </c>
      <c r="AU541">
        <v>2016</v>
      </c>
      <c r="AV541">
        <v>44</v>
      </c>
      <c r="AW541">
        <v>8</v>
      </c>
      <c r="AX541" t="s">
        <v>74</v>
      </c>
      <c r="AY541" t="s">
        <v>74</v>
      </c>
      <c r="AZ541" t="s">
        <v>74</v>
      </c>
      <c r="BA541" t="s">
        <v>74</v>
      </c>
      <c r="BB541">
        <v>992</v>
      </c>
      <c r="BC541">
        <v>1000</v>
      </c>
      <c r="BD541" t="s">
        <v>74</v>
      </c>
      <c r="BE541" t="s">
        <v>10521</v>
      </c>
      <c r="BF541" t="str">
        <f>HYPERLINK("http://dx.doi.org/10.1002/clen.201500753","http://dx.doi.org/10.1002/clen.201500753")</f>
        <v>http://dx.doi.org/10.1002/clen.201500753</v>
      </c>
      <c r="BG541" t="s">
        <v>74</v>
      </c>
      <c r="BH541" t="s">
        <v>74</v>
      </c>
      <c r="BI541">
        <v>9</v>
      </c>
      <c r="BJ541" t="s">
        <v>10522</v>
      </c>
      <c r="BK541" t="s">
        <v>156</v>
      </c>
      <c r="BL541" t="s">
        <v>10523</v>
      </c>
      <c r="BM541" t="s">
        <v>10524</v>
      </c>
      <c r="BN541" t="s">
        <v>74</v>
      </c>
      <c r="BO541" t="s">
        <v>805</v>
      </c>
      <c r="BP541" t="s">
        <v>74</v>
      </c>
      <c r="BQ541" t="s">
        <v>74</v>
      </c>
      <c r="BR541" t="s">
        <v>105</v>
      </c>
      <c r="BS541" t="s">
        <v>10525</v>
      </c>
      <c r="BT541" t="str">
        <f>HYPERLINK("https%3A%2F%2Fwww.webofscience.com%2Fwos%2Fwoscc%2Ffull-record%2FWOS:000382775000010","View Full Record in Web of Science")</f>
        <v>View Full Record in Web of Science</v>
      </c>
    </row>
    <row r="542" spans="1:72" x14ac:dyDescent="0.15">
      <c r="A542" t="s">
        <v>72</v>
      </c>
      <c r="B542" t="s">
        <v>10526</v>
      </c>
      <c r="C542" t="s">
        <v>74</v>
      </c>
      <c r="D542" t="s">
        <v>74</v>
      </c>
      <c r="E542" t="s">
        <v>74</v>
      </c>
      <c r="F542" t="s">
        <v>10527</v>
      </c>
      <c r="G542" t="s">
        <v>74</v>
      </c>
      <c r="H542" t="s">
        <v>74</v>
      </c>
      <c r="I542" t="s">
        <v>10528</v>
      </c>
      <c r="J542" t="s">
        <v>3100</v>
      </c>
      <c r="K542" t="s">
        <v>74</v>
      </c>
      <c r="L542" t="s">
        <v>74</v>
      </c>
      <c r="M542" t="s">
        <v>78</v>
      </c>
      <c r="N542" t="s">
        <v>79</v>
      </c>
      <c r="O542" t="s">
        <v>74</v>
      </c>
      <c r="P542" t="s">
        <v>74</v>
      </c>
      <c r="Q542" t="s">
        <v>74</v>
      </c>
      <c r="R542" t="s">
        <v>74</v>
      </c>
      <c r="S542" t="s">
        <v>74</v>
      </c>
      <c r="T542" t="s">
        <v>10529</v>
      </c>
      <c r="U542" t="s">
        <v>10530</v>
      </c>
      <c r="V542" t="s">
        <v>10531</v>
      </c>
      <c r="W542" t="s">
        <v>10532</v>
      </c>
      <c r="X542" t="s">
        <v>10533</v>
      </c>
      <c r="Y542" t="s">
        <v>10534</v>
      </c>
      <c r="Z542" t="s">
        <v>10535</v>
      </c>
      <c r="AA542" t="s">
        <v>10536</v>
      </c>
      <c r="AB542" t="s">
        <v>10537</v>
      </c>
      <c r="AC542" t="s">
        <v>10538</v>
      </c>
      <c r="AD542" t="s">
        <v>10539</v>
      </c>
      <c r="AE542" t="s">
        <v>10540</v>
      </c>
      <c r="AF542" t="s">
        <v>74</v>
      </c>
      <c r="AG542">
        <v>70</v>
      </c>
      <c r="AH542">
        <v>2</v>
      </c>
      <c r="AI542">
        <v>2</v>
      </c>
      <c r="AJ542">
        <v>0</v>
      </c>
      <c r="AK542">
        <v>15</v>
      </c>
      <c r="AL542" t="s">
        <v>644</v>
      </c>
      <c r="AM542" t="s">
        <v>594</v>
      </c>
      <c r="AN542" t="s">
        <v>3025</v>
      </c>
      <c r="AO542" t="s">
        <v>3113</v>
      </c>
      <c r="AP542" t="s">
        <v>3114</v>
      </c>
      <c r="AQ542" t="s">
        <v>74</v>
      </c>
      <c r="AR542" t="s">
        <v>3115</v>
      </c>
      <c r="AS542" t="s">
        <v>3116</v>
      </c>
      <c r="AT542" t="s">
        <v>9902</v>
      </c>
      <c r="AU542">
        <v>2016</v>
      </c>
      <c r="AV542">
        <v>47</v>
      </c>
      <c r="AW542" t="s">
        <v>10541</v>
      </c>
      <c r="AX542" t="s">
        <v>74</v>
      </c>
      <c r="AY542" t="s">
        <v>74</v>
      </c>
      <c r="AZ542" t="s">
        <v>74</v>
      </c>
      <c r="BA542" t="s">
        <v>74</v>
      </c>
      <c r="BB542">
        <v>865</v>
      </c>
      <c r="BC542">
        <v>877</v>
      </c>
      <c r="BD542" t="s">
        <v>74</v>
      </c>
      <c r="BE542" t="s">
        <v>10542</v>
      </c>
      <c r="BF542" t="str">
        <f>HYPERLINK("http://dx.doi.org/10.1007/s00382-015-2876-7","http://dx.doi.org/10.1007/s00382-015-2876-7")</f>
        <v>http://dx.doi.org/10.1007/s00382-015-2876-7</v>
      </c>
      <c r="BG542" t="s">
        <v>74</v>
      </c>
      <c r="BH542" t="s">
        <v>74</v>
      </c>
      <c r="BI542">
        <v>13</v>
      </c>
      <c r="BJ542" t="s">
        <v>2482</v>
      </c>
      <c r="BK542" t="s">
        <v>156</v>
      </c>
      <c r="BL542" t="s">
        <v>2482</v>
      </c>
      <c r="BM542" t="s">
        <v>10543</v>
      </c>
      <c r="BN542" t="s">
        <v>74</v>
      </c>
      <c r="BO542" t="s">
        <v>74</v>
      </c>
      <c r="BP542" t="s">
        <v>74</v>
      </c>
      <c r="BQ542" t="s">
        <v>74</v>
      </c>
      <c r="BR542" t="s">
        <v>105</v>
      </c>
      <c r="BS542" t="s">
        <v>10544</v>
      </c>
      <c r="BT542" t="str">
        <f>HYPERLINK("https%3A%2F%2Fwww.webofscience.com%2Fwos%2Fwoscc%2Ffull-record%2FWOS:000382111300013","View Full Record in Web of Science")</f>
        <v>View Full Record in Web of Science</v>
      </c>
    </row>
    <row r="543" spans="1:72" x14ac:dyDescent="0.15">
      <c r="A543" t="s">
        <v>72</v>
      </c>
      <c r="B543" t="s">
        <v>10545</v>
      </c>
      <c r="C543" t="s">
        <v>74</v>
      </c>
      <c r="D543" t="s">
        <v>74</v>
      </c>
      <c r="E543" t="s">
        <v>74</v>
      </c>
      <c r="F543" t="s">
        <v>10546</v>
      </c>
      <c r="G543" t="s">
        <v>74</v>
      </c>
      <c r="H543" t="s">
        <v>74</v>
      </c>
      <c r="I543" t="s">
        <v>10547</v>
      </c>
      <c r="J543" t="s">
        <v>10548</v>
      </c>
      <c r="K543" t="s">
        <v>74</v>
      </c>
      <c r="L543" t="s">
        <v>74</v>
      </c>
      <c r="M543" t="s">
        <v>78</v>
      </c>
      <c r="N543" t="s">
        <v>79</v>
      </c>
      <c r="O543" t="s">
        <v>74</v>
      </c>
      <c r="P543" t="s">
        <v>74</v>
      </c>
      <c r="Q543" t="s">
        <v>74</v>
      </c>
      <c r="R543" t="s">
        <v>74</v>
      </c>
      <c r="S543" t="s">
        <v>74</v>
      </c>
      <c r="T543" t="s">
        <v>10549</v>
      </c>
      <c r="U543" t="s">
        <v>10550</v>
      </c>
      <c r="V543" t="s">
        <v>10551</v>
      </c>
      <c r="W543" t="s">
        <v>10552</v>
      </c>
      <c r="X543" t="s">
        <v>10553</v>
      </c>
      <c r="Y543" t="s">
        <v>10554</v>
      </c>
      <c r="Z543" t="s">
        <v>10555</v>
      </c>
      <c r="AA543" t="s">
        <v>10556</v>
      </c>
      <c r="AB543" t="s">
        <v>10557</v>
      </c>
      <c r="AC543" t="s">
        <v>10558</v>
      </c>
      <c r="AD543" t="s">
        <v>10418</v>
      </c>
      <c r="AE543" t="s">
        <v>10559</v>
      </c>
      <c r="AF543" t="s">
        <v>74</v>
      </c>
      <c r="AG543">
        <v>27</v>
      </c>
      <c r="AH543">
        <v>19</v>
      </c>
      <c r="AI543">
        <v>30</v>
      </c>
      <c r="AJ543">
        <v>0</v>
      </c>
      <c r="AK543">
        <v>11</v>
      </c>
      <c r="AL543" t="s">
        <v>10297</v>
      </c>
      <c r="AM543" t="s">
        <v>594</v>
      </c>
      <c r="AN543" t="s">
        <v>10560</v>
      </c>
      <c r="AO543" t="s">
        <v>10561</v>
      </c>
      <c r="AP543" t="s">
        <v>10562</v>
      </c>
      <c r="AQ543" t="s">
        <v>74</v>
      </c>
      <c r="AR543" t="s">
        <v>10563</v>
      </c>
      <c r="AS543" t="s">
        <v>10564</v>
      </c>
      <c r="AT543" t="s">
        <v>9902</v>
      </c>
      <c r="AU543">
        <v>2016</v>
      </c>
      <c r="AV543">
        <v>49</v>
      </c>
      <c r="AW543">
        <v>8</v>
      </c>
      <c r="AX543" t="s">
        <v>74</v>
      </c>
      <c r="AY543" t="s">
        <v>74</v>
      </c>
      <c r="AZ543" t="s">
        <v>74</v>
      </c>
      <c r="BA543" t="s">
        <v>74</v>
      </c>
      <c r="BB543">
        <v>934</v>
      </c>
      <c r="BC543">
        <v>941</v>
      </c>
      <c r="BD543" t="s">
        <v>74</v>
      </c>
      <c r="BE543" t="s">
        <v>10565</v>
      </c>
      <c r="BF543" t="str">
        <f>HYPERLINK("http://dx.doi.org/10.1134/S106422931608007X","http://dx.doi.org/10.1134/S106422931608007X")</f>
        <v>http://dx.doi.org/10.1134/S106422931608007X</v>
      </c>
      <c r="BG543" t="s">
        <v>74</v>
      </c>
      <c r="BH543" t="s">
        <v>74</v>
      </c>
      <c r="BI543">
        <v>8</v>
      </c>
      <c r="BJ543" t="s">
        <v>9013</v>
      </c>
      <c r="BK543" t="s">
        <v>156</v>
      </c>
      <c r="BL543" t="s">
        <v>9014</v>
      </c>
      <c r="BM543" t="s">
        <v>10566</v>
      </c>
      <c r="BN543" t="s">
        <v>74</v>
      </c>
      <c r="BO543" t="s">
        <v>74</v>
      </c>
      <c r="BP543" t="s">
        <v>74</v>
      </c>
      <c r="BQ543" t="s">
        <v>74</v>
      </c>
      <c r="BR543" t="s">
        <v>105</v>
      </c>
      <c r="BS543" t="s">
        <v>10567</v>
      </c>
      <c r="BT543" t="str">
        <f>HYPERLINK("https%3A%2F%2Fwww.webofscience.com%2Fwos%2Fwoscc%2Ffull-record%2FWOS:000382969900011","View Full Record in Web of Science")</f>
        <v>View Full Record in Web of Science</v>
      </c>
    </row>
    <row r="544" spans="1:72" x14ac:dyDescent="0.15">
      <c r="A544" t="s">
        <v>72</v>
      </c>
      <c r="B544" t="s">
        <v>10568</v>
      </c>
      <c r="C544" t="s">
        <v>74</v>
      </c>
      <c r="D544" t="s">
        <v>74</v>
      </c>
      <c r="E544" t="s">
        <v>74</v>
      </c>
      <c r="F544" t="s">
        <v>10569</v>
      </c>
      <c r="G544" t="s">
        <v>74</v>
      </c>
      <c r="H544" t="s">
        <v>74</v>
      </c>
      <c r="I544" t="s">
        <v>10570</v>
      </c>
      <c r="J544" t="s">
        <v>10571</v>
      </c>
      <c r="K544" t="s">
        <v>74</v>
      </c>
      <c r="L544" t="s">
        <v>74</v>
      </c>
      <c r="M544" t="s">
        <v>78</v>
      </c>
      <c r="N544" t="s">
        <v>79</v>
      </c>
      <c r="O544" t="s">
        <v>74</v>
      </c>
      <c r="P544" t="s">
        <v>74</v>
      </c>
      <c r="Q544" t="s">
        <v>74</v>
      </c>
      <c r="R544" t="s">
        <v>74</v>
      </c>
      <c r="S544" t="s">
        <v>74</v>
      </c>
      <c r="T544" t="s">
        <v>10572</v>
      </c>
      <c r="U544" t="s">
        <v>10573</v>
      </c>
      <c r="V544" t="s">
        <v>10574</v>
      </c>
      <c r="W544" t="s">
        <v>10575</v>
      </c>
      <c r="X544" t="s">
        <v>10576</v>
      </c>
      <c r="Y544" t="s">
        <v>10577</v>
      </c>
      <c r="Z544" t="s">
        <v>10578</v>
      </c>
      <c r="AA544" t="s">
        <v>10579</v>
      </c>
      <c r="AB544" t="s">
        <v>10580</v>
      </c>
      <c r="AC544" t="s">
        <v>10581</v>
      </c>
      <c r="AD544" t="s">
        <v>10582</v>
      </c>
      <c r="AE544" t="s">
        <v>10583</v>
      </c>
      <c r="AF544" t="s">
        <v>74</v>
      </c>
      <c r="AG544">
        <v>50</v>
      </c>
      <c r="AH544">
        <v>47</v>
      </c>
      <c r="AI544">
        <v>48</v>
      </c>
      <c r="AJ544">
        <v>0</v>
      </c>
      <c r="AK544">
        <v>24</v>
      </c>
      <c r="AL544" t="s">
        <v>4320</v>
      </c>
      <c r="AM544" t="s">
        <v>2567</v>
      </c>
      <c r="AN544" t="s">
        <v>2568</v>
      </c>
      <c r="AO544" t="s">
        <v>74</v>
      </c>
      <c r="AP544" t="s">
        <v>10584</v>
      </c>
      <c r="AQ544" t="s">
        <v>74</v>
      </c>
      <c r="AR544" t="s">
        <v>10585</v>
      </c>
      <c r="AS544" t="s">
        <v>10586</v>
      </c>
      <c r="AT544" t="s">
        <v>9902</v>
      </c>
      <c r="AU544">
        <v>2016</v>
      </c>
      <c r="AV544">
        <v>17</v>
      </c>
      <c r="AW544">
        <v>8</v>
      </c>
      <c r="AX544" t="s">
        <v>74</v>
      </c>
      <c r="AY544" t="s">
        <v>74</v>
      </c>
      <c r="AZ544" t="s">
        <v>74</v>
      </c>
      <c r="BA544" t="s">
        <v>74</v>
      </c>
      <c r="BB544" t="s">
        <v>74</v>
      </c>
      <c r="BC544" t="s">
        <v>74</v>
      </c>
      <c r="BD544">
        <v>1303</v>
      </c>
      <c r="BE544" t="s">
        <v>10587</v>
      </c>
      <c r="BF544" t="str">
        <f>HYPERLINK("http://dx.doi.org/10.3390/ijms17081303","http://dx.doi.org/10.3390/ijms17081303")</f>
        <v>http://dx.doi.org/10.3390/ijms17081303</v>
      </c>
      <c r="BG544" t="s">
        <v>74</v>
      </c>
      <c r="BH544" t="s">
        <v>74</v>
      </c>
      <c r="BI544">
        <v>13</v>
      </c>
      <c r="BJ544" t="s">
        <v>10588</v>
      </c>
      <c r="BK544" t="s">
        <v>156</v>
      </c>
      <c r="BL544" t="s">
        <v>5515</v>
      </c>
      <c r="BM544" t="s">
        <v>10589</v>
      </c>
      <c r="BN544">
        <v>27548142</v>
      </c>
      <c r="BO544" t="s">
        <v>1975</v>
      </c>
      <c r="BP544" t="s">
        <v>74</v>
      </c>
      <c r="BQ544" t="s">
        <v>74</v>
      </c>
      <c r="BR544" t="s">
        <v>105</v>
      </c>
      <c r="BS544" t="s">
        <v>10590</v>
      </c>
      <c r="BT544" t="str">
        <f>HYPERLINK("https%3A%2F%2Fwww.webofscience.com%2Fwos%2Fwoscc%2Ffull-record%2FWOS:000382337900115","View Full Record in Web of Science")</f>
        <v>View Full Record in Web of Science</v>
      </c>
    </row>
    <row r="545" spans="1:72" x14ac:dyDescent="0.15">
      <c r="A545" t="s">
        <v>72</v>
      </c>
      <c r="B545" t="s">
        <v>10591</v>
      </c>
      <c r="C545" t="s">
        <v>74</v>
      </c>
      <c r="D545" t="s">
        <v>74</v>
      </c>
      <c r="E545" t="s">
        <v>74</v>
      </c>
      <c r="F545" t="s">
        <v>10592</v>
      </c>
      <c r="G545" t="s">
        <v>74</v>
      </c>
      <c r="H545" t="s">
        <v>74</v>
      </c>
      <c r="I545" t="s">
        <v>10593</v>
      </c>
      <c r="J545" t="s">
        <v>3036</v>
      </c>
      <c r="K545" t="s">
        <v>74</v>
      </c>
      <c r="L545" t="s">
        <v>74</v>
      </c>
      <c r="M545" t="s">
        <v>78</v>
      </c>
      <c r="N545" t="s">
        <v>79</v>
      </c>
      <c r="O545" t="s">
        <v>74</v>
      </c>
      <c r="P545" t="s">
        <v>74</v>
      </c>
      <c r="Q545" t="s">
        <v>74</v>
      </c>
      <c r="R545" t="s">
        <v>74</v>
      </c>
      <c r="S545" t="s">
        <v>74</v>
      </c>
      <c r="T545" t="s">
        <v>74</v>
      </c>
      <c r="U545" t="s">
        <v>10594</v>
      </c>
      <c r="V545" t="s">
        <v>10595</v>
      </c>
      <c r="W545" t="s">
        <v>10596</v>
      </c>
      <c r="X545" t="s">
        <v>10597</v>
      </c>
      <c r="Y545" t="s">
        <v>10598</v>
      </c>
      <c r="Z545" t="s">
        <v>10599</v>
      </c>
      <c r="AA545" t="s">
        <v>10600</v>
      </c>
      <c r="AB545" t="s">
        <v>10601</v>
      </c>
      <c r="AC545" t="s">
        <v>10602</v>
      </c>
      <c r="AD545" t="s">
        <v>10603</v>
      </c>
      <c r="AE545" t="s">
        <v>10604</v>
      </c>
      <c r="AF545" t="s">
        <v>74</v>
      </c>
      <c r="AG545">
        <v>63</v>
      </c>
      <c r="AH545">
        <v>6</v>
      </c>
      <c r="AI545">
        <v>6</v>
      </c>
      <c r="AJ545">
        <v>0</v>
      </c>
      <c r="AK545">
        <v>15</v>
      </c>
      <c r="AL545" t="s">
        <v>397</v>
      </c>
      <c r="AM545" t="s">
        <v>398</v>
      </c>
      <c r="AN545" t="s">
        <v>399</v>
      </c>
      <c r="AO545" t="s">
        <v>3048</v>
      </c>
      <c r="AP545" t="s">
        <v>3049</v>
      </c>
      <c r="AQ545" t="s">
        <v>74</v>
      </c>
      <c r="AR545" t="s">
        <v>3050</v>
      </c>
      <c r="AS545" t="s">
        <v>3051</v>
      </c>
      <c r="AT545" t="s">
        <v>9902</v>
      </c>
      <c r="AU545">
        <v>2016</v>
      </c>
      <c r="AV545">
        <v>29</v>
      </c>
      <c r="AW545">
        <v>16</v>
      </c>
      <c r="AX545" t="s">
        <v>74</v>
      </c>
      <c r="AY545" t="s">
        <v>74</v>
      </c>
      <c r="AZ545" t="s">
        <v>74</v>
      </c>
      <c r="BA545" t="s">
        <v>74</v>
      </c>
      <c r="BB545">
        <v>5689</v>
      </c>
      <c r="BC545">
        <v>5708</v>
      </c>
      <c r="BD545" t="s">
        <v>74</v>
      </c>
      <c r="BE545" t="s">
        <v>10605</v>
      </c>
      <c r="BF545" t="str">
        <f>HYPERLINK("http://dx.doi.org/10.1175/JCLI-D-15-0458.1","http://dx.doi.org/10.1175/JCLI-D-15-0458.1")</f>
        <v>http://dx.doi.org/10.1175/JCLI-D-15-0458.1</v>
      </c>
      <c r="BG545" t="s">
        <v>74</v>
      </c>
      <c r="BH545" t="s">
        <v>74</v>
      </c>
      <c r="BI545">
        <v>20</v>
      </c>
      <c r="BJ545" t="s">
        <v>2482</v>
      </c>
      <c r="BK545" t="s">
        <v>156</v>
      </c>
      <c r="BL545" t="s">
        <v>2482</v>
      </c>
      <c r="BM545" t="s">
        <v>10606</v>
      </c>
      <c r="BN545" t="s">
        <v>74</v>
      </c>
      <c r="BO545" t="s">
        <v>626</v>
      </c>
      <c r="BP545" t="s">
        <v>74</v>
      </c>
      <c r="BQ545" t="s">
        <v>74</v>
      </c>
      <c r="BR545" t="s">
        <v>105</v>
      </c>
      <c r="BS545" t="s">
        <v>10607</v>
      </c>
      <c r="BT545" t="str">
        <f>HYPERLINK("https%3A%2F%2Fwww.webofscience.com%2Fwos%2Fwoscc%2Ffull-record%2FWOS:000381220800001","View Full Record in Web of Science")</f>
        <v>View Full Record in Web of Science</v>
      </c>
    </row>
    <row r="546" spans="1:72" x14ac:dyDescent="0.15">
      <c r="A546" t="s">
        <v>72</v>
      </c>
      <c r="B546" t="s">
        <v>10608</v>
      </c>
      <c r="C546" t="s">
        <v>74</v>
      </c>
      <c r="D546" t="s">
        <v>74</v>
      </c>
      <c r="E546" t="s">
        <v>74</v>
      </c>
      <c r="F546" t="s">
        <v>10609</v>
      </c>
      <c r="G546" t="s">
        <v>74</v>
      </c>
      <c r="H546" t="s">
        <v>74</v>
      </c>
      <c r="I546" t="s">
        <v>10610</v>
      </c>
      <c r="J546" t="s">
        <v>10611</v>
      </c>
      <c r="K546" t="s">
        <v>74</v>
      </c>
      <c r="L546" t="s">
        <v>74</v>
      </c>
      <c r="M546" t="s">
        <v>78</v>
      </c>
      <c r="N546" t="s">
        <v>79</v>
      </c>
      <c r="O546" t="s">
        <v>74</v>
      </c>
      <c r="P546" t="s">
        <v>74</v>
      </c>
      <c r="Q546" t="s">
        <v>74</v>
      </c>
      <c r="R546" t="s">
        <v>74</v>
      </c>
      <c r="S546" t="s">
        <v>74</v>
      </c>
      <c r="T546" t="s">
        <v>10612</v>
      </c>
      <c r="U546" t="s">
        <v>10613</v>
      </c>
      <c r="V546" t="s">
        <v>10614</v>
      </c>
      <c r="W546" t="s">
        <v>10615</v>
      </c>
      <c r="X546" t="s">
        <v>7116</v>
      </c>
      <c r="Y546" t="s">
        <v>10616</v>
      </c>
      <c r="Z546" t="s">
        <v>10617</v>
      </c>
      <c r="AA546" t="s">
        <v>10618</v>
      </c>
      <c r="AB546" t="s">
        <v>10619</v>
      </c>
      <c r="AC546" t="s">
        <v>74</v>
      </c>
      <c r="AD546" t="s">
        <v>74</v>
      </c>
      <c r="AE546" t="s">
        <v>74</v>
      </c>
      <c r="AF546" t="s">
        <v>74</v>
      </c>
      <c r="AG546">
        <v>40</v>
      </c>
      <c r="AH546">
        <v>11</v>
      </c>
      <c r="AI546">
        <v>13</v>
      </c>
      <c r="AJ546">
        <v>0</v>
      </c>
      <c r="AK546">
        <v>31</v>
      </c>
      <c r="AL546" t="s">
        <v>644</v>
      </c>
      <c r="AM546" t="s">
        <v>594</v>
      </c>
      <c r="AN546" t="s">
        <v>3025</v>
      </c>
      <c r="AO546" t="s">
        <v>10620</v>
      </c>
      <c r="AP546" t="s">
        <v>10621</v>
      </c>
      <c r="AQ546" t="s">
        <v>74</v>
      </c>
      <c r="AR546" t="s">
        <v>10622</v>
      </c>
      <c r="AS546" t="s">
        <v>10623</v>
      </c>
      <c r="AT546" t="s">
        <v>9902</v>
      </c>
      <c r="AU546">
        <v>2016</v>
      </c>
      <c r="AV546">
        <v>90</v>
      </c>
      <c r="AW546">
        <v>8</v>
      </c>
      <c r="AX546" t="s">
        <v>74</v>
      </c>
      <c r="AY546" t="s">
        <v>74</v>
      </c>
      <c r="AZ546" t="s">
        <v>74</v>
      </c>
      <c r="BA546" t="s">
        <v>74</v>
      </c>
      <c r="BB546">
        <v>741</v>
      </c>
      <c r="BC546">
        <v>755</v>
      </c>
      <c r="BD546" t="s">
        <v>74</v>
      </c>
      <c r="BE546" t="s">
        <v>10624</v>
      </c>
      <c r="BF546" t="str">
        <f>HYPERLINK("http://dx.doi.org/10.1007/s00190-016-0906-9","http://dx.doi.org/10.1007/s00190-016-0906-9")</f>
        <v>http://dx.doi.org/10.1007/s00190-016-0906-9</v>
      </c>
      <c r="BG546" t="s">
        <v>74</v>
      </c>
      <c r="BH546" t="s">
        <v>74</v>
      </c>
      <c r="BI546">
        <v>15</v>
      </c>
      <c r="BJ546" t="s">
        <v>10625</v>
      </c>
      <c r="BK546" t="s">
        <v>156</v>
      </c>
      <c r="BL546" t="s">
        <v>10625</v>
      </c>
      <c r="BM546" t="s">
        <v>10626</v>
      </c>
      <c r="BN546" t="s">
        <v>74</v>
      </c>
      <c r="BO546" t="s">
        <v>74</v>
      </c>
      <c r="BP546" t="s">
        <v>74</v>
      </c>
      <c r="BQ546" t="s">
        <v>74</v>
      </c>
      <c r="BR546" t="s">
        <v>105</v>
      </c>
      <c r="BS546" t="s">
        <v>10627</v>
      </c>
      <c r="BT546" t="str">
        <f>HYPERLINK("https%3A%2F%2Fwww.webofscience.com%2Fwos%2Fwoscc%2Ffull-record%2FWOS:000382135200005","View Full Record in Web of Science")</f>
        <v>View Full Record in Web of Science</v>
      </c>
    </row>
    <row r="547" spans="1:72" x14ac:dyDescent="0.15">
      <c r="A547" t="s">
        <v>72</v>
      </c>
      <c r="B547" t="s">
        <v>10628</v>
      </c>
      <c r="C547" t="s">
        <v>74</v>
      </c>
      <c r="D547" t="s">
        <v>74</v>
      </c>
      <c r="E547" t="s">
        <v>74</v>
      </c>
      <c r="F547" t="s">
        <v>10629</v>
      </c>
      <c r="G547" t="s">
        <v>74</v>
      </c>
      <c r="H547" t="s">
        <v>74</v>
      </c>
      <c r="I547" t="s">
        <v>10630</v>
      </c>
      <c r="J547" t="s">
        <v>10631</v>
      </c>
      <c r="K547" t="s">
        <v>74</v>
      </c>
      <c r="L547" t="s">
        <v>74</v>
      </c>
      <c r="M547" t="s">
        <v>78</v>
      </c>
      <c r="N547" t="s">
        <v>79</v>
      </c>
      <c r="O547" t="s">
        <v>74</v>
      </c>
      <c r="P547" t="s">
        <v>74</v>
      </c>
      <c r="Q547" t="s">
        <v>74</v>
      </c>
      <c r="R547" t="s">
        <v>74</v>
      </c>
      <c r="S547" t="s">
        <v>74</v>
      </c>
      <c r="T547" t="s">
        <v>10632</v>
      </c>
      <c r="U547" t="s">
        <v>10633</v>
      </c>
      <c r="V547" t="s">
        <v>10634</v>
      </c>
      <c r="W547" t="s">
        <v>10635</v>
      </c>
      <c r="X547" t="s">
        <v>10636</v>
      </c>
      <c r="Y547" t="s">
        <v>10637</v>
      </c>
      <c r="Z547" t="s">
        <v>1014</v>
      </c>
      <c r="AA547" t="s">
        <v>10638</v>
      </c>
      <c r="AB547" t="s">
        <v>10639</v>
      </c>
      <c r="AC547" t="s">
        <v>10640</v>
      </c>
      <c r="AD547" t="s">
        <v>10641</v>
      </c>
      <c r="AE547" t="s">
        <v>10642</v>
      </c>
      <c r="AF547" t="s">
        <v>74</v>
      </c>
      <c r="AG547">
        <v>27</v>
      </c>
      <c r="AH547">
        <v>3</v>
      </c>
      <c r="AI547">
        <v>4</v>
      </c>
      <c r="AJ547">
        <v>1</v>
      </c>
      <c r="AK547">
        <v>8</v>
      </c>
      <c r="AL547" t="s">
        <v>10643</v>
      </c>
      <c r="AM547" t="s">
        <v>2234</v>
      </c>
      <c r="AN547" t="s">
        <v>10644</v>
      </c>
      <c r="AO547" t="s">
        <v>10645</v>
      </c>
      <c r="AP547" t="s">
        <v>10646</v>
      </c>
      <c r="AQ547" t="s">
        <v>74</v>
      </c>
      <c r="AR547" t="s">
        <v>10647</v>
      </c>
      <c r="AS547" t="s">
        <v>10648</v>
      </c>
      <c r="AT547" t="s">
        <v>9902</v>
      </c>
      <c r="AU547">
        <v>2016</v>
      </c>
      <c r="AV547">
        <v>51</v>
      </c>
      <c r="AW547">
        <v>2</v>
      </c>
      <c r="AX547" t="s">
        <v>74</v>
      </c>
      <c r="AY547" t="s">
        <v>74</v>
      </c>
      <c r="AZ547" t="s">
        <v>74</v>
      </c>
      <c r="BA547" t="s">
        <v>74</v>
      </c>
      <c r="BB547">
        <v>435</v>
      </c>
      <c r="BC547">
        <v>440</v>
      </c>
      <c r="BD547" t="s">
        <v>74</v>
      </c>
      <c r="BE547" t="s">
        <v>10649</v>
      </c>
      <c r="BF547" t="str">
        <f>HYPERLINK("http://dx.doi.org/10.4067/S0718-19572016000200020","http://dx.doi.org/10.4067/S0718-19572016000200020")</f>
        <v>http://dx.doi.org/10.4067/S0718-19572016000200020</v>
      </c>
      <c r="BG547" t="s">
        <v>74</v>
      </c>
      <c r="BH547" t="s">
        <v>74</v>
      </c>
      <c r="BI547">
        <v>6</v>
      </c>
      <c r="BJ547" t="s">
        <v>2120</v>
      </c>
      <c r="BK547" t="s">
        <v>156</v>
      </c>
      <c r="BL547" t="s">
        <v>2120</v>
      </c>
      <c r="BM547" t="s">
        <v>10650</v>
      </c>
      <c r="BN547" t="s">
        <v>74</v>
      </c>
      <c r="BO547" t="s">
        <v>6332</v>
      </c>
      <c r="BP547" t="s">
        <v>74</v>
      </c>
      <c r="BQ547" t="s">
        <v>74</v>
      </c>
      <c r="BR547" t="s">
        <v>105</v>
      </c>
      <c r="BS547" t="s">
        <v>10651</v>
      </c>
      <c r="BT547" t="str">
        <f>HYPERLINK("https%3A%2F%2Fwww.webofscience.com%2Fwos%2Fwoscc%2Ffull-record%2FWOS:000382151100020","View Full Record in Web of Science")</f>
        <v>View Full Record in Web of Science</v>
      </c>
    </row>
    <row r="548" spans="1:72" x14ac:dyDescent="0.15">
      <c r="A548" t="s">
        <v>72</v>
      </c>
      <c r="B548" t="s">
        <v>10652</v>
      </c>
      <c r="C548" t="s">
        <v>74</v>
      </c>
      <c r="D548" t="s">
        <v>74</v>
      </c>
      <c r="E548" t="s">
        <v>74</v>
      </c>
      <c r="F548" t="s">
        <v>10653</v>
      </c>
      <c r="G548" t="s">
        <v>74</v>
      </c>
      <c r="H548" t="s">
        <v>74</v>
      </c>
      <c r="I548" t="s">
        <v>10654</v>
      </c>
      <c r="J548" t="s">
        <v>385</v>
      </c>
      <c r="K548" t="s">
        <v>74</v>
      </c>
      <c r="L548" t="s">
        <v>74</v>
      </c>
      <c r="M548" t="s">
        <v>78</v>
      </c>
      <c r="N548" t="s">
        <v>79</v>
      </c>
      <c r="O548" t="s">
        <v>74</v>
      </c>
      <c r="P548" t="s">
        <v>74</v>
      </c>
      <c r="Q548" t="s">
        <v>74</v>
      </c>
      <c r="R548" t="s">
        <v>74</v>
      </c>
      <c r="S548" t="s">
        <v>74</v>
      </c>
      <c r="T548" t="s">
        <v>74</v>
      </c>
      <c r="U548" t="s">
        <v>10655</v>
      </c>
      <c r="V548" t="s">
        <v>10656</v>
      </c>
      <c r="W548" t="s">
        <v>10657</v>
      </c>
      <c r="X548" t="s">
        <v>10658</v>
      </c>
      <c r="Y548" t="s">
        <v>10659</v>
      </c>
      <c r="Z548" t="s">
        <v>10660</v>
      </c>
      <c r="AA548" t="s">
        <v>10661</v>
      </c>
      <c r="AB548" t="s">
        <v>10662</v>
      </c>
      <c r="AC548" t="s">
        <v>10663</v>
      </c>
      <c r="AD548" t="s">
        <v>10664</v>
      </c>
      <c r="AE548" t="s">
        <v>10665</v>
      </c>
      <c r="AF548" t="s">
        <v>74</v>
      </c>
      <c r="AG548">
        <v>21</v>
      </c>
      <c r="AH548">
        <v>25</v>
      </c>
      <c r="AI548">
        <v>27</v>
      </c>
      <c r="AJ548">
        <v>0</v>
      </c>
      <c r="AK548">
        <v>10</v>
      </c>
      <c r="AL548" t="s">
        <v>397</v>
      </c>
      <c r="AM548" t="s">
        <v>398</v>
      </c>
      <c r="AN548" t="s">
        <v>399</v>
      </c>
      <c r="AO548" t="s">
        <v>400</v>
      </c>
      <c r="AP548" t="s">
        <v>401</v>
      </c>
      <c r="AQ548" t="s">
        <v>74</v>
      </c>
      <c r="AR548" t="s">
        <v>402</v>
      </c>
      <c r="AS548" t="s">
        <v>403</v>
      </c>
      <c r="AT548" t="s">
        <v>9902</v>
      </c>
      <c r="AU548">
        <v>2016</v>
      </c>
      <c r="AV548">
        <v>46</v>
      </c>
      <c r="AW548">
        <v>8</v>
      </c>
      <c r="AX548" t="s">
        <v>74</v>
      </c>
      <c r="AY548" t="s">
        <v>74</v>
      </c>
      <c r="AZ548" t="s">
        <v>74</v>
      </c>
      <c r="BA548" t="s">
        <v>74</v>
      </c>
      <c r="BB548">
        <v>2389</v>
      </c>
      <c r="BC548">
        <v>2401</v>
      </c>
      <c r="BD548" t="s">
        <v>74</v>
      </c>
      <c r="BE548" t="s">
        <v>10666</v>
      </c>
      <c r="BF548" t="str">
        <f>HYPERLINK("http://dx.doi.org/10.1175/JPO-D-16-0063.1","http://dx.doi.org/10.1175/JPO-D-16-0063.1")</f>
        <v>http://dx.doi.org/10.1175/JPO-D-16-0063.1</v>
      </c>
      <c r="BG548" t="s">
        <v>74</v>
      </c>
      <c r="BH548" t="s">
        <v>74</v>
      </c>
      <c r="BI548">
        <v>13</v>
      </c>
      <c r="BJ548" t="s">
        <v>405</v>
      </c>
      <c r="BK548" t="s">
        <v>156</v>
      </c>
      <c r="BL548" t="s">
        <v>405</v>
      </c>
      <c r="BM548" t="s">
        <v>10667</v>
      </c>
      <c r="BN548" t="s">
        <v>74</v>
      </c>
      <c r="BO548" t="s">
        <v>104</v>
      </c>
      <c r="BP548" t="s">
        <v>74</v>
      </c>
      <c r="BQ548" t="s">
        <v>74</v>
      </c>
      <c r="BR548" t="s">
        <v>105</v>
      </c>
      <c r="BS548" t="s">
        <v>10668</v>
      </c>
      <c r="BT548" t="str">
        <f>HYPERLINK("https%3A%2F%2Fwww.webofscience.com%2Fwos%2Fwoscc%2Ffull-record%2FWOS:000380799200008","View Full Record in Web of Science")</f>
        <v>View Full Record in Web of Science</v>
      </c>
    </row>
    <row r="549" spans="1:72" x14ac:dyDescent="0.15">
      <c r="A549" t="s">
        <v>72</v>
      </c>
      <c r="B549" t="s">
        <v>10669</v>
      </c>
      <c r="C549" t="s">
        <v>74</v>
      </c>
      <c r="D549" t="s">
        <v>74</v>
      </c>
      <c r="E549" t="s">
        <v>74</v>
      </c>
      <c r="F549" t="s">
        <v>10670</v>
      </c>
      <c r="G549" t="s">
        <v>74</v>
      </c>
      <c r="H549" t="s">
        <v>74</v>
      </c>
      <c r="I549" t="s">
        <v>10671</v>
      </c>
      <c r="J549" t="s">
        <v>10672</v>
      </c>
      <c r="K549" t="s">
        <v>74</v>
      </c>
      <c r="L549" t="s">
        <v>74</v>
      </c>
      <c r="M549" t="s">
        <v>78</v>
      </c>
      <c r="N549" t="s">
        <v>79</v>
      </c>
      <c r="O549" t="s">
        <v>74</v>
      </c>
      <c r="P549" t="s">
        <v>74</v>
      </c>
      <c r="Q549" t="s">
        <v>74</v>
      </c>
      <c r="R549" t="s">
        <v>74</v>
      </c>
      <c r="S549" t="s">
        <v>74</v>
      </c>
      <c r="T549" t="s">
        <v>74</v>
      </c>
      <c r="U549" t="s">
        <v>10673</v>
      </c>
      <c r="V549" t="s">
        <v>10674</v>
      </c>
      <c r="W549" t="s">
        <v>10675</v>
      </c>
      <c r="X549" t="s">
        <v>10676</v>
      </c>
      <c r="Y549" t="s">
        <v>10677</v>
      </c>
      <c r="Z549" t="s">
        <v>10678</v>
      </c>
      <c r="AA549" t="s">
        <v>10679</v>
      </c>
      <c r="AB549" t="s">
        <v>10680</v>
      </c>
      <c r="AC549" t="s">
        <v>10681</v>
      </c>
      <c r="AD549" t="s">
        <v>10682</v>
      </c>
      <c r="AE549" t="s">
        <v>10683</v>
      </c>
      <c r="AF549" t="s">
        <v>74</v>
      </c>
      <c r="AG549">
        <v>56</v>
      </c>
      <c r="AH549">
        <v>26</v>
      </c>
      <c r="AI549">
        <v>26</v>
      </c>
      <c r="AJ549">
        <v>0</v>
      </c>
      <c r="AK549">
        <v>35</v>
      </c>
      <c r="AL549" t="s">
        <v>10684</v>
      </c>
      <c r="AM549" t="s">
        <v>173</v>
      </c>
      <c r="AN549" t="s">
        <v>10685</v>
      </c>
      <c r="AO549" t="s">
        <v>10686</v>
      </c>
      <c r="AP549" t="s">
        <v>10687</v>
      </c>
      <c r="AQ549" t="s">
        <v>74</v>
      </c>
      <c r="AR549" t="s">
        <v>10688</v>
      </c>
      <c r="AS549" t="s">
        <v>10689</v>
      </c>
      <c r="AT549" t="s">
        <v>9902</v>
      </c>
      <c r="AU549">
        <v>2016</v>
      </c>
      <c r="AV549">
        <v>48</v>
      </c>
      <c r="AW549">
        <v>3</v>
      </c>
      <c r="AX549" t="s">
        <v>74</v>
      </c>
      <c r="AY549" t="s">
        <v>74</v>
      </c>
      <c r="AZ549" t="s">
        <v>74</v>
      </c>
      <c r="BA549" t="s">
        <v>74</v>
      </c>
      <c r="BB549">
        <v>449</v>
      </c>
      <c r="BC549">
        <v>460</v>
      </c>
      <c r="BD549" t="s">
        <v>74</v>
      </c>
      <c r="BE549" t="s">
        <v>10690</v>
      </c>
      <c r="BF549" t="str">
        <f>HYPERLINK("http://dx.doi.org/10.1657/AAAR0015-047","http://dx.doi.org/10.1657/AAAR0015-047")</f>
        <v>http://dx.doi.org/10.1657/AAAR0015-047</v>
      </c>
      <c r="BG549" t="s">
        <v>74</v>
      </c>
      <c r="BH549" t="s">
        <v>74</v>
      </c>
      <c r="BI549">
        <v>12</v>
      </c>
      <c r="BJ549" t="s">
        <v>10691</v>
      </c>
      <c r="BK549" t="s">
        <v>156</v>
      </c>
      <c r="BL549" t="s">
        <v>8184</v>
      </c>
      <c r="BM549" t="s">
        <v>10692</v>
      </c>
      <c r="BN549" t="s">
        <v>74</v>
      </c>
      <c r="BO549" t="s">
        <v>2462</v>
      </c>
      <c r="BP549" t="s">
        <v>74</v>
      </c>
      <c r="BQ549" t="s">
        <v>74</v>
      </c>
      <c r="BR549" t="s">
        <v>105</v>
      </c>
      <c r="BS549" t="s">
        <v>10693</v>
      </c>
      <c r="BT549" t="str">
        <f>HYPERLINK("https%3A%2F%2Fwww.webofscience.com%2Fwos%2Fwoscc%2Ffull-record%2FWOS:000382800700001","View Full Record in Web of Science")</f>
        <v>View Full Record in Web of Science</v>
      </c>
    </row>
    <row r="550" spans="1:72" x14ac:dyDescent="0.15">
      <c r="A550" t="s">
        <v>72</v>
      </c>
      <c r="B550" t="s">
        <v>10694</v>
      </c>
      <c r="C550" t="s">
        <v>74</v>
      </c>
      <c r="D550" t="s">
        <v>74</v>
      </c>
      <c r="E550" t="s">
        <v>74</v>
      </c>
      <c r="F550" t="s">
        <v>10695</v>
      </c>
      <c r="G550" t="s">
        <v>74</v>
      </c>
      <c r="H550" t="s">
        <v>74</v>
      </c>
      <c r="I550" t="s">
        <v>10696</v>
      </c>
      <c r="J550" t="s">
        <v>10672</v>
      </c>
      <c r="K550" t="s">
        <v>74</v>
      </c>
      <c r="L550" t="s">
        <v>74</v>
      </c>
      <c r="M550" t="s">
        <v>78</v>
      </c>
      <c r="N550" t="s">
        <v>79</v>
      </c>
      <c r="O550" t="s">
        <v>74</v>
      </c>
      <c r="P550" t="s">
        <v>74</v>
      </c>
      <c r="Q550" t="s">
        <v>74</v>
      </c>
      <c r="R550" t="s">
        <v>74</v>
      </c>
      <c r="S550" t="s">
        <v>74</v>
      </c>
      <c r="T550" t="s">
        <v>74</v>
      </c>
      <c r="U550" t="s">
        <v>10697</v>
      </c>
      <c r="V550" t="s">
        <v>10698</v>
      </c>
      <c r="W550" t="s">
        <v>10699</v>
      </c>
      <c r="X550" t="s">
        <v>10700</v>
      </c>
      <c r="Y550" t="s">
        <v>10701</v>
      </c>
      <c r="Z550" t="s">
        <v>10702</v>
      </c>
      <c r="AA550" t="s">
        <v>10703</v>
      </c>
      <c r="AB550" t="s">
        <v>74</v>
      </c>
      <c r="AC550" t="s">
        <v>10704</v>
      </c>
      <c r="AD550" t="s">
        <v>10705</v>
      </c>
      <c r="AE550" t="s">
        <v>10706</v>
      </c>
      <c r="AF550" t="s">
        <v>74</v>
      </c>
      <c r="AG550">
        <v>46</v>
      </c>
      <c r="AH550">
        <v>5</v>
      </c>
      <c r="AI550">
        <v>5</v>
      </c>
      <c r="AJ550">
        <v>1</v>
      </c>
      <c r="AK550">
        <v>15</v>
      </c>
      <c r="AL550" t="s">
        <v>860</v>
      </c>
      <c r="AM550" t="s">
        <v>861</v>
      </c>
      <c r="AN550" t="s">
        <v>862</v>
      </c>
      <c r="AO550" t="s">
        <v>10686</v>
      </c>
      <c r="AP550" t="s">
        <v>10687</v>
      </c>
      <c r="AQ550" t="s">
        <v>74</v>
      </c>
      <c r="AR550" t="s">
        <v>10688</v>
      </c>
      <c r="AS550" t="s">
        <v>10689</v>
      </c>
      <c r="AT550" t="s">
        <v>9902</v>
      </c>
      <c r="AU550">
        <v>2016</v>
      </c>
      <c r="AV550">
        <v>48</v>
      </c>
      <c r="AW550">
        <v>3</v>
      </c>
      <c r="AX550" t="s">
        <v>74</v>
      </c>
      <c r="AY550" t="s">
        <v>74</v>
      </c>
      <c r="AZ550" t="s">
        <v>74</v>
      </c>
      <c r="BA550" t="s">
        <v>74</v>
      </c>
      <c r="BB550">
        <v>469</v>
      </c>
      <c r="BC550">
        <v>483</v>
      </c>
      <c r="BD550" t="s">
        <v>74</v>
      </c>
      <c r="BE550" t="s">
        <v>10707</v>
      </c>
      <c r="BF550" t="str">
        <f>HYPERLINK("http://dx.doi.org/10.1657/AAAR0015-068","http://dx.doi.org/10.1657/AAAR0015-068")</f>
        <v>http://dx.doi.org/10.1657/AAAR0015-068</v>
      </c>
      <c r="BG550" t="s">
        <v>74</v>
      </c>
      <c r="BH550" t="s">
        <v>74</v>
      </c>
      <c r="BI550">
        <v>15</v>
      </c>
      <c r="BJ550" t="s">
        <v>10691</v>
      </c>
      <c r="BK550" t="s">
        <v>156</v>
      </c>
      <c r="BL550" t="s">
        <v>8184</v>
      </c>
      <c r="BM550" t="s">
        <v>10692</v>
      </c>
      <c r="BN550" t="s">
        <v>74</v>
      </c>
      <c r="BO550" t="s">
        <v>1142</v>
      </c>
      <c r="BP550" t="s">
        <v>74</v>
      </c>
      <c r="BQ550" t="s">
        <v>74</v>
      </c>
      <c r="BR550" t="s">
        <v>105</v>
      </c>
      <c r="BS550" t="s">
        <v>10708</v>
      </c>
      <c r="BT550" t="str">
        <f>HYPERLINK("https%3A%2F%2Fwww.webofscience.com%2Fwos%2Fwoscc%2Ffull-record%2FWOS:000382800700003","View Full Record in Web of Science")</f>
        <v>View Full Record in Web of Science</v>
      </c>
    </row>
    <row r="551" spans="1:72" x14ac:dyDescent="0.15">
      <c r="A551" t="s">
        <v>72</v>
      </c>
      <c r="B551" t="s">
        <v>10709</v>
      </c>
      <c r="C551" t="s">
        <v>74</v>
      </c>
      <c r="D551" t="s">
        <v>74</v>
      </c>
      <c r="E551" t="s">
        <v>74</v>
      </c>
      <c r="F551" t="s">
        <v>10710</v>
      </c>
      <c r="G551" t="s">
        <v>74</v>
      </c>
      <c r="H551" t="s">
        <v>74</v>
      </c>
      <c r="I551" t="s">
        <v>10711</v>
      </c>
      <c r="J551" t="s">
        <v>10672</v>
      </c>
      <c r="K551" t="s">
        <v>74</v>
      </c>
      <c r="L551" t="s">
        <v>74</v>
      </c>
      <c r="M551" t="s">
        <v>78</v>
      </c>
      <c r="N551" t="s">
        <v>79</v>
      </c>
      <c r="O551" t="s">
        <v>74</v>
      </c>
      <c r="P551" t="s">
        <v>74</v>
      </c>
      <c r="Q551" t="s">
        <v>74</v>
      </c>
      <c r="R551" t="s">
        <v>74</v>
      </c>
      <c r="S551" t="s">
        <v>74</v>
      </c>
      <c r="T551" t="s">
        <v>74</v>
      </c>
      <c r="U551" t="s">
        <v>10712</v>
      </c>
      <c r="V551" t="s">
        <v>10713</v>
      </c>
      <c r="W551" t="s">
        <v>10714</v>
      </c>
      <c r="X551" t="s">
        <v>10715</v>
      </c>
      <c r="Y551" t="s">
        <v>10716</v>
      </c>
      <c r="Z551" t="s">
        <v>10717</v>
      </c>
      <c r="AA551" t="s">
        <v>10718</v>
      </c>
      <c r="AB551" t="s">
        <v>10719</v>
      </c>
      <c r="AC551" t="s">
        <v>10720</v>
      </c>
      <c r="AD551" t="s">
        <v>10720</v>
      </c>
      <c r="AE551" t="s">
        <v>10721</v>
      </c>
      <c r="AF551" t="s">
        <v>74</v>
      </c>
      <c r="AG551">
        <v>82</v>
      </c>
      <c r="AH551">
        <v>15</v>
      </c>
      <c r="AI551">
        <v>16</v>
      </c>
      <c r="AJ551">
        <v>1</v>
      </c>
      <c r="AK551">
        <v>56</v>
      </c>
      <c r="AL551" t="s">
        <v>10684</v>
      </c>
      <c r="AM551" t="s">
        <v>173</v>
      </c>
      <c r="AN551" t="s">
        <v>10685</v>
      </c>
      <c r="AO551" t="s">
        <v>10686</v>
      </c>
      <c r="AP551" t="s">
        <v>10687</v>
      </c>
      <c r="AQ551" t="s">
        <v>74</v>
      </c>
      <c r="AR551" t="s">
        <v>10688</v>
      </c>
      <c r="AS551" t="s">
        <v>10689</v>
      </c>
      <c r="AT551" t="s">
        <v>9902</v>
      </c>
      <c r="AU551">
        <v>2016</v>
      </c>
      <c r="AV551">
        <v>48</v>
      </c>
      <c r="AW551">
        <v>3</v>
      </c>
      <c r="AX551" t="s">
        <v>74</v>
      </c>
      <c r="AY551" t="s">
        <v>74</v>
      </c>
      <c r="AZ551" t="s">
        <v>74</v>
      </c>
      <c r="BA551" t="s">
        <v>74</v>
      </c>
      <c r="BB551">
        <v>485</v>
      </c>
      <c r="BC551">
        <v>500</v>
      </c>
      <c r="BD551" t="s">
        <v>74</v>
      </c>
      <c r="BE551" t="s">
        <v>10722</v>
      </c>
      <c r="BF551" t="str">
        <f>HYPERLINK("http://dx.doi.org/10.1657/AAAR0015-064","http://dx.doi.org/10.1657/AAAR0015-064")</f>
        <v>http://dx.doi.org/10.1657/AAAR0015-064</v>
      </c>
      <c r="BG551" t="s">
        <v>74</v>
      </c>
      <c r="BH551" t="s">
        <v>74</v>
      </c>
      <c r="BI551">
        <v>16</v>
      </c>
      <c r="BJ551" t="s">
        <v>10691</v>
      </c>
      <c r="BK551" t="s">
        <v>156</v>
      </c>
      <c r="BL551" t="s">
        <v>8184</v>
      </c>
      <c r="BM551" t="s">
        <v>10692</v>
      </c>
      <c r="BN551" t="s">
        <v>74</v>
      </c>
      <c r="BO551" t="s">
        <v>1142</v>
      </c>
      <c r="BP551" t="s">
        <v>74</v>
      </c>
      <c r="BQ551" t="s">
        <v>74</v>
      </c>
      <c r="BR551" t="s">
        <v>105</v>
      </c>
      <c r="BS551" t="s">
        <v>10723</v>
      </c>
      <c r="BT551" t="str">
        <f>HYPERLINK("https%3A%2F%2Fwww.webofscience.com%2Fwos%2Fwoscc%2Ffull-record%2FWOS:000382800700004","View Full Record in Web of Science")</f>
        <v>View Full Record in Web of Science</v>
      </c>
    </row>
    <row r="552" spans="1:72" x14ac:dyDescent="0.15">
      <c r="A552" t="s">
        <v>72</v>
      </c>
      <c r="B552" t="s">
        <v>10724</v>
      </c>
      <c r="C552" t="s">
        <v>74</v>
      </c>
      <c r="D552" t="s">
        <v>74</v>
      </c>
      <c r="E552" t="s">
        <v>74</v>
      </c>
      <c r="F552" t="s">
        <v>10725</v>
      </c>
      <c r="G552" t="s">
        <v>74</v>
      </c>
      <c r="H552" t="s">
        <v>74</v>
      </c>
      <c r="I552" t="s">
        <v>10726</v>
      </c>
      <c r="J552" t="s">
        <v>10672</v>
      </c>
      <c r="K552" t="s">
        <v>74</v>
      </c>
      <c r="L552" t="s">
        <v>74</v>
      </c>
      <c r="M552" t="s">
        <v>78</v>
      </c>
      <c r="N552" t="s">
        <v>79</v>
      </c>
      <c r="O552" t="s">
        <v>74</v>
      </c>
      <c r="P552" t="s">
        <v>74</v>
      </c>
      <c r="Q552" t="s">
        <v>74</v>
      </c>
      <c r="R552" t="s">
        <v>74</v>
      </c>
      <c r="S552" t="s">
        <v>74</v>
      </c>
      <c r="T552" t="s">
        <v>74</v>
      </c>
      <c r="U552" t="s">
        <v>10727</v>
      </c>
      <c r="V552" t="s">
        <v>10728</v>
      </c>
      <c r="W552" t="s">
        <v>10729</v>
      </c>
      <c r="X552" t="s">
        <v>10730</v>
      </c>
      <c r="Y552" t="s">
        <v>10731</v>
      </c>
      <c r="Z552" t="s">
        <v>10732</v>
      </c>
      <c r="AA552" t="s">
        <v>10733</v>
      </c>
      <c r="AB552" t="s">
        <v>10734</v>
      </c>
      <c r="AC552" t="s">
        <v>10735</v>
      </c>
      <c r="AD552" t="s">
        <v>10735</v>
      </c>
      <c r="AE552" t="s">
        <v>10736</v>
      </c>
      <c r="AF552" t="s">
        <v>74</v>
      </c>
      <c r="AG552">
        <v>25</v>
      </c>
      <c r="AH552">
        <v>3</v>
      </c>
      <c r="AI552">
        <v>3</v>
      </c>
      <c r="AJ552">
        <v>0</v>
      </c>
      <c r="AK552">
        <v>35</v>
      </c>
      <c r="AL552" t="s">
        <v>860</v>
      </c>
      <c r="AM552" t="s">
        <v>861</v>
      </c>
      <c r="AN552" t="s">
        <v>862</v>
      </c>
      <c r="AO552" t="s">
        <v>10686</v>
      </c>
      <c r="AP552" t="s">
        <v>10687</v>
      </c>
      <c r="AQ552" t="s">
        <v>74</v>
      </c>
      <c r="AR552" t="s">
        <v>10688</v>
      </c>
      <c r="AS552" t="s">
        <v>10689</v>
      </c>
      <c r="AT552" t="s">
        <v>9902</v>
      </c>
      <c r="AU552">
        <v>2016</v>
      </c>
      <c r="AV552">
        <v>48</v>
      </c>
      <c r="AW552">
        <v>3</v>
      </c>
      <c r="AX552" t="s">
        <v>74</v>
      </c>
      <c r="AY552" t="s">
        <v>74</v>
      </c>
      <c r="AZ552" t="s">
        <v>74</v>
      </c>
      <c r="BA552" t="s">
        <v>74</v>
      </c>
      <c r="BB552">
        <v>523</v>
      </c>
      <c r="BC552">
        <v>530</v>
      </c>
      <c r="BD552" t="s">
        <v>74</v>
      </c>
      <c r="BE552" t="s">
        <v>10737</v>
      </c>
      <c r="BF552" t="str">
        <f>HYPERLINK("http://dx.doi.org/10.1657/AAAR0015-052","http://dx.doi.org/10.1657/AAAR0015-052")</f>
        <v>http://dx.doi.org/10.1657/AAAR0015-052</v>
      </c>
      <c r="BG552" t="s">
        <v>74</v>
      </c>
      <c r="BH552" t="s">
        <v>74</v>
      </c>
      <c r="BI552">
        <v>8</v>
      </c>
      <c r="BJ552" t="s">
        <v>10691</v>
      </c>
      <c r="BK552" t="s">
        <v>156</v>
      </c>
      <c r="BL552" t="s">
        <v>8184</v>
      </c>
      <c r="BM552" t="s">
        <v>10692</v>
      </c>
      <c r="BN552" t="s">
        <v>74</v>
      </c>
      <c r="BO552" t="s">
        <v>1142</v>
      </c>
      <c r="BP552" t="s">
        <v>74</v>
      </c>
      <c r="BQ552" t="s">
        <v>74</v>
      </c>
      <c r="BR552" t="s">
        <v>105</v>
      </c>
      <c r="BS552" t="s">
        <v>10738</v>
      </c>
      <c r="BT552" t="str">
        <f>HYPERLINK("https%3A%2F%2Fwww.webofscience.com%2Fwos%2Fwoscc%2Ffull-record%2FWOS:000382800700006","View Full Record in Web of Science")</f>
        <v>View Full Record in Web of Science</v>
      </c>
    </row>
    <row r="553" spans="1:72" x14ac:dyDescent="0.15">
      <c r="A553" t="s">
        <v>72</v>
      </c>
      <c r="B553" t="s">
        <v>10739</v>
      </c>
      <c r="C553" t="s">
        <v>74</v>
      </c>
      <c r="D553" t="s">
        <v>74</v>
      </c>
      <c r="E553" t="s">
        <v>74</v>
      </c>
      <c r="F553" t="s">
        <v>10740</v>
      </c>
      <c r="G553" t="s">
        <v>74</v>
      </c>
      <c r="H553" t="s">
        <v>74</v>
      </c>
      <c r="I553" t="s">
        <v>10741</v>
      </c>
      <c r="J553" t="s">
        <v>10672</v>
      </c>
      <c r="K553" t="s">
        <v>74</v>
      </c>
      <c r="L553" t="s">
        <v>74</v>
      </c>
      <c r="M553" t="s">
        <v>78</v>
      </c>
      <c r="N553" t="s">
        <v>79</v>
      </c>
      <c r="O553" t="s">
        <v>74</v>
      </c>
      <c r="P553" t="s">
        <v>74</v>
      </c>
      <c r="Q553" t="s">
        <v>74</v>
      </c>
      <c r="R553" t="s">
        <v>74</v>
      </c>
      <c r="S553" t="s">
        <v>74</v>
      </c>
      <c r="T553" t="s">
        <v>74</v>
      </c>
      <c r="U553" t="s">
        <v>10742</v>
      </c>
      <c r="V553" t="s">
        <v>10743</v>
      </c>
      <c r="W553" t="s">
        <v>10744</v>
      </c>
      <c r="X553" t="s">
        <v>10745</v>
      </c>
      <c r="Y553" t="s">
        <v>10746</v>
      </c>
      <c r="Z553" t="s">
        <v>10747</v>
      </c>
      <c r="AA553" t="s">
        <v>74</v>
      </c>
      <c r="AB553" t="s">
        <v>10748</v>
      </c>
      <c r="AC553" t="s">
        <v>74</v>
      </c>
      <c r="AD553" t="s">
        <v>74</v>
      </c>
      <c r="AE553" t="s">
        <v>74</v>
      </c>
      <c r="AF553" t="s">
        <v>74</v>
      </c>
      <c r="AG553">
        <v>32</v>
      </c>
      <c r="AH553">
        <v>12</v>
      </c>
      <c r="AI553">
        <v>14</v>
      </c>
      <c r="AJ553">
        <v>1</v>
      </c>
      <c r="AK553">
        <v>14</v>
      </c>
      <c r="AL553" t="s">
        <v>10684</v>
      </c>
      <c r="AM553" t="s">
        <v>173</v>
      </c>
      <c r="AN553" t="s">
        <v>10685</v>
      </c>
      <c r="AO553" t="s">
        <v>10686</v>
      </c>
      <c r="AP553" t="s">
        <v>10687</v>
      </c>
      <c r="AQ553" t="s">
        <v>74</v>
      </c>
      <c r="AR553" t="s">
        <v>10688</v>
      </c>
      <c r="AS553" t="s">
        <v>10689</v>
      </c>
      <c r="AT553" t="s">
        <v>9902</v>
      </c>
      <c r="AU553">
        <v>2016</v>
      </c>
      <c r="AV553">
        <v>48</v>
      </c>
      <c r="AW553">
        <v>3</v>
      </c>
      <c r="AX553" t="s">
        <v>74</v>
      </c>
      <c r="AY553" t="s">
        <v>74</v>
      </c>
      <c r="AZ553" t="s">
        <v>74</v>
      </c>
      <c r="BA553" t="s">
        <v>74</v>
      </c>
      <c r="BB553">
        <v>551</v>
      </c>
      <c r="BC553">
        <v>562</v>
      </c>
      <c r="BD553" t="s">
        <v>74</v>
      </c>
      <c r="BE553" t="s">
        <v>10749</v>
      </c>
      <c r="BF553" t="str">
        <f>HYPERLINK("http://dx.doi.org/10.1657/AAAR0016-027","http://dx.doi.org/10.1657/AAAR0016-027")</f>
        <v>http://dx.doi.org/10.1657/AAAR0016-027</v>
      </c>
      <c r="BG553" t="s">
        <v>74</v>
      </c>
      <c r="BH553" t="s">
        <v>74</v>
      </c>
      <c r="BI553">
        <v>12</v>
      </c>
      <c r="BJ553" t="s">
        <v>10691</v>
      </c>
      <c r="BK553" t="s">
        <v>156</v>
      </c>
      <c r="BL553" t="s">
        <v>8184</v>
      </c>
      <c r="BM553" t="s">
        <v>10692</v>
      </c>
      <c r="BN553" t="s">
        <v>74</v>
      </c>
      <c r="BO553" t="s">
        <v>1142</v>
      </c>
      <c r="BP553" t="s">
        <v>74</v>
      </c>
      <c r="BQ553" t="s">
        <v>74</v>
      </c>
      <c r="BR553" t="s">
        <v>105</v>
      </c>
      <c r="BS553" t="s">
        <v>10750</v>
      </c>
      <c r="BT553" t="str">
        <f>HYPERLINK("https%3A%2F%2Fwww.webofscience.com%2Fwos%2Fwoscc%2Ffull-record%2FWOS:000382800700008","View Full Record in Web of Science")</f>
        <v>View Full Record in Web of Science</v>
      </c>
    </row>
    <row r="554" spans="1:72" x14ac:dyDescent="0.15">
      <c r="A554" t="s">
        <v>72</v>
      </c>
      <c r="B554" t="s">
        <v>10751</v>
      </c>
      <c r="C554" t="s">
        <v>74</v>
      </c>
      <c r="D554" t="s">
        <v>74</v>
      </c>
      <c r="E554" t="s">
        <v>74</v>
      </c>
      <c r="F554" t="s">
        <v>10752</v>
      </c>
      <c r="G554" t="s">
        <v>74</v>
      </c>
      <c r="H554" t="s">
        <v>74</v>
      </c>
      <c r="I554" t="s">
        <v>10753</v>
      </c>
      <c r="J554" t="s">
        <v>10672</v>
      </c>
      <c r="K554" t="s">
        <v>74</v>
      </c>
      <c r="L554" t="s">
        <v>74</v>
      </c>
      <c r="M554" t="s">
        <v>78</v>
      </c>
      <c r="N554" t="s">
        <v>79</v>
      </c>
      <c r="O554" t="s">
        <v>74</v>
      </c>
      <c r="P554" t="s">
        <v>74</v>
      </c>
      <c r="Q554" t="s">
        <v>74</v>
      </c>
      <c r="R554" t="s">
        <v>74</v>
      </c>
      <c r="S554" t="s">
        <v>74</v>
      </c>
      <c r="T554" t="s">
        <v>74</v>
      </c>
      <c r="U554" t="s">
        <v>10754</v>
      </c>
      <c r="V554" t="s">
        <v>10755</v>
      </c>
      <c r="W554" t="s">
        <v>10756</v>
      </c>
      <c r="X554" t="s">
        <v>10757</v>
      </c>
      <c r="Y554" t="s">
        <v>10758</v>
      </c>
      <c r="Z554" t="s">
        <v>10759</v>
      </c>
      <c r="AA554" t="s">
        <v>10760</v>
      </c>
      <c r="AB554" t="s">
        <v>74</v>
      </c>
      <c r="AC554" t="s">
        <v>10761</v>
      </c>
      <c r="AD554" t="s">
        <v>10762</v>
      </c>
      <c r="AE554" t="s">
        <v>10763</v>
      </c>
      <c r="AF554" t="s">
        <v>74</v>
      </c>
      <c r="AG554">
        <v>43</v>
      </c>
      <c r="AH554">
        <v>16</v>
      </c>
      <c r="AI554">
        <v>17</v>
      </c>
      <c r="AJ554">
        <v>0</v>
      </c>
      <c r="AK554">
        <v>21</v>
      </c>
      <c r="AL554" t="s">
        <v>10684</v>
      </c>
      <c r="AM554" t="s">
        <v>173</v>
      </c>
      <c r="AN554" t="s">
        <v>10685</v>
      </c>
      <c r="AO554" t="s">
        <v>10686</v>
      </c>
      <c r="AP554" t="s">
        <v>10687</v>
      </c>
      <c r="AQ554" t="s">
        <v>74</v>
      </c>
      <c r="AR554" t="s">
        <v>10688</v>
      </c>
      <c r="AS554" t="s">
        <v>10689</v>
      </c>
      <c r="AT554" t="s">
        <v>9902</v>
      </c>
      <c r="AU554">
        <v>2016</v>
      </c>
      <c r="AV554">
        <v>48</v>
      </c>
      <c r="AW554">
        <v>3</v>
      </c>
      <c r="AX554" t="s">
        <v>74</v>
      </c>
      <c r="AY554" t="s">
        <v>74</v>
      </c>
      <c r="AZ554" t="s">
        <v>74</v>
      </c>
      <c r="BA554" t="s">
        <v>74</v>
      </c>
      <c r="BB554">
        <v>563</v>
      </c>
      <c r="BC554">
        <v>580</v>
      </c>
      <c r="BD554" t="s">
        <v>74</v>
      </c>
      <c r="BE554" t="s">
        <v>10764</v>
      </c>
      <c r="BF554" t="str">
        <f>HYPERLINK("http://dx.doi.org/10.1657/AAAR0015-028","http://dx.doi.org/10.1657/AAAR0015-028")</f>
        <v>http://dx.doi.org/10.1657/AAAR0015-028</v>
      </c>
      <c r="BG554" t="s">
        <v>74</v>
      </c>
      <c r="BH554" t="s">
        <v>74</v>
      </c>
      <c r="BI554">
        <v>18</v>
      </c>
      <c r="BJ554" t="s">
        <v>10691</v>
      </c>
      <c r="BK554" t="s">
        <v>156</v>
      </c>
      <c r="BL554" t="s">
        <v>8184</v>
      </c>
      <c r="BM554" t="s">
        <v>10692</v>
      </c>
      <c r="BN554" t="s">
        <v>74</v>
      </c>
      <c r="BO554" t="s">
        <v>1142</v>
      </c>
      <c r="BP554" t="s">
        <v>74</v>
      </c>
      <c r="BQ554" t="s">
        <v>74</v>
      </c>
      <c r="BR554" t="s">
        <v>105</v>
      </c>
      <c r="BS554" t="s">
        <v>10765</v>
      </c>
      <c r="BT554" t="str">
        <f>HYPERLINK("https%3A%2F%2Fwww.webofscience.com%2Fwos%2Fwoscc%2Ffull-record%2FWOS:000382800700009","View Full Record in Web of Science")</f>
        <v>View Full Record in Web of Science</v>
      </c>
    </row>
    <row r="555" spans="1:72" x14ac:dyDescent="0.15">
      <c r="A555" t="s">
        <v>72</v>
      </c>
      <c r="B555" t="s">
        <v>10766</v>
      </c>
      <c r="C555" t="s">
        <v>74</v>
      </c>
      <c r="D555" t="s">
        <v>74</v>
      </c>
      <c r="E555" t="s">
        <v>74</v>
      </c>
      <c r="F555" t="s">
        <v>10767</v>
      </c>
      <c r="G555" t="s">
        <v>74</v>
      </c>
      <c r="H555" t="s">
        <v>74</v>
      </c>
      <c r="I555" t="s">
        <v>10768</v>
      </c>
      <c r="J555" t="s">
        <v>1677</v>
      </c>
      <c r="K555" t="s">
        <v>74</v>
      </c>
      <c r="L555" t="s">
        <v>74</v>
      </c>
      <c r="M555" t="s">
        <v>78</v>
      </c>
      <c r="N555" t="s">
        <v>79</v>
      </c>
      <c r="O555" t="s">
        <v>74</v>
      </c>
      <c r="P555" t="s">
        <v>74</v>
      </c>
      <c r="Q555" t="s">
        <v>74</v>
      </c>
      <c r="R555" t="s">
        <v>74</v>
      </c>
      <c r="S555" t="s">
        <v>74</v>
      </c>
      <c r="T555" t="s">
        <v>10769</v>
      </c>
      <c r="U555" t="s">
        <v>10770</v>
      </c>
      <c r="V555" t="s">
        <v>10771</v>
      </c>
      <c r="W555" t="s">
        <v>10772</v>
      </c>
      <c r="X555" t="s">
        <v>10773</v>
      </c>
      <c r="Y555" t="s">
        <v>10774</v>
      </c>
      <c r="Z555" t="s">
        <v>10775</v>
      </c>
      <c r="AA555" t="s">
        <v>10776</v>
      </c>
      <c r="AB555" t="s">
        <v>10777</v>
      </c>
      <c r="AC555" t="s">
        <v>10778</v>
      </c>
      <c r="AD555" t="s">
        <v>10779</v>
      </c>
      <c r="AE555" t="s">
        <v>10780</v>
      </c>
      <c r="AF555" t="s">
        <v>74</v>
      </c>
      <c r="AG555">
        <v>72</v>
      </c>
      <c r="AH555">
        <v>14</v>
      </c>
      <c r="AI555">
        <v>14</v>
      </c>
      <c r="AJ555">
        <v>1</v>
      </c>
      <c r="AK555">
        <v>31</v>
      </c>
      <c r="AL555" t="s">
        <v>303</v>
      </c>
      <c r="AM555" t="s">
        <v>304</v>
      </c>
      <c r="AN555" t="s">
        <v>305</v>
      </c>
      <c r="AO555" t="s">
        <v>1688</v>
      </c>
      <c r="AP555" t="s">
        <v>1689</v>
      </c>
      <c r="AQ555" t="s">
        <v>74</v>
      </c>
      <c r="AR555" t="s">
        <v>1690</v>
      </c>
      <c r="AS555" t="s">
        <v>1691</v>
      </c>
      <c r="AT555" t="s">
        <v>9946</v>
      </c>
      <c r="AU555">
        <v>2016</v>
      </c>
      <c r="AV555">
        <v>124</v>
      </c>
      <c r="AW555" t="s">
        <v>74</v>
      </c>
      <c r="AX555" t="s">
        <v>74</v>
      </c>
      <c r="AY555" t="s">
        <v>74</v>
      </c>
      <c r="AZ555" t="s">
        <v>74</v>
      </c>
      <c r="BA555" t="s">
        <v>74</v>
      </c>
      <c r="BB555">
        <v>142</v>
      </c>
      <c r="BC555">
        <v>152</v>
      </c>
      <c r="BD555" t="s">
        <v>74</v>
      </c>
      <c r="BE555" t="s">
        <v>10781</v>
      </c>
      <c r="BF555" t="str">
        <f>HYPERLINK("http://dx.doi.org/10.1016/j.csr.2016.03.023","http://dx.doi.org/10.1016/j.csr.2016.03.023")</f>
        <v>http://dx.doi.org/10.1016/j.csr.2016.03.023</v>
      </c>
      <c r="BG555" t="s">
        <v>74</v>
      </c>
      <c r="BH555" t="s">
        <v>74</v>
      </c>
      <c r="BI555">
        <v>11</v>
      </c>
      <c r="BJ555" t="s">
        <v>405</v>
      </c>
      <c r="BK555" t="s">
        <v>156</v>
      </c>
      <c r="BL555" t="s">
        <v>405</v>
      </c>
      <c r="BM555" t="s">
        <v>10782</v>
      </c>
      <c r="BN555" t="s">
        <v>74</v>
      </c>
      <c r="BO555" t="s">
        <v>1002</v>
      </c>
      <c r="BP555" t="s">
        <v>74</v>
      </c>
      <c r="BQ555" t="s">
        <v>74</v>
      </c>
      <c r="BR555" t="s">
        <v>105</v>
      </c>
      <c r="BS555" t="s">
        <v>10783</v>
      </c>
      <c r="BT555" t="str">
        <f>HYPERLINK("https%3A%2F%2Fwww.webofscience.com%2Fwos%2Fwoscc%2Ffull-record%2FWOS:000382346900013","View Full Record in Web of Science")</f>
        <v>View Full Record in Web of Science</v>
      </c>
    </row>
    <row r="556" spans="1:72" x14ac:dyDescent="0.15">
      <c r="A556" t="s">
        <v>72</v>
      </c>
      <c r="B556" t="s">
        <v>10784</v>
      </c>
      <c r="C556" t="s">
        <v>74</v>
      </c>
      <c r="D556" t="s">
        <v>74</v>
      </c>
      <c r="E556" t="s">
        <v>74</v>
      </c>
      <c r="F556" t="s">
        <v>10785</v>
      </c>
      <c r="G556" t="s">
        <v>74</v>
      </c>
      <c r="H556" t="s">
        <v>74</v>
      </c>
      <c r="I556" t="s">
        <v>10786</v>
      </c>
      <c r="J556" t="s">
        <v>7167</v>
      </c>
      <c r="K556" t="s">
        <v>74</v>
      </c>
      <c r="L556" t="s">
        <v>74</v>
      </c>
      <c r="M556" t="s">
        <v>78</v>
      </c>
      <c r="N556" t="s">
        <v>79</v>
      </c>
      <c r="O556" t="s">
        <v>74</v>
      </c>
      <c r="P556" t="s">
        <v>74</v>
      </c>
      <c r="Q556" t="s">
        <v>74</v>
      </c>
      <c r="R556" t="s">
        <v>74</v>
      </c>
      <c r="S556" t="s">
        <v>74</v>
      </c>
      <c r="T556" t="s">
        <v>10787</v>
      </c>
      <c r="U556" t="s">
        <v>10788</v>
      </c>
      <c r="V556" t="s">
        <v>10789</v>
      </c>
      <c r="W556" t="s">
        <v>10790</v>
      </c>
      <c r="X556" t="s">
        <v>10791</v>
      </c>
      <c r="Y556" t="s">
        <v>10792</v>
      </c>
      <c r="Z556" t="s">
        <v>10793</v>
      </c>
      <c r="AA556" t="s">
        <v>74</v>
      </c>
      <c r="AB556" t="s">
        <v>1751</v>
      </c>
      <c r="AC556" t="s">
        <v>10794</v>
      </c>
      <c r="AD556" t="s">
        <v>10795</v>
      </c>
      <c r="AE556" t="s">
        <v>10796</v>
      </c>
      <c r="AF556" t="s">
        <v>74</v>
      </c>
      <c r="AG556">
        <v>66</v>
      </c>
      <c r="AH556">
        <v>16</v>
      </c>
      <c r="AI556">
        <v>17</v>
      </c>
      <c r="AJ556">
        <v>0</v>
      </c>
      <c r="AK556">
        <v>18</v>
      </c>
      <c r="AL556" t="s">
        <v>2112</v>
      </c>
      <c r="AM556" t="s">
        <v>250</v>
      </c>
      <c r="AN556" t="s">
        <v>2113</v>
      </c>
      <c r="AO556" t="s">
        <v>7180</v>
      </c>
      <c r="AP556" t="s">
        <v>7181</v>
      </c>
      <c r="AQ556" t="s">
        <v>74</v>
      </c>
      <c r="AR556" t="s">
        <v>7182</v>
      </c>
      <c r="AS556" t="s">
        <v>7183</v>
      </c>
      <c r="AT556" t="s">
        <v>9902</v>
      </c>
      <c r="AU556">
        <v>2016</v>
      </c>
      <c r="AV556">
        <v>55</v>
      </c>
      <c r="AW556" t="s">
        <v>74</v>
      </c>
      <c r="AX556" t="s">
        <v>74</v>
      </c>
      <c r="AY556" t="s">
        <v>74</v>
      </c>
      <c r="AZ556" t="s">
        <v>74</v>
      </c>
      <c r="BA556" t="s">
        <v>74</v>
      </c>
      <c r="BB556">
        <v>315</v>
      </c>
      <c r="BC556">
        <v>322</v>
      </c>
      <c r="BD556" t="s">
        <v>74</v>
      </c>
      <c r="BE556" t="s">
        <v>10797</v>
      </c>
      <c r="BF556" t="str">
        <f>HYPERLINK("http://dx.doi.org/10.1016/j.fsi.2016.06.004","http://dx.doi.org/10.1016/j.fsi.2016.06.004")</f>
        <v>http://dx.doi.org/10.1016/j.fsi.2016.06.004</v>
      </c>
      <c r="BG556" t="s">
        <v>74</v>
      </c>
      <c r="BH556" t="s">
        <v>74</v>
      </c>
      <c r="BI556">
        <v>8</v>
      </c>
      <c r="BJ556" t="s">
        <v>7185</v>
      </c>
      <c r="BK556" t="s">
        <v>156</v>
      </c>
      <c r="BL556" t="s">
        <v>7185</v>
      </c>
      <c r="BM556" t="s">
        <v>10798</v>
      </c>
      <c r="BN556">
        <v>27276114</v>
      </c>
      <c r="BO556" t="s">
        <v>74</v>
      </c>
      <c r="BP556" t="s">
        <v>74</v>
      </c>
      <c r="BQ556" t="s">
        <v>74</v>
      </c>
      <c r="BR556" t="s">
        <v>105</v>
      </c>
      <c r="BS556" t="s">
        <v>10799</v>
      </c>
      <c r="BT556" t="str">
        <f>HYPERLINK("https%3A%2F%2Fwww.webofscience.com%2Fwos%2Fwoscc%2Ffull-record%2FWOS:000381537000032","View Full Record in Web of Science")</f>
        <v>View Full Record in Web of Science</v>
      </c>
    </row>
    <row r="557" spans="1:72" x14ac:dyDescent="0.15">
      <c r="A557" t="s">
        <v>72</v>
      </c>
      <c r="B557" t="s">
        <v>10800</v>
      </c>
      <c r="C557" t="s">
        <v>74</v>
      </c>
      <c r="D557" t="s">
        <v>74</v>
      </c>
      <c r="E557" t="s">
        <v>74</v>
      </c>
      <c r="F557" t="s">
        <v>10801</v>
      </c>
      <c r="G557" t="s">
        <v>74</v>
      </c>
      <c r="H557" t="s">
        <v>74</v>
      </c>
      <c r="I557" t="s">
        <v>10802</v>
      </c>
      <c r="J557" t="s">
        <v>2757</v>
      </c>
      <c r="K557" t="s">
        <v>74</v>
      </c>
      <c r="L557" t="s">
        <v>74</v>
      </c>
      <c r="M557" t="s">
        <v>78</v>
      </c>
      <c r="N557" t="s">
        <v>79</v>
      </c>
      <c r="O557" t="s">
        <v>74</v>
      </c>
      <c r="P557" t="s">
        <v>74</v>
      </c>
      <c r="Q557" t="s">
        <v>74</v>
      </c>
      <c r="R557" t="s">
        <v>74</v>
      </c>
      <c r="S557" t="s">
        <v>74</v>
      </c>
      <c r="T557" t="s">
        <v>10803</v>
      </c>
      <c r="U557" t="s">
        <v>10804</v>
      </c>
      <c r="V557" t="s">
        <v>10805</v>
      </c>
      <c r="W557" t="s">
        <v>10806</v>
      </c>
      <c r="X557" t="s">
        <v>10807</v>
      </c>
      <c r="Y557" t="s">
        <v>10808</v>
      </c>
      <c r="Z557" t="s">
        <v>10809</v>
      </c>
      <c r="AA557" t="s">
        <v>74</v>
      </c>
      <c r="AB557" t="s">
        <v>10810</v>
      </c>
      <c r="AC557" t="s">
        <v>10811</v>
      </c>
      <c r="AD557" t="s">
        <v>10812</v>
      </c>
      <c r="AE557" t="s">
        <v>10813</v>
      </c>
      <c r="AF557" t="s">
        <v>74</v>
      </c>
      <c r="AG557">
        <v>25</v>
      </c>
      <c r="AH557">
        <v>6</v>
      </c>
      <c r="AI557">
        <v>7</v>
      </c>
      <c r="AJ557">
        <v>0</v>
      </c>
      <c r="AK557">
        <v>11</v>
      </c>
      <c r="AL557" t="s">
        <v>2769</v>
      </c>
      <c r="AM557" t="s">
        <v>2770</v>
      </c>
      <c r="AN557" t="s">
        <v>2771</v>
      </c>
      <c r="AO557" t="s">
        <v>2772</v>
      </c>
      <c r="AP557" t="s">
        <v>2773</v>
      </c>
      <c r="AQ557" t="s">
        <v>74</v>
      </c>
      <c r="AR557" t="s">
        <v>2774</v>
      </c>
      <c r="AS557" t="s">
        <v>2775</v>
      </c>
      <c r="AT557" t="s">
        <v>9902</v>
      </c>
      <c r="AU557">
        <v>2016</v>
      </c>
      <c r="AV557">
        <v>13</v>
      </c>
      <c r="AW557">
        <v>8</v>
      </c>
      <c r="AX557" t="s">
        <v>74</v>
      </c>
      <c r="AY557" t="s">
        <v>74</v>
      </c>
      <c r="AZ557" t="s">
        <v>74</v>
      </c>
      <c r="BA557" t="s">
        <v>74</v>
      </c>
      <c r="BB557">
        <v>1099</v>
      </c>
      <c r="BC557">
        <v>1103</v>
      </c>
      <c r="BD557" t="s">
        <v>74</v>
      </c>
      <c r="BE557" t="s">
        <v>10814</v>
      </c>
      <c r="BF557" t="str">
        <f>HYPERLINK("http://dx.doi.org/10.1109/LGRS.2016.2567486","http://dx.doi.org/10.1109/LGRS.2016.2567486")</f>
        <v>http://dx.doi.org/10.1109/LGRS.2016.2567486</v>
      </c>
      <c r="BG557" t="s">
        <v>74</v>
      </c>
      <c r="BH557" t="s">
        <v>74</v>
      </c>
      <c r="BI557">
        <v>5</v>
      </c>
      <c r="BJ557" t="s">
        <v>2777</v>
      </c>
      <c r="BK557" t="s">
        <v>156</v>
      </c>
      <c r="BL557" t="s">
        <v>2778</v>
      </c>
      <c r="BM557" t="s">
        <v>10815</v>
      </c>
      <c r="BN557" t="s">
        <v>74</v>
      </c>
      <c r="BO557" t="s">
        <v>74</v>
      </c>
      <c r="BP557" t="s">
        <v>74</v>
      </c>
      <c r="BQ557" t="s">
        <v>74</v>
      </c>
      <c r="BR557" t="s">
        <v>105</v>
      </c>
      <c r="BS557" t="s">
        <v>10816</v>
      </c>
      <c r="BT557" t="str">
        <f>HYPERLINK("https%3A%2F%2Fwww.webofscience.com%2Fwos%2Fwoscc%2Ffull-record%2FWOS:000382683100013","View Full Record in Web of Science")</f>
        <v>View Full Record in Web of Science</v>
      </c>
    </row>
    <row r="558" spans="1:72" x14ac:dyDescent="0.15">
      <c r="A558" t="s">
        <v>72</v>
      </c>
      <c r="B558" t="s">
        <v>10817</v>
      </c>
      <c r="C558" t="s">
        <v>74</v>
      </c>
      <c r="D558" t="s">
        <v>74</v>
      </c>
      <c r="E558" t="s">
        <v>74</v>
      </c>
      <c r="F558" t="s">
        <v>10818</v>
      </c>
      <c r="G558" t="s">
        <v>74</v>
      </c>
      <c r="H558" t="s">
        <v>74</v>
      </c>
      <c r="I558" t="s">
        <v>10819</v>
      </c>
      <c r="J558" t="s">
        <v>3036</v>
      </c>
      <c r="K558" t="s">
        <v>74</v>
      </c>
      <c r="L558" t="s">
        <v>74</v>
      </c>
      <c r="M558" t="s">
        <v>78</v>
      </c>
      <c r="N558" t="s">
        <v>79</v>
      </c>
      <c r="O558" t="s">
        <v>74</v>
      </c>
      <c r="P558" t="s">
        <v>74</v>
      </c>
      <c r="Q558" t="s">
        <v>74</v>
      </c>
      <c r="R558" t="s">
        <v>74</v>
      </c>
      <c r="S558" t="s">
        <v>74</v>
      </c>
      <c r="T558" t="s">
        <v>74</v>
      </c>
      <c r="U558" t="s">
        <v>10820</v>
      </c>
      <c r="V558" t="s">
        <v>10821</v>
      </c>
      <c r="W558" t="s">
        <v>10822</v>
      </c>
      <c r="X558" t="s">
        <v>10823</v>
      </c>
      <c r="Y558" t="s">
        <v>10824</v>
      </c>
      <c r="Z558" t="s">
        <v>10825</v>
      </c>
      <c r="AA558" t="s">
        <v>10826</v>
      </c>
      <c r="AB558" t="s">
        <v>10827</v>
      </c>
      <c r="AC558" t="s">
        <v>10828</v>
      </c>
      <c r="AD558" t="s">
        <v>10829</v>
      </c>
      <c r="AE558" t="s">
        <v>10830</v>
      </c>
      <c r="AF558" t="s">
        <v>74</v>
      </c>
      <c r="AG558">
        <v>38</v>
      </c>
      <c r="AH558">
        <v>29</v>
      </c>
      <c r="AI558">
        <v>29</v>
      </c>
      <c r="AJ558">
        <v>0</v>
      </c>
      <c r="AK558">
        <v>20</v>
      </c>
      <c r="AL558" t="s">
        <v>397</v>
      </c>
      <c r="AM558" t="s">
        <v>398</v>
      </c>
      <c r="AN558" t="s">
        <v>3379</v>
      </c>
      <c r="AO558" t="s">
        <v>3048</v>
      </c>
      <c r="AP558" t="s">
        <v>3049</v>
      </c>
      <c r="AQ558" t="s">
        <v>74</v>
      </c>
      <c r="AR558" t="s">
        <v>3050</v>
      </c>
      <c r="AS558" t="s">
        <v>3051</v>
      </c>
      <c r="AT558" t="s">
        <v>9902</v>
      </c>
      <c r="AU558">
        <v>2016</v>
      </c>
      <c r="AV558">
        <v>29</v>
      </c>
      <c r="AW558">
        <v>15</v>
      </c>
      <c r="AX558" t="s">
        <v>74</v>
      </c>
      <c r="AY558" t="s">
        <v>74</v>
      </c>
      <c r="AZ558" t="s">
        <v>74</v>
      </c>
      <c r="BA558" t="s">
        <v>74</v>
      </c>
      <c r="BB558">
        <v>5575</v>
      </c>
      <c r="BC558">
        <v>5588</v>
      </c>
      <c r="BD558" t="s">
        <v>74</v>
      </c>
      <c r="BE558" t="s">
        <v>10831</v>
      </c>
      <c r="BF558" t="str">
        <f>HYPERLINK("http://dx.doi.org/10.1175/JCLI-D-15-0519.1","http://dx.doi.org/10.1175/JCLI-D-15-0519.1")</f>
        <v>http://dx.doi.org/10.1175/JCLI-D-15-0519.1</v>
      </c>
      <c r="BG558" t="s">
        <v>74</v>
      </c>
      <c r="BH558" t="s">
        <v>74</v>
      </c>
      <c r="BI558">
        <v>14</v>
      </c>
      <c r="BJ558" t="s">
        <v>2482</v>
      </c>
      <c r="BK558" t="s">
        <v>156</v>
      </c>
      <c r="BL558" t="s">
        <v>2482</v>
      </c>
      <c r="BM558" t="s">
        <v>10832</v>
      </c>
      <c r="BN558" t="s">
        <v>74</v>
      </c>
      <c r="BO558" t="s">
        <v>10833</v>
      </c>
      <c r="BP558" t="s">
        <v>74</v>
      </c>
      <c r="BQ558" t="s">
        <v>74</v>
      </c>
      <c r="BR558" t="s">
        <v>105</v>
      </c>
      <c r="BS558" t="s">
        <v>10834</v>
      </c>
      <c r="BT558" t="str">
        <f>HYPERLINK("https%3A%2F%2Fwww.webofscience.com%2Fwos%2Fwoscc%2Ffull-record%2FWOS:000380763500013","View Full Record in Web of Science")</f>
        <v>View Full Record in Web of Science</v>
      </c>
    </row>
    <row r="559" spans="1:72" x14ac:dyDescent="0.15">
      <c r="A559" t="s">
        <v>72</v>
      </c>
      <c r="B559" t="s">
        <v>10835</v>
      </c>
      <c r="C559" t="s">
        <v>74</v>
      </c>
      <c r="D559" t="s">
        <v>74</v>
      </c>
      <c r="E559" t="s">
        <v>74</v>
      </c>
      <c r="F559" t="s">
        <v>10836</v>
      </c>
      <c r="G559" t="s">
        <v>74</v>
      </c>
      <c r="H559" t="s">
        <v>74</v>
      </c>
      <c r="I559" t="s">
        <v>10837</v>
      </c>
      <c r="J559" t="s">
        <v>631</v>
      </c>
      <c r="K559" t="s">
        <v>74</v>
      </c>
      <c r="L559" t="s">
        <v>74</v>
      </c>
      <c r="M559" t="s">
        <v>78</v>
      </c>
      <c r="N559" t="s">
        <v>79</v>
      </c>
      <c r="O559" t="s">
        <v>74</v>
      </c>
      <c r="P559" t="s">
        <v>74</v>
      </c>
      <c r="Q559" t="s">
        <v>74</v>
      </c>
      <c r="R559" t="s">
        <v>74</v>
      </c>
      <c r="S559" t="s">
        <v>74</v>
      </c>
      <c r="T559" t="s">
        <v>10838</v>
      </c>
      <c r="U559" t="s">
        <v>10839</v>
      </c>
      <c r="V559" t="s">
        <v>10840</v>
      </c>
      <c r="W559" t="s">
        <v>10841</v>
      </c>
      <c r="X559" t="s">
        <v>10842</v>
      </c>
      <c r="Y559" t="s">
        <v>10843</v>
      </c>
      <c r="Z559" t="s">
        <v>946</v>
      </c>
      <c r="AA559" t="s">
        <v>10844</v>
      </c>
      <c r="AB559" t="s">
        <v>10845</v>
      </c>
      <c r="AC559" t="s">
        <v>10846</v>
      </c>
      <c r="AD559" t="s">
        <v>10847</v>
      </c>
      <c r="AE559" t="s">
        <v>10848</v>
      </c>
      <c r="AF559" t="s">
        <v>74</v>
      </c>
      <c r="AG559">
        <v>77</v>
      </c>
      <c r="AH559">
        <v>11</v>
      </c>
      <c r="AI559">
        <v>11</v>
      </c>
      <c r="AJ559">
        <v>2</v>
      </c>
      <c r="AK559">
        <v>14</v>
      </c>
      <c r="AL559" t="s">
        <v>644</v>
      </c>
      <c r="AM559" t="s">
        <v>594</v>
      </c>
      <c r="AN559" t="s">
        <v>3025</v>
      </c>
      <c r="AO559" t="s">
        <v>646</v>
      </c>
      <c r="AP559" t="s">
        <v>647</v>
      </c>
      <c r="AQ559" t="s">
        <v>74</v>
      </c>
      <c r="AR559" t="s">
        <v>648</v>
      </c>
      <c r="AS559" t="s">
        <v>649</v>
      </c>
      <c r="AT559" t="s">
        <v>9902</v>
      </c>
      <c r="AU559">
        <v>2016</v>
      </c>
      <c r="AV559">
        <v>39</v>
      </c>
      <c r="AW559">
        <v>8</v>
      </c>
      <c r="AX559" t="s">
        <v>74</v>
      </c>
      <c r="AY559" t="s">
        <v>74</v>
      </c>
      <c r="AZ559" t="s">
        <v>74</v>
      </c>
      <c r="BA559" t="s">
        <v>74</v>
      </c>
      <c r="BB559">
        <v>1369</v>
      </c>
      <c r="BC559">
        <v>1379</v>
      </c>
      <c r="BD559" t="s">
        <v>74</v>
      </c>
      <c r="BE559" t="s">
        <v>10849</v>
      </c>
      <c r="BF559" t="str">
        <f>HYPERLINK("http://dx.doi.org/10.1007/s00300-015-1859-9","http://dx.doi.org/10.1007/s00300-015-1859-9")</f>
        <v>http://dx.doi.org/10.1007/s00300-015-1859-9</v>
      </c>
      <c r="BG559" t="s">
        <v>74</v>
      </c>
      <c r="BH559" t="s">
        <v>74</v>
      </c>
      <c r="BI559">
        <v>11</v>
      </c>
      <c r="BJ559" t="s">
        <v>652</v>
      </c>
      <c r="BK559" t="s">
        <v>156</v>
      </c>
      <c r="BL559" t="s">
        <v>653</v>
      </c>
      <c r="BM559" t="s">
        <v>9904</v>
      </c>
      <c r="BN559" t="s">
        <v>74</v>
      </c>
      <c r="BO559" t="s">
        <v>74</v>
      </c>
      <c r="BP559" t="s">
        <v>74</v>
      </c>
      <c r="BQ559" t="s">
        <v>74</v>
      </c>
      <c r="BR559" t="s">
        <v>105</v>
      </c>
      <c r="BS559" t="s">
        <v>10850</v>
      </c>
      <c r="BT559" t="str">
        <f>HYPERLINK("https%3A%2F%2Fwww.webofscience.com%2Fwos%2Fwoscc%2Ffull-record%2FWOS:000381405400002","View Full Record in Web of Science")</f>
        <v>View Full Record in Web of Science</v>
      </c>
    </row>
    <row r="560" spans="1:72" x14ac:dyDescent="0.15">
      <c r="A560" t="s">
        <v>72</v>
      </c>
      <c r="B560" t="s">
        <v>10851</v>
      </c>
      <c r="C560" t="s">
        <v>74</v>
      </c>
      <c r="D560" t="s">
        <v>74</v>
      </c>
      <c r="E560" t="s">
        <v>74</v>
      </c>
      <c r="F560" t="s">
        <v>10852</v>
      </c>
      <c r="G560" t="s">
        <v>74</v>
      </c>
      <c r="H560" t="s">
        <v>74</v>
      </c>
      <c r="I560" t="s">
        <v>10853</v>
      </c>
      <c r="J560" t="s">
        <v>631</v>
      </c>
      <c r="K560" t="s">
        <v>74</v>
      </c>
      <c r="L560" t="s">
        <v>74</v>
      </c>
      <c r="M560" t="s">
        <v>78</v>
      </c>
      <c r="N560" t="s">
        <v>79</v>
      </c>
      <c r="O560" t="s">
        <v>74</v>
      </c>
      <c r="P560" t="s">
        <v>74</v>
      </c>
      <c r="Q560" t="s">
        <v>74</v>
      </c>
      <c r="R560" t="s">
        <v>74</v>
      </c>
      <c r="S560" t="s">
        <v>74</v>
      </c>
      <c r="T560" t="s">
        <v>10854</v>
      </c>
      <c r="U560" t="s">
        <v>10855</v>
      </c>
      <c r="V560" t="s">
        <v>10856</v>
      </c>
      <c r="W560" t="s">
        <v>10857</v>
      </c>
      <c r="X560" t="s">
        <v>10858</v>
      </c>
      <c r="Y560" t="s">
        <v>10859</v>
      </c>
      <c r="Z560" t="s">
        <v>10860</v>
      </c>
      <c r="AA560" t="s">
        <v>74</v>
      </c>
      <c r="AB560" t="s">
        <v>74</v>
      </c>
      <c r="AC560" t="s">
        <v>74</v>
      </c>
      <c r="AD560" t="s">
        <v>74</v>
      </c>
      <c r="AE560" t="s">
        <v>74</v>
      </c>
      <c r="AF560" t="s">
        <v>74</v>
      </c>
      <c r="AG560">
        <v>35</v>
      </c>
      <c r="AH560">
        <v>6</v>
      </c>
      <c r="AI560">
        <v>8</v>
      </c>
      <c r="AJ560">
        <v>0</v>
      </c>
      <c r="AK560">
        <v>10</v>
      </c>
      <c r="AL560" t="s">
        <v>644</v>
      </c>
      <c r="AM560" t="s">
        <v>594</v>
      </c>
      <c r="AN560" t="s">
        <v>3025</v>
      </c>
      <c r="AO560" t="s">
        <v>646</v>
      </c>
      <c r="AP560" t="s">
        <v>647</v>
      </c>
      <c r="AQ560" t="s">
        <v>74</v>
      </c>
      <c r="AR560" t="s">
        <v>648</v>
      </c>
      <c r="AS560" t="s">
        <v>649</v>
      </c>
      <c r="AT560" t="s">
        <v>9902</v>
      </c>
      <c r="AU560">
        <v>2016</v>
      </c>
      <c r="AV560">
        <v>39</v>
      </c>
      <c r="AW560">
        <v>8</v>
      </c>
      <c r="AX560" t="s">
        <v>74</v>
      </c>
      <c r="AY560" t="s">
        <v>74</v>
      </c>
      <c r="AZ560" t="s">
        <v>74</v>
      </c>
      <c r="BA560" t="s">
        <v>74</v>
      </c>
      <c r="BB560">
        <v>1491</v>
      </c>
      <c r="BC560">
        <v>1497</v>
      </c>
      <c r="BD560" t="s">
        <v>74</v>
      </c>
      <c r="BE560" t="s">
        <v>10861</v>
      </c>
      <c r="BF560" t="str">
        <f>HYPERLINK("http://dx.doi.org/10.1007/s00300-015-1850-5","http://dx.doi.org/10.1007/s00300-015-1850-5")</f>
        <v>http://dx.doi.org/10.1007/s00300-015-1850-5</v>
      </c>
      <c r="BG560" t="s">
        <v>74</v>
      </c>
      <c r="BH560" t="s">
        <v>74</v>
      </c>
      <c r="BI560">
        <v>7</v>
      </c>
      <c r="BJ560" t="s">
        <v>652</v>
      </c>
      <c r="BK560" t="s">
        <v>156</v>
      </c>
      <c r="BL560" t="s">
        <v>653</v>
      </c>
      <c r="BM560" t="s">
        <v>9904</v>
      </c>
      <c r="BN560" t="s">
        <v>74</v>
      </c>
      <c r="BO560" t="s">
        <v>74</v>
      </c>
      <c r="BP560" t="s">
        <v>74</v>
      </c>
      <c r="BQ560" t="s">
        <v>74</v>
      </c>
      <c r="BR560" t="s">
        <v>105</v>
      </c>
      <c r="BS560" t="s">
        <v>10862</v>
      </c>
      <c r="BT560" t="str">
        <f>HYPERLINK("https%3A%2F%2Fwww.webofscience.com%2Fwos%2Fwoscc%2Ffull-record%2FWOS:000381405400011","View Full Record in Web of Science")</f>
        <v>View Full Record in Web of Science</v>
      </c>
    </row>
    <row r="561" spans="1:72" x14ac:dyDescent="0.15">
      <c r="A561" t="s">
        <v>72</v>
      </c>
      <c r="B561" t="s">
        <v>10863</v>
      </c>
      <c r="C561" t="s">
        <v>74</v>
      </c>
      <c r="D561" t="s">
        <v>74</v>
      </c>
      <c r="E561" t="s">
        <v>74</v>
      </c>
      <c r="F561" t="s">
        <v>10864</v>
      </c>
      <c r="G561" t="s">
        <v>74</v>
      </c>
      <c r="H561" t="s">
        <v>74</v>
      </c>
      <c r="I561" t="s">
        <v>10865</v>
      </c>
      <c r="J561" t="s">
        <v>631</v>
      </c>
      <c r="K561" t="s">
        <v>74</v>
      </c>
      <c r="L561" t="s">
        <v>74</v>
      </c>
      <c r="M561" t="s">
        <v>78</v>
      </c>
      <c r="N561" t="s">
        <v>79</v>
      </c>
      <c r="O561" t="s">
        <v>74</v>
      </c>
      <c r="P561" t="s">
        <v>74</v>
      </c>
      <c r="Q561" t="s">
        <v>74</v>
      </c>
      <c r="R561" t="s">
        <v>74</v>
      </c>
      <c r="S561" t="s">
        <v>74</v>
      </c>
      <c r="T561" t="s">
        <v>10866</v>
      </c>
      <c r="U561" t="s">
        <v>10867</v>
      </c>
      <c r="V561" t="s">
        <v>10868</v>
      </c>
      <c r="W561" t="s">
        <v>10869</v>
      </c>
      <c r="X561" t="s">
        <v>10870</v>
      </c>
      <c r="Y561" t="s">
        <v>10871</v>
      </c>
      <c r="Z561" t="s">
        <v>10872</v>
      </c>
      <c r="AA561" t="s">
        <v>74</v>
      </c>
      <c r="AB561" t="s">
        <v>74</v>
      </c>
      <c r="AC561" t="s">
        <v>74</v>
      </c>
      <c r="AD561" t="s">
        <v>74</v>
      </c>
      <c r="AE561" t="s">
        <v>74</v>
      </c>
      <c r="AF561" t="s">
        <v>74</v>
      </c>
      <c r="AG561">
        <v>25</v>
      </c>
      <c r="AH561">
        <v>3</v>
      </c>
      <c r="AI561">
        <v>4</v>
      </c>
      <c r="AJ561">
        <v>0</v>
      </c>
      <c r="AK561">
        <v>29</v>
      </c>
      <c r="AL561" t="s">
        <v>644</v>
      </c>
      <c r="AM561" t="s">
        <v>594</v>
      </c>
      <c r="AN561" t="s">
        <v>3025</v>
      </c>
      <c r="AO561" t="s">
        <v>646</v>
      </c>
      <c r="AP561" t="s">
        <v>647</v>
      </c>
      <c r="AQ561" t="s">
        <v>74</v>
      </c>
      <c r="AR561" t="s">
        <v>648</v>
      </c>
      <c r="AS561" t="s">
        <v>649</v>
      </c>
      <c r="AT561" t="s">
        <v>9902</v>
      </c>
      <c r="AU561">
        <v>2016</v>
      </c>
      <c r="AV561">
        <v>39</v>
      </c>
      <c r="AW561">
        <v>8</v>
      </c>
      <c r="AX561" t="s">
        <v>74</v>
      </c>
      <c r="AY561" t="s">
        <v>74</v>
      </c>
      <c r="AZ561" t="s">
        <v>74</v>
      </c>
      <c r="BA561" t="s">
        <v>74</v>
      </c>
      <c r="BB561">
        <v>1499</v>
      </c>
      <c r="BC561">
        <v>1503</v>
      </c>
      <c r="BD561" t="s">
        <v>74</v>
      </c>
      <c r="BE561" t="s">
        <v>10873</v>
      </c>
      <c r="BF561" t="str">
        <f>HYPERLINK("http://dx.doi.org/10.1007/s00300-015-1863-0","http://dx.doi.org/10.1007/s00300-015-1863-0")</f>
        <v>http://dx.doi.org/10.1007/s00300-015-1863-0</v>
      </c>
      <c r="BG561" t="s">
        <v>74</v>
      </c>
      <c r="BH561" t="s">
        <v>74</v>
      </c>
      <c r="BI561">
        <v>5</v>
      </c>
      <c r="BJ561" t="s">
        <v>652</v>
      </c>
      <c r="BK561" t="s">
        <v>156</v>
      </c>
      <c r="BL561" t="s">
        <v>653</v>
      </c>
      <c r="BM561" t="s">
        <v>9904</v>
      </c>
      <c r="BN561" t="s">
        <v>74</v>
      </c>
      <c r="BO561" t="s">
        <v>3054</v>
      </c>
      <c r="BP561" t="s">
        <v>74</v>
      </c>
      <c r="BQ561" t="s">
        <v>74</v>
      </c>
      <c r="BR561" t="s">
        <v>105</v>
      </c>
      <c r="BS561" t="s">
        <v>10874</v>
      </c>
      <c r="BT561" t="str">
        <f>HYPERLINK("https%3A%2F%2Fwww.webofscience.com%2Fwos%2Fwoscc%2Ffull-record%2FWOS:000381405400012","View Full Record in Web of Science")</f>
        <v>View Full Record in Web of Science</v>
      </c>
    </row>
    <row r="562" spans="1:72" x14ac:dyDescent="0.15">
      <c r="A562" t="s">
        <v>72</v>
      </c>
      <c r="B562" t="s">
        <v>10875</v>
      </c>
      <c r="C562" t="s">
        <v>74</v>
      </c>
      <c r="D562" t="s">
        <v>74</v>
      </c>
      <c r="E562" t="s">
        <v>74</v>
      </c>
      <c r="F562" t="s">
        <v>10876</v>
      </c>
      <c r="G562" t="s">
        <v>74</v>
      </c>
      <c r="H562" t="s">
        <v>74</v>
      </c>
      <c r="I562" t="s">
        <v>10877</v>
      </c>
      <c r="J562" t="s">
        <v>631</v>
      </c>
      <c r="K562" t="s">
        <v>74</v>
      </c>
      <c r="L562" t="s">
        <v>74</v>
      </c>
      <c r="M562" t="s">
        <v>78</v>
      </c>
      <c r="N562" t="s">
        <v>79</v>
      </c>
      <c r="O562" t="s">
        <v>74</v>
      </c>
      <c r="P562" t="s">
        <v>74</v>
      </c>
      <c r="Q562" t="s">
        <v>74</v>
      </c>
      <c r="R562" t="s">
        <v>74</v>
      </c>
      <c r="S562" t="s">
        <v>74</v>
      </c>
      <c r="T562" t="s">
        <v>10878</v>
      </c>
      <c r="U562" t="s">
        <v>74</v>
      </c>
      <c r="V562" t="s">
        <v>10879</v>
      </c>
      <c r="W562" t="s">
        <v>10880</v>
      </c>
      <c r="X562" t="s">
        <v>74</v>
      </c>
      <c r="Y562" t="s">
        <v>10881</v>
      </c>
      <c r="Z562" t="s">
        <v>10882</v>
      </c>
      <c r="AA562" t="s">
        <v>74</v>
      </c>
      <c r="AB562" t="s">
        <v>74</v>
      </c>
      <c r="AC562" t="s">
        <v>74</v>
      </c>
      <c r="AD562" t="s">
        <v>74</v>
      </c>
      <c r="AE562" t="s">
        <v>74</v>
      </c>
      <c r="AF562" t="s">
        <v>74</v>
      </c>
      <c r="AG562">
        <v>16</v>
      </c>
      <c r="AH562">
        <v>2</v>
      </c>
      <c r="AI562">
        <v>2</v>
      </c>
      <c r="AJ562">
        <v>0</v>
      </c>
      <c r="AK562">
        <v>7</v>
      </c>
      <c r="AL562" t="s">
        <v>644</v>
      </c>
      <c r="AM562" t="s">
        <v>594</v>
      </c>
      <c r="AN562" t="s">
        <v>3025</v>
      </c>
      <c r="AO562" t="s">
        <v>646</v>
      </c>
      <c r="AP562" t="s">
        <v>647</v>
      </c>
      <c r="AQ562" t="s">
        <v>74</v>
      </c>
      <c r="AR562" t="s">
        <v>648</v>
      </c>
      <c r="AS562" t="s">
        <v>649</v>
      </c>
      <c r="AT562" t="s">
        <v>9902</v>
      </c>
      <c r="AU562">
        <v>2016</v>
      </c>
      <c r="AV562">
        <v>39</v>
      </c>
      <c r="AW562">
        <v>8</v>
      </c>
      <c r="AX562" t="s">
        <v>74</v>
      </c>
      <c r="AY562" t="s">
        <v>74</v>
      </c>
      <c r="AZ562" t="s">
        <v>74</v>
      </c>
      <c r="BA562" t="s">
        <v>74</v>
      </c>
      <c r="BB562">
        <v>1505</v>
      </c>
      <c r="BC562">
        <v>1510</v>
      </c>
      <c r="BD562" t="s">
        <v>74</v>
      </c>
      <c r="BE562" t="s">
        <v>10883</v>
      </c>
      <c r="BF562" t="str">
        <f>HYPERLINK("http://dx.doi.org/10.1007/s00300-015-1864-z","http://dx.doi.org/10.1007/s00300-015-1864-z")</f>
        <v>http://dx.doi.org/10.1007/s00300-015-1864-z</v>
      </c>
      <c r="BG562" t="s">
        <v>74</v>
      </c>
      <c r="BH562" t="s">
        <v>74</v>
      </c>
      <c r="BI562">
        <v>6</v>
      </c>
      <c r="BJ562" t="s">
        <v>652</v>
      </c>
      <c r="BK562" t="s">
        <v>156</v>
      </c>
      <c r="BL562" t="s">
        <v>653</v>
      </c>
      <c r="BM562" t="s">
        <v>9904</v>
      </c>
      <c r="BN562" t="s">
        <v>74</v>
      </c>
      <c r="BO562" t="s">
        <v>74</v>
      </c>
      <c r="BP562" t="s">
        <v>74</v>
      </c>
      <c r="BQ562" t="s">
        <v>74</v>
      </c>
      <c r="BR562" t="s">
        <v>105</v>
      </c>
      <c r="BS562" t="s">
        <v>10884</v>
      </c>
      <c r="BT562" t="str">
        <f>HYPERLINK("https%3A%2F%2Fwww.webofscience.com%2Fwos%2Fwoscc%2Ffull-record%2FWOS:000381405400013","View Full Record in Web of Science")</f>
        <v>View Full Record in Web of Science</v>
      </c>
    </row>
    <row r="563" spans="1:72" x14ac:dyDescent="0.15">
      <c r="A563" t="s">
        <v>72</v>
      </c>
      <c r="B563" t="s">
        <v>10885</v>
      </c>
      <c r="C563" t="s">
        <v>74</v>
      </c>
      <c r="D563" t="s">
        <v>74</v>
      </c>
      <c r="E563" t="s">
        <v>74</v>
      </c>
      <c r="F563" t="s">
        <v>10886</v>
      </c>
      <c r="G563" t="s">
        <v>74</v>
      </c>
      <c r="H563" t="s">
        <v>74</v>
      </c>
      <c r="I563" t="s">
        <v>10887</v>
      </c>
      <c r="J563" t="s">
        <v>10888</v>
      </c>
      <c r="K563" t="s">
        <v>74</v>
      </c>
      <c r="L563" t="s">
        <v>74</v>
      </c>
      <c r="M563" t="s">
        <v>78</v>
      </c>
      <c r="N563" t="s">
        <v>317</v>
      </c>
      <c r="O563" t="s">
        <v>74</v>
      </c>
      <c r="P563" t="s">
        <v>74</v>
      </c>
      <c r="Q563" t="s">
        <v>74</v>
      </c>
      <c r="R563" t="s">
        <v>74</v>
      </c>
      <c r="S563" t="s">
        <v>74</v>
      </c>
      <c r="T563" t="s">
        <v>74</v>
      </c>
      <c r="U563" t="s">
        <v>10889</v>
      </c>
      <c r="V563" t="s">
        <v>10890</v>
      </c>
      <c r="W563" t="s">
        <v>10891</v>
      </c>
      <c r="X563" t="s">
        <v>10892</v>
      </c>
      <c r="Y563" t="s">
        <v>10893</v>
      </c>
      <c r="Z563" t="s">
        <v>10894</v>
      </c>
      <c r="AA563" t="s">
        <v>10895</v>
      </c>
      <c r="AB563" t="s">
        <v>10896</v>
      </c>
      <c r="AC563" t="s">
        <v>10897</v>
      </c>
      <c r="AD563" t="s">
        <v>10898</v>
      </c>
      <c r="AE563" t="s">
        <v>10899</v>
      </c>
      <c r="AF563" t="s">
        <v>74</v>
      </c>
      <c r="AG563">
        <v>67</v>
      </c>
      <c r="AH563">
        <v>52</v>
      </c>
      <c r="AI563">
        <v>52</v>
      </c>
      <c r="AJ563">
        <v>2</v>
      </c>
      <c r="AK563">
        <v>51</v>
      </c>
      <c r="AL563" t="s">
        <v>303</v>
      </c>
      <c r="AM563" t="s">
        <v>304</v>
      </c>
      <c r="AN563" t="s">
        <v>305</v>
      </c>
      <c r="AO563" t="s">
        <v>10900</v>
      </c>
      <c r="AP563" t="s">
        <v>74</v>
      </c>
      <c r="AQ563" t="s">
        <v>74</v>
      </c>
      <c r="AR563" t="s">
        <v>10901</v>
      </c>
      <c r="AS563" t="s">
        <v>10902</v>
      </c>
      <c r="AT563" t="s">
        <v>9902</v>
      </c>
      <c r="AU563">
        <v>2016</v>
      </c>
      <c r="AV563">
        <v>146</v>
      </c>
      <c r="AW563" t="s">
        <v>74</v>
      </c>
      <c r="AX563" t="s">
        <v>74</v>
      </c>
      <c r="AY563" t="s">
        <v>74</v>
      </c>
      <c r="AZ563" t="s">
        <v>74</v>
      </c>
      <c r="BA563" t="s">
        <v>74</v>
      </c>
      <c r="BB563">
        <v>212</v>
      </c>
      <c r="BC563">
        <v>222</v>
      </c>
      <c r="BD563" t="s">
        <v>74</v>
      </c>
      <c r="BE563" t="s">
        <v>10903</v>
      </c>
      <c r="BF563" t="str">
        <f>HYPERLINK("http://dx.doi.org/10.1016/j.pocean.2016.07.007","http://dx.doi.org/10.1016/j.pocean.2016.07.007")</f>
        <v>http://dx.doi.org/10.1016/j.pocean.2016.07.007</v>
      </c>
      <c r="BG563" t="s">
        <v>74</v>
      </c>
      <c r="BH563" t="s">
        <v>74</v>
      </c>
      <c r="BI563">
        <v>11</v>
      </c>
      <c r="BJ563" t="s">
        <v>405</v>
      </c>
      <c r="BK563" t="s">
        <v>156</v>
      </c>
      <c r="BL563" t="s">
        <v>405</v>
      </c>
      <c r="BM563" t="s">
        <v>10904</v>
      </c>
      <c r="BN563" t="s">
        <v>74</v>
      </c>
      <c r="BO563" t="s">
        <v>74</v>
      </c>
      <c r="BP563" t="s">
        <v>74</v>
      </c>
      <c r="BQ563" t="s">
        <v>74</v>
      </c>
      <c r="BR563" t="s">
        <v>105</v>
      </c>
      <c r="BS563" t="s">
        <v>10905</v>
      </c>
      <c r="BT563" t="str">
        <f>HYPERLINK("https%3A%2F%2Fwww.webofscience.com%2Fwos%2Fwoscc%2Ffull-record%2FWOS:000382341800013","View Full Record in Web of Science")</f>
        <v>View Full Record in Web of Science</v>
      </c>
    </row>
    <row r="564" spans="1:72" x14ac:dyDescent="0.15">
      <c r="A564" t="s">
        <v>72</v>
      </c>
      <c r="B564" t="s">
        <v>10906</v>
      </c>
      <c r="C564" t="s">
        <v>74</v>
      </c>
      <c r="D564" t="s">
        <v>74</v>
      </c>
      <c r="E564" t="s">
        <v>74</v>
      </c>
      <c r="F564" t="s">
        <v>10907</v>
      </c>
      <c r="G564" t="s">
        <v>74</v>
      </c>
      <c r="H564" t="s">
        <v>74</v>
      </c>
      <c r="I564" t="s">
        <v>10908</v>
      </c>
      <c r="J564" t="s">
        <v>2554</v>
      </c>
      <c r="K564" t="s">
        <v>74</v>
      </c>
      <c r="L564" t="s">
        <v>74</v>
      </c>
      <c r="M564" t="s">
        <v>78</v>
      </c>
      <c r="N564" t="s">
        <v>79</v>
      </c>
      <c r="O564" t="s">
        <v>74</v>
      </c>
      <c r="P564" t="s">
        <v>74</v>
      </c>
      <c r="Q564" t="s">
        <v>74</v>
      </c>
      <c r="R564" t="s">
        <v>74</v>
      </c>
      <c r="S564" t="s">
        <v>74</v>
      </c>
      <c r="T564" t="s">
        <v>10909</v>
      </c>
      <c r="U564" t="s">
        <v>10910</v>
      </c>
      <c r="V564" t="s">
        <v>10911</v>
      </c>
      <c r="W564" t="s">
        <v>10912</v>
      </c>
      <c r="X564" t="s">
        <v>10913</v>
      </c>
      <c r="Y564" t="s">
        <v>10914</v>
      </c>
      <c r="Z564" t="s">
        <v>10915</v>
      </c>
      <c r="AA564" t="s">
        <v>10916</v>
      </c>
      <c r="AB564" t="s">
        <v>10917</v>
      </c>
      <c r="AC564" t="s">
        <v>10918</v>
      </c>
      <c r="AD564" t="s">
        <v>10919</v>
      </c>
      <c r="AE564" t="s">
        <v>10920</v>
      </c>
      <c r="AF564" t="s">
        <v>74</v>
      </c>
      <c r="AG564">
        <v>30</v>
      </c>
      <c r="AH564">
        <v>5</v>
      </c>
      <c r="AI564">
        <v>5</v>
      </c>
      <c r="AJ564">
        <v>1</v>
      </c>
      <c r="AK564">
        <v>18</v>
      </c>
      <c r="AL564" t="s">
        <v>4320</v>
      </c>
      <c r="AM564" t="s">
        <v>2567</v>
      </c>
      <c r="AN564" t="s">
        <v>2568</v>
      </c>
      <c r="AO564" t="s">
        <v>2569</v>
      </c>
      <c r="AP564" t="s">
        <v>74</v>
      </c>
      <c r="AQ564" t="s">
        <v>74</v>
      </c>
      <c r="AR564" t="s">
        <v>2570</v>
      </c>
      <c r="AS564" t="s">
        <v>2571</v>
      </c>
      <c r="AT564" t="s">
        <v>9902</v>
      </c>
      <c r="AU564">
        <v>2016</v>
      </c>
      <c r="AV564">
        <v>8</v>
      </c>
      <c r="AW564">
        <v>8</v>
      </c>
      <c r="AX564" t="s">
        <v>74</v>
      </c>
      <c r="AY564" t="s">
        <v>74</v>
      </c>
      <c r="AZ564" t="s">
        <v>74</v>
      </c>
      <c r="BA564" t="s">
        <v>74</v>
      </c>
      <c r="BB564" t="s">
        <v>74</v>
      </c>
      <c r="BC564" t="s">
        <v>74</v>
      </c>
      <c r="BD564">
        <v>667</v>
      </c>
      <c r="BE564" t="s">
        <v>10921</v>
      </c>
      <c r="BF564" t="str">
        <f>HYPERLINK("http://dx.doi.org/10.3390/rs8080667","http://dx.doi.org/10.3390/rs8080667")</f>
        <v>http://dx.doi.org/10.3390/rs8080667</v>
      </c>
      <c r="BG564" t="s">
        <v>74</v>
      </c>
      <c r="BH564" t="s">
        <v>74</v>
      </c>
      <c r="BI564">
        <v>11</v>
      </c>
      <c r="BJ564" t="s">
        <v>2573</v>
      </c>
      <c r="BK564" t="s">
        <v>156</v>
      </c>
      <c r="BL564" t="s">
        <v>2574</v>
      </c>
      <c r="BM564" t="s">
        <v>10922</v>
      </c>
      <c r="BN564" t="s">
        <v>74</v>
      </c>
      <c r="BO564" t="s">
        <v>1339</v>
      </c>
      <c r="BP564" t="s">
        <v>74</v>
      </c>
      <c r="BQ564" t="s">
        <v>74</v>
      </c>
      <c r="BR564" t="s">
        <v>105</v>
      </c>
      <c r="BS564" t="s">
        <v>10923</v>
      </c>
      <c r="BT564" t="str">
        <f>HYPERLINK("https%3A%2F%2Fwww.webofscience.com%2Fwos%2Fwoscc%2Ffull-record%2FWOS:000382458700054","View Full Record in Web of Science")</f>
        <v>View Full Record in Web of Science</v>
      </c>
    </row>
    <row r="565" spans="1:72" x14ac:dyDescent="0.15">
      <c r="A565" t="s">
        <v>72</v>
      </c>
      <c r="B565" t="s">
        <v>10924</v>
      </c>
      <c r="C565" t="s">
        <v>74</v>
      </c>
      <c r="D565" t="s">
        <v>74</v>
      </c>
      <c r="E565" t="s">
        <v>74</v>
      </c>
      <c r="F565" t="s">
        <v>10925</v>
      </c>
      <c r="G565" t="s">
        <v>74</v>
      </c>
      <c r="H565" t="s">
        <v>74</v>
      </c>
      <c r="I565" t="s">
        <v>10926</v>
      </c>
      <c r="J565" t="s">
        <v>2554</v>
      </c>
      <c r="K565" t="s">
        <v>74</v>
      </c>
      <c r="L565" t="s">
        <v>74</v>
      </c>
      <c r="M565" t="s">
        <v>78</v>
      </c>
      <c r="N565" t="s">
        <v>79</v>
      </c>
      <c r="O565" t="s">
        <v>74</v>
      </c>
      <c r="P565" t="s">
        <v>74</v>
      </c>
      <c r="Q565" t="s">
        <v>74</v>
      </c>
      <c r="R565" t="s">
        <v>74</v>
      </c>
      <c r="S565" t="s">
        <v>74</v>
      </c>
      <c r="T565" t="s">
        <v>10927</v>
      </c>
      <c r="U565" t="s">
        <v>10928</v>
      </c>
      <c r="V565" t="s">
        <v>10929</v>
      </c>
      <c r="W565" t="s">
        <v>10930</v>
      </c>
      <c r="X565" t="s">
        <v>10931</v>
      </c>
      <c r="Y565" t="s">
        <v>10932</v>
      </c>
      <c r="Z565" t="s">
        <v>10933</v>
      </c>
      <c r="AA565" t="s">
        <v>10934</v>
      </c>
      <c r="AB565" t="s">
        <v>10935</v>
      </c>
      <c r="AC565" t="s">
        <v>10936</v>
      </c>
      <c r="AD565" t="s">
        <v>10937</v>
      </c>
      <c r="AE565" t="s">
        <v>10938</v>
      </c>
      <c r="AF565" t="s">
        <v>74</v>
      </c>
      <c r="AG565">
        <v>36</v>
      </c>
      <c r="AH565">
        <v>15</v>
      </c>
      <c r="AI565">
        <v>17</v>
      </c>
      <c r="AJ565">
        <v>1</v>
      </c>
      <c r="AK565">
        <v>37</v>
      </c>
      <c r="AL565" t="s">
        <v>4320</v>
      </c>
      <c r="AM565" t="s">
        <v>2567</v>
      </c>
      <c r="AN565" t="s">
        <v>2568</v>
      </c>
      <c r="AO565" t="s">
        <v>2569</v>
      </c>
      <c r="AP565" t="s">
        <v>74</v>
      </c>
      <c r="AQ565" t="s">
        <v>74</v>
      </c>
      <c r="AR565" t="s">
        <v>2570</v>
      </c>
      <c r="AS565" t="s">
        <v>2571</v>
      </c>
      <c r="AT565" t="s">
        <v>9902</v>
      </c>
      <c r="AU565">
        <v>2016</v>
      </c>
      <c r="AV565">
        <v>8</v>
      </c>
      <c r="AW565">
        <v>8</v>
      </c>
      <c r="AX565" t="s">
        <v>74</v>
      </c>
      <c r="AY565" t="s">
        <v>74</v>
      </c>
      <c r="AZ565" t="s">
        <v>74</v>
      </c>
      <c r="BA565" t="s">
        <v>74</v>
      </c>
      <c r="BB565" t="s">
        <v>74</v>
      </c>
      <c r="BC565" t="s">
        <v>74</v>
      </c>
      <c r="BD565">
        <v>688</v>
      </c>
      <c r="BE565" t="s">
        <v>10939</v>
      </c>
      <c r="BF565" t="str">
        <f>HYPERLINK("http://dx.doi.org/10.3390/rs8080688","http://dx.doi.org/10.3390/rs8080688")</f>
        <v>http://dx.doi.org/10.3390/rs8080688</v>
      </c>
      <c r="BG565" t="s">
        <v>74</v>
      </c>
      <c r="BH565" t="s">
        <v>74</v>
      </c>
      <c r="BI565">
        <v>15</v>
      </c>
      <c r="BJ565" t="s">
        <v>2573</v>
      </c>
      <c r="BK565" t="s">
        <v>156</v>
      </c>
      <c r="BL565" t="s">
        <v>2574</v>
      </c>
      <c r="BM565" t="s">
        <v>10922</v>
      </c>
      <c r="BN565" t="s">
        <v>74</v>
      </c>
      <c r="BO565" t="s">
        <v>1339</v>
      </c>
      <c r="BP565" t="s">
        <v>74</v>
      </c>
      <c r="BQ565" t="s">
        <v>74</v>
      </c>
      <c r="BR565" t="s">
        <v>105</v>
      </c>
      <c r="BS565" t="s">
        <v>10940</v>
      </c>
      <c r="BT565" t="str">
        <f>HYPERLINK("https%3A%2F%2Fwww.webofscience.com%2Fwos%2Fwoscc%2Ffull-record%2FWOS:000382458700074","View Full Record in Web of Science")</f>
        <v>View Full Record in Web of Science</v>
      </c>
    </row>
    <row r="566" spans="1:72" x14ac:dyDescent="0.15">
      <c r="A566" t="s">
        <v>72</v>
      </c>
      <c r="B566" t="s">
        <v>10941</v>
      </c>
      <c r="C566" t="s">
        <v>74</v>
      </c>
      <c r="D566" t="s">
        <v>74</v>
      </c>
      <c r="E566" t="s">
        <v>74</v>
      </c>
      <c r="F566" t="s">
        <v>10942</v>
      </c>
      <c r="G566" t="s">
        <v>74</v>
      </c>
      <c r="H566" t="s">
        <v>74</v>
      </c>
      <c r="I566" t="s">
        <v>10943</v>
      </c>
      <c r="J566" t="s">
        <v>10944</v>
      </c>
      <c r="K566" t="s">
        <v>74</v>
      </c>
      <c r="L566" t="s">
        <v>74</v>
      </c>
      <c r="M566" t="s">
        <v>78</v>
      </c>
      <c r="N566" t="s">
        <v>79</v>
      </c>
      <c r="O566" t="s">
        <v>74</v>
      </c>
      <c r="P566" t="s">
        <v>74</v>
      </c>
      <c r="Q566" t="s">
        <v>74</v>
      </c>
      <c r="R566" t="s">
        <v>74</v>
      </c>
      <c r="S566" t="s">
        <v>74</v>
      </c>
      <c r="T566" t="s">
        <v>10945</v>
      </c>
      <c r="U566" t="s">
        <v>10946</v>
      </c>
      <c r="V566" t="s">
        <v>10947</v>
      </c>
      <c r="W566" t="s">
        <v>10948</v>
      </c>
      <c r="X566" t="s">
        <v>10949</v>
      </c>
      <c r="Y566" t="s">
        <v>10950</v>
      </c>
      <c r="Z566" t="s">
        <v>10951</v>
      </c>
      <c r="AA566" t="s">
        <v>10952</v>
      </c>
      <c r="AB566" t="s">
        <v>74</v>
      </c>
      <c r="AC566" t="s">
        <v>10953</v>
      </c>
      <c r="AD566" t="s">
        <v>10954</v>
      </c>
      <c r="AE566" t="s">
        <v>10955</v>
      </c>
      <c r="AF566" t="s">
        <v>74</v>
      </c>
      <c r="AG566">
        <v>16</v>
      </c>
      <c r="AH566">
        <v>0</v>
      </c>
      <c r="AI566">
        <v>0</v>
      </c>
      <c r="AJ566">
        <v>1</v>
      </c>
      <c r="AK566">
        <v>23</v>
      </c>
      <c r="AL566" t="s">
        <v>10956</v>
      </c>
      <c r="AM566" t="s">
        <v>7120</v>
      </c>
      <c r="AN566" t="s">
        <v>10957</v>
      </c>
      <c r="AO566" t="s">
        <v>10958</v>
      </c>
      <c r="AP566" t="s">
        <v>74</v>
      </c>
      <c r="AQ566" t="s">
        <v>74</v>
      </c>
      <c r="AR566" t="s">
        <v>10959</v>
      </c>
      <c r="AS566" t="s">
        <v>10960</v>
      </c>
      <c r="AT566" t="s">
        <v>9902</v>
      </c>
      <c r="AU566">
        <v>2016</v>
      </c>
      <c r="AV566">
        <v>16</v>
      </c>
      <c r="AW566">
        <v>8</v>
      </c>
      <c r="AX566" t="s">
        <v>74</v>
      </c>
      <c r="AY566" t="s">
        <v>74</v>
      </c>
      <c r="AZ566" t="s">
        <v>74</v>
      </c>
      <c r="BA566" t="s">
        <v>74</v>
      </c>
      <c r="BB566">
        <v>123</v>
      </c>
      <c r="BC566" t="s">
        <v>10961</v>
      </c>
      <c r="BD566" t="s">
        <v>74</v>
      </c>
      <c r="BE566" t="s">
        <v>10962</v>
      </c>
      <c r="BF566" t="str">
        <f>HYPERLINK("http://dx.doi.org/10.1088/1674-4527/16/8/123","http://dx.doi.org/10.1088/1674-4527/16/8/123")</f>
        <v>http://dx.doi.org/10.1088/1674-4527/16/8/123</v>
      </c>
      <c r="BG566" t="s">
        <v>74</v>
      </c>
      <c r="BH566" t="s">
        <v>74</v>
      </c>
      <c r="BI566">
        <v>8</v>
      </c>
      <c r="BJ566" t="s">
        <v>748</v>
      </c>
      <c r="BK566" t="s">
        <v>156</v>
      </c>
      <c r="BL566" t="s">
        <v>748</v>
      </c>
      <c r="BM566" t="s">
        <v>10963</v>
      </c>
      <c r="BN566" t="s">
        <v>74</v>
      </c>
      <c r="BO566" t="s">
        <v>74</v>
      </c>
      <c r="BP566" t="s">
        <v>74</v>
      </c>
      <c r="BQ566" t="s">
        <v>74</v>
      </c>
      <c r="BR566" t="s">
        <v>105</v>
      </c>
      <c r="BS566" t="s">
        <v>10964</v>
      </c>
      <c r="BT566" t="str">
        <f>HYPERLINK("https%3A%2F%2Fwww.webofscience.com%2Fwos%2Fwoscc%2Ffull-record%2FWOS:000381832700006","View Full Record in Web of Science")</f>
        <v>View Full Record in Web of Science</v>
      </c>
    </row>
    <row r="567" spans="1:72" x14ac:dyDescent="0.15">
      <c r="A567" t="s">
        <v>72</v>
      </c>
      <c r="B567" t="s">
        <v>10965</v>
      </c>
      <c r="C567" t="s">
        <v>74</v>
      </c>
      <c r="D567" t="s">
        <v>74</v>
      </c>
      <c r="E567" t="s">
        <v>74</v>
      </c>
      <c r="F567" t="s">
        <v>10966</v>
      </c>
      <c r="G567" t="s">
        <v>74</v>
      </c>
      <c r="H567" t="s">
        <v>74</v>
      </c>
      <c r="I567" t="s">
        <v>10967</v>
      </c>
      <c r="J567" t="s">
        <v>10968</v>
      </c>
      <c r="K567" t="s">
        <v>74</v>
      </c>
      <c r="L567" t="s">
        <v>74</v>
      </c>
      <c r="M567" t="s">
        <v>78</v>
      </c>
      <c r="N567" t="s">
        <v>79</v>
      </c>
      <c r="O567" t="s">
        <v>74</v>
      </c>
      <c r="P567" t="s">
        <v>74</v>
      </c>
      <c r="Q567" t="s">
        <v>74</v>
      </c>
      <c r="R567" t="s">
        <v>74</v>
      </c>
      <c r="S567" t="s">
        <v>74</v>
      </c>
      <c r="T567" t="s">
        <v>10969</v>
      </c>
      <c r="U567" t="s">
        <v>10970</v>
      </c>
      <c r="V567" t="s">
        <v>10971</v>
      </c>
      <c r="W567" t="s">
        <v>10972</v>
      </c>
      <c r="X567" t="s">
        <v>10973</v>
      </c>
      <c r="Y567" t="s">
        <v>10974</v>
      </c>
      <c r="Z567" t="s">
        <v>10975</v>
      </c>
      <c r="AA567" t="s">
        <v>10976</v>
      </c>
      <c r="AB567" t="s">
        <v>10977</v>
      </c>
      <c r="AC567" t="s">
        <v>10978</v>
      </c>
      <c r="AD567" t="s">
        <v>10979</v>
      </c>
      <c r="AE567" t="s">
        <v>10980</v>
      </c>
      <c r="AF567" t="s">
        <v>74</v>
      </c>
      <c r="AG567">
        <v>19</v>
      </c>
      <c r="AH567">
        <v>1</v>
      </c>
      <c r="AI567">
        <v>1</v>
      </c>
      <c r="AJ567">
        <v>1</v>
      </c>
      <c r="AK567">
        <v>13</v>
      </c>
      <c r="AL567" t="s">
        <v>7119</v>
      </c>
      <c r="AM567" t="s">
        <v>7120</v>
      </c>
      <c r="AN567" t="s">
        <v>7121</v>
      </c>
      <c r="AO567" t="s">
        <v>10981</v>
      </c>
      <c r="AP567" t="s">
        <v>10982</v>
      </c>
      <c r="AQ567" t="s">
        <v>74</v>
      </c>
      <c r="AR567" t="s">
        <v>10983</v>
      </c>
      <c r="AS567" t="s">
        <v>10984</v>
      </c>
      <c r="AT567" t="s">
        <v>9902</v>
      </c>
      <c r="AU567">
        <v>2016</v>
      </c>
      <c r="AV567">
        <v>59</v>
      </c>
      <c r="AW567">
        <v>8</v>
      </c>
      <c r="AX567" t="s">
        <v>74</v>
      </c>
      <c r="AY567" t="s">
        <v>74</v>
      </c>
      <c r="AZ567" t="s">
        <v>74</v>
      </c>
      <c r="BA567" t="s">
        <v>74</v>
      </c>
      <c r="BB567">
        <v>1674</v>
      </c>
      <c r="BC567">
        <v>1682</v>
      </c>
      <c r="BD567" t="s">
        <v>74</v>
      </c>
      <c r="BE567" t="s">
        <v>10985</v>
      </c>
      <c r="BF567" t="str">
        <f>HYPERLINK("http://dx.doi.org/10.1007/s11430-015-0179-5","http://dx.doi.org/10.1007/s11430-015-0179-5")</f>
        <v>http://dx.doi.org/10.1007/s11430-015-0179-5</v>
      </c>
      <c r="BG567" t="s">
        <v>74</v>
      </c>
      <c r="BH567" t="s">
        <v>74</v>
      </c>
      <c r="BI567">
        <v>9</v>
      </c>
      <c r="BJ567" t="s">
        <v>352</v>
      </c>
      <c r="BK567" t="s">
        <v>156</v>
      </c>
      <c r="BL567" t="s">
        <v>177</v>
      </c>
      <c r="BM567" t="s">
        <v>10986</v>
      </c>
      <c r="BN567" t="s">
        <v>74</v>
      </c>
      <c r="BO567" t="s">
        <v>74</v>
      </c>
      <c r="BP567" t="s">
        <v>74</v>
      </c>
      <c r="BQ567" t="s">
        <v>74</v>
      </c>
      <c r="BR567" t="s">
        <v>105</v>
      </c>
      <c r="BS567" t="s">
        <v>10987</v>
      </c>
      <c r="BT567" t="str">
        <f>HYPERLINK("https%3A%2F%2Fwww.webofscience.com%2Fwos%2Fwoscc%2Ffull-record%2FWOS:000380680400015","View Full Record in Web of Science")</f>
        <v>View Full Record in Web of Science</v>
      </c>
    </row>
    <row r="568" spans="1:72" x14ac:dyDescent="0.15">
      <c r="A568" t="s">
        <v>72</v>
      </c>
      <c r="B568" t="s">
        <v>10988</v>
      </c>
      <c r="C568" t="s">
        <v>74</v>
      </c>
      <c r="D568" t="s">
        <v>74</v>
      </c>
      <c r="E568" t="s">
        <v>74</v>
      </c>
      <c r="F568" t="s">
        <v>10989</v>
      </c>
      <c r="G568" t="s">
        <v>74</v>
      </c>
      <c r="H568" t="s">
        <v>74</v>
      </c>
      <c r="I568" t="s">
        <v>10990</v>
      </c>
      <c r="J568" t="s">
        <v>10991</v>
      </c>
      <c r="K568" t="s">
        <v>74</v>
      </c>
      <c r="L568" t="s">
        <v>74</v>
      </c>
      <c r="M568" t="s">
        <v>78</v>
      </c>
      <c r="N568" t="s">
        <v>79</v>
      </c>
      <c r="O568" t="s">
        <v>74</v>
      </c>
      <c r="P568" t="s">
        <v>74</v>
      </c>
      <c r="Q568" t="s">
        <v>74</v>
      </c>
      <c r="R568" t="s">
        <v>74</v>
      </c>
      <c r="S568" t="s">
        <v>74</v>
      </c>
      <c r="T568" t="s">
        <v>10992</v>
      </c>
      <c r="U568" t="s">
        <v>10993</v>
      </c>
      <c r="V568" t="s">
        <v>10994</v>
      </c>
      <c r="W568" t="s">
        <v>10995</v>
      </c>
      <c r="X568" t="s">
        <v>10996</v>
      </c>
      <c r="Y568" t="s">
        <v>10997</v>
      </c>
      <c r="Z568" t="s">
        <v>10998</v>
      </c>
      <c r="AA568" t="s">
        <v>10999</v>
      </c>
      <c r="AB568" t="s">
        <v>11000</v>
      </c>
      <c r="AC568" t="s">
        <v>11001</v>
      </c>
      <c r="AD568" t="s">
        <v>11002</v>
      </c>
      <c r="AE568" t="s">
        <v>11003</v>
      </c>
      <c r="AF568" t="s">
        <v>74</v>
      </c>
      <c r="AG568">
        <v>69</v>
      </c>
      <c r="AH568">
        <v>7</v>
      </c>
      <c r="AI568">
        <v>7</v>
      </c>
      <c r="AJ568">
        <v>1</v>
      </c>
      <c r="AK568">
        <v>7</v>
      </c>
      <c r="AL568" t="s">
        <v>644</v>
      </c>
      <c r="AM568" t="s">
        <v>594</v>
      </c>
      <c r="AN568" t="s">
        <v>645</v>
      </c>
      <c r="AO568" t="s">
        <v>11004</v>
      </c>
      <c r="AP568" t="s">
        <v>11005</v>
      </c>
      <c r="AQ568" t="s">
        <v>74</v>
      </c>
      <c r="AR568" t="s">
        <v>11006</v>
      </c>
      <c r="AS568" t="s">
        <v>11007</v>
      </c>
      <c r="AT568" t="s">
        <v>9902</v>
      </c>
      <c r="AU568">
        <v>2016</v>
      </c>
      <c r="AV568">
        <v>78</v>
      </c>
      <c r="AW568">
        <v>8</v>
      </c>
      <c r="AX568" t="s">
        <v>74</v>
      </c>
      <c r="AY568" t="s">
        <v>74</v>
      </c>
      <c r="AZ568" t="s">
        <v>74</v>
      </c>
      <c r="BA568" t="s">
        <v>74</v>
      </c>
      <c r="BB568" t="s">
        <v>74</v>
      </c>
      <c r="BC568" t="s">
        <v>74</v>
      </c>
      <c r="BD568">
        <v>56</v>
      </c>
      <c r="BE568" t="s">
        <v>11008</v>
      </c>
      <c r="BF568" t="str">
        <f>HYPERLINK("http://dx.doi.org/10.1007/s00445-016-1048-x","http://dx.doi.org/10.1007/s00445-016-1048-x")</f>
        <v>http://dx.doi.org/10.1007/s00445-016-1048-x</v>
      </c>
      <c r="BG568" t="s">
        <v>74</v>
      </c>
      <c r="BH568" t="s">
        <v>74</v>
      </c>
      <c r="BI568">
        <v>21</v>
      </c>
      <c r="BJ568" t="s">
        <v>352</v>
      </c>
      <c r="BK568" t="s">
        <v>156</v>
      </c>
      <c r="BL568" t="s">
        <v>177</v>
      </c>
      <c r="BM568" t="s">
        <v>11009</v>
      </c>
      <c r="BN568">
        <v>32355391</v>
      </c>
      <c r="BO568" t="s">
        <v>2221</v>
      </c>
      <c r="BP568" t="s">
        <v>74</v>
      </c>
      <c r="BQ568" t="s">
        <v>74</v>
      </c>
      <c r="BR568" t="s">
        <v>105</v>
      </c>
      <c r="BS568" t="s">
        <v>11010</v>
      </c>
      <c r="BT568" t="str">
        <f>HYPERLINK("https%3A%2F%2Fwww.webofscience.com%2Fwos%2Fwoscc%2Ffull-record%2FWOS:000382015800004","View Full Record in Web of Science")</f>
        <v>View Full Record in Web of Science</v>
      </c>
    </row>
    <row r="569" spans="1:72" x14ac:dyDescent="0.15">
      <c r="A569" t="s">
        <v>72</v>
      </c>
      <c r="B569" t="s">
        <v>11011</v>
      </c>
      <c r="C569" t="s">
        <v>74</v>
      </c>
      <c r="D569" t="s">
        <v>74</v>
      </c>
      <c r="E569" t="s">
        <v>74</v>
      </c>
      <c r="F569" t="s">
        <v>11012</v>
      </c>
      <c r="G569" t="s">
        <v>74</v>
      </c>
      <c r="H569" t="s">
        <v>74</v>
      </c>
      <c r="I569" t="s">
        <v>11013</v>
      </c>
      <c r="J569" t="s">
        <v>4082</v>
      </c>
      <c r="K569" t="s">
        <v>74</v>
      </c>
      <c r="L569" t="s">
        <v>74</v>
      </c>
      <c r="M569" t="s">
        <v>78</v>
      </c>
      <c r="N569" t="s">
        <v>79</v>
      </c>
      <c r="O569" t="s">
        <v>74</v>
      </c>
      <c r="P569" t="s">
        <v>74</v>
      </c>
      <c r="Q569" t="s">
        <v>74</v>
      </c>
      <c r="R569" t="s">
        <v>74</v>
      </c>
      <c r="S569" t="s">
        <v>74</v>
      </c>
      <c r="T569" t="s">
        <v>11014</v>
      </c>
      <c r="U569" t="s">
        <v>11015</v>
      </c>
      <c r="V569" t="s">
        <v>11016</v>
      </c>
      <c r="W569" t="s">
        <v>11017</v>
      </c>
      <c r="X569" t="s">
        <v>11018</v>
      </c>
      <c r="Y569" t="s">
        <v>11019</v>
      </c>
      <c r="Z569" t="s">
        <v>11020</v>
      </c>
      <c r="AA569" t="s">
        <v>74</v>
      </c>
      <c r="AB569" t="s">
        <v>74</v>
      </c>
      <c r="AC569" t="s">
        <v>11021</v>
      </c>
      <c r="AD569" t="s">
        <v>11022</v>
      </c>
      <c r="AE569" t="s">
        <v>11023</v>
      </c>
      <c r="AF569" t="s">
        <v>74</v>
      </c>
      <c r="AG569">
        <v>83</v>
      </c>
      <c r="AH569">
        <v>27</v>
      </c>
      <c r="AI569">
        <v>29</v>
      </c>
      <c r="AJ569">
        <v>1</v>
      </c>
      <c r="AK569">
        <v>24</v>
      </c>
      <c r="AL569" t="s">
        <v>196</v>
      </c>
      <c r="AM569" t="s">
        <v>93</v>
      </c>
      <c r="AN569" t="s">
        <v>197</v>
      </c>
      <c r="AO569" t="s">
        <v>4095</v>
      </c>
      <c r="AP569" t="s">
        <v>4096</v>
      </c>
      <c r="AQ569" t="s">
        <v>74</v>
      </c>
      <c r="AR569" t="s">
        <v>4097</v>
      </c>
      <c r="AS569" t="s">
        <v>4098</v>
      </c>
      <c r="AT569" t="s">
        <v>9902</v>
      </c>
      <c r="AU569">
        <v>2016</v>
      </c>
      <c r="AV569">
        <v>28</v>
      </c>
      <c r="AW569" t="s">
        <v>74</v>
      </c>
      <c r="AX569" t="s">
        <v>74</v>
      </c>
      <c r="AY569" t="s">
        <v>74</v>
      </c>
      <c r="AZ569" t="s">
        <v>74</v>
      </c>
      <c r="BA569" t="s">
        <v>74</v>
      </c>
      <c r="BB569">
        <v>87</v>
      </c>
      <c r="BC569">
        <v>97</v>
      </c>
      <c r="BD569" t="s">
        <v>74</v>
      </c>
      <c r="BE569" t="s">
        <v>11024</v>
      </c>
      <c r="BF569" t="str">
        <f>HYPERLINK("http://dx.doi.org/10.1016/j.margen.2016.02.004","http://dx.doi.org/10.1016/j.margen.2016.02.004")</f>
        <v>http://dx.doi.org/10.1016/j.margen.2016.02.004</v>
      </c>
      <c r="BG569" t="s">
        <v>74</v>
      </c>
      <c r="BH569" t="s">
        <v>74</v>
      </c>
      <c r="BI569">
        <v>11</v>
      </c>
      <c r="BJ569" t="s">
        <v>4100</v>
      </c>
      <c r="BK569" t="s">
        <v>156</v>
      </c>
      <c r="BL569" t="s">
        <v>4100</v>
      </c>
      <c r="BM569" t="s">
        <v>11025</v>
      </c>
      <c r="BN569">
        <v>26969095</v>
      </c>
      <c r="BO569" t="s">
        <v>104</v>
      </c>
      <c r="BP569" t="s">
        <v>74</v>
      </c>
      <c r="BQ569" t="s">
        <v>74</v>
      </c>
      <c r="BR569" t="s">
        <v>105</v>
      </c>
      <c r="BS569" t="s">
        <v>11026</v>
      </c>
      <c r="BT569" t="str">
        <f>HYPERLINK("https%3A%2F%2Fwww.webofscience.com%2Fwos%2Fwoscc%2Ffull-record%2FWOS:000382271800019","View Full Record in Web of Science")</f>
        <v>View Full Record in Web of Science</v>
      </c>
    </row>
    <row r="570" spans="1:72" x14ac:dyDescent="0.15">
      <c r="A570" t="s">
        <v>72</v>
      </c>
      <c r="B570" t="s">
        <v>11027</v>
      </c>
      <c r="C570" t="s">
        <v>74</v>
      </c>
      <c r="D570" t="s">
        <v>74</v>
      </c>
      <c r="E570" t="s">
        <v>74</v>
      </c>
      <c r="F570" t="s">
        <v>11028</v>
      </c>
      <c r="G570" t="s">
        <v>74</v>
      </c>
      <c r="H570" t="s">
        <v>74</v>
      </c>
      <c r="I570" t="s">
        <v>11029</v>
      </c>
      <c r="J570" t="s">
        <v>1072</v>
      </c>
      <c r="K570" t="s">
        <v>74</v>
      </c>
      <c r="L570" t="s">
        <v>74</v>
      </c>
      <c r="M570" t="s">
        <v>78</v>
      </c>
      <c r="N570" t="s">
        <v>79</v>
      </c>
      <c r="O570" t="s">
        <v>74</v>
      </c>
      <c r="P570" t="s">
        <v>74</v>
      </c>
      <c r="Q570" t="s">
        <v>74</v>
      </c>
      <c r="R570" t="s">
        <v>74</v>
      </c>
      <c r="S570" t="s">
        <v>74</v>
      </c>
      <c r="T570" t="s">
        <v>74</v>
      </c>
      <c r="U570" t="s">
        <v>11030</v>
      </c>
      <c r="V570" t="s">
        <v>11031</v>
      </c>
      <c r="W570" t="s">
        <v>11032</v>
      </c>
      <c r="X570" t="s">
        <v>11033</v>
      </c>
      <c r="Y570" t="s">
        <v>11034</v>
      </c>
      <c r="Z570" t="s">
        <v>11035</v>
      </c>
      <c r="AA570" t="s">
        <v>11036</v>
      </c>
      <c r="AB570" t="s">
        <v>11037</v>
      </c>
      <c r="AC570" t="s">
        <v>11038</v>
      </c>
      <c r="AD570" t="s">
        <v>11039</v>
      </c>
      <c r="AE570" t="s">
        <v>11040</v>
      </c>
      <c r="AF570" t="s">
        <v>74</v>
      </c>
      <c r="AG570">
        <v>47</v>
      </c>
      <c r="AH570">
        <v>30</v>
      </c>
      <c r="AI570">
        <v>33</v>
      </c>
      <c r="AJ570">
        <v>0</v>
      </c>
      <c r="AK570">
        <v>31</v>
      </c>
      <c r="AL570" t="s">
        <v>1074</v>
      </c>
      <c r="AM570" t="s">
        <v>1075</v>
      </c>
      <c r="AN570" t="s">
        <v>1076</v>
      </c>
      <c r="AO570" t="s">
        <v>1077</v>
      </c>
      <c r="AP570" t="s">
        <v>74</v>
      </c>
      <c r="AQ570" t="s">
        <v>74</v>
      </c>
      <c r="AR570" t="s">
        <v>1072</v>
      </c>
      <c r="AS570" t="s">
        <v>1078</v>
      </c>
      <c r="AT570" t="s">
        <v>9946</v>
      </c>
      <c r="AU570">
        <v>2016</v>
      </c>
      <c r="AV570">
        <v>11</v>
      </c>
      <c r="AW570">
        <v>8</v>
      </c>
      <c r="AX570" t="s">
        <v>74</v>
      </c>
      <c r="AY570" t="s">
        <v>74</v>
      </c>
      <c r="AZ570" t="s">
        <v>74</v>
      </c>
      <c r="BA570" t="s">
        <v>74</v>
      </c>
      <c r="BB570" t="s">
        <v>74</v>
      </c>
      <c r="BC570" t="s">
        <v>74</v>
      </c>
      <c r="BD570" t="s">
        <v>11041</v>
      </c>
      <c r="BE570" t="s">
        <v>11042</v>
      </c>
      <c r="BF570" t="str">
        <f>HYPERLINK("http://dx.doi.org/10.1371/journal.pone.0160497","http://dx.doi.org/10.1371/journal.pone.0160497")</f>
        <v>http://dx.doi.org/10.1371/journal.pone.0160497</v>
      </c>
      <c r="BG570" t="s">
        <v>74</v>
      </c>
      <c r="BH570" t="s">
        <v>74</v>
      </c>
      <c r="BI570">
        <v>19</v>
      </c>
      <c r="BJ570" t="s">
        <v>719</v>
      </c>
      <c r="BK570" t="s">
        <v>156</v>
      </c>
      <c r="BL570" t="s">
        <v>720</v>
      </c>
      <c r="BM570" t="s">
        <v>11043</v>
      </c>
      <c r="BN570">
        <v>27479304</v>
      </c>
      <c r="BO570" t="s">
        <v>1083</v>
      </c>
      <c r="BP570" t="s">
        <v>74</v>
      </c>
      <c r="BQ570" t="s">
        <v>74</v>
      </c>
      <c r="BR570" t="s">
        <v>105</v>
      </c>
      <c r="BS570" t="s">
        <v>11044</v>
      </c>
      <c r="BT570" t="str">
        <f>HYPERLINK("https%3A%2F%2Fwww.webofscience.com%2Fwos%2Fwoscc%2Ffull-record%2FWOS:000381110300053","View Full Record in Web of Science")</f>
        <v>View Full Record in Web of Science</v>
      </c>
    </row>
    <row r="571" spans="1:72" x14ac:dyDescent="0.15">
      <c r="A571" t="s">
        <v>72</v>
      </c>
      <c r="B571" t="s">
        <v>11045</v>
      </c>
      <c r="C571" t="s">
        <v>74</v>
      </c>
      <c r="D571" t="s">
        <v>74</v>
      </c>
      <c r="E571" t="s">
        <v>74</v>
      </c>
      <c r="F571" t="s">
        <v>11046</v>
      </c>
      <c r="G571" t="s">
        <v>74</v>
      </c>
      <c r="H571" t="s">
        <v>74</v>
      </c>
      <c r="I571" t="s">
        <v>11047</v>
      </c>
      <c r="J571" t="s">
        <v>11048</v>
      </c>
      <c r="K571" t="s">
        <v>74</v>
      </c>
      <c r="L571" t="s">
        <v>74</v>
      </c>
      <c r="M571" t="s">
        <v>78</v>
      </c>
      <c r="N571" t="s">
        <v>79</v>
      </c>
      <c r="O571" t="s">
        <v>74</v>
      </c>
      <c r="P571" t="s">
        <v>74</v>
      </c>
      <c r="Q571" t="s">
        <v>74</v>
      </c>
      <c r="R571" t="s">
        <v>74</v>
      </c>
      <c r="S571" t="s">
        <v>74</v>
      </c>
      <c r="T571" t="s">
        <v>74</v>
      </c>
      <c r="U571" t="s">
        <v>11049</v>
      </c>
      <c r="V571" t="s">
        <v>11050</v>
      </c>
      <c r="W571" t="s">
        <v>11051</v>
      </c>
      <c r="X571" t="s">
        <v>74</v>
      </c>
      <c r="Y571" t="s">
        <v>11052</v>
      </c>
      <c r="Z571" t="s">
        <v>11053</v>
      </c>
      <c r="AA571" t="s">
        <v>74</v>
      </c>
      <c r="AB571" t="s">
        <v>11054</v>
      </c>
      <c r="AC571" t="s">
        <v>74</v>
      </c>
      <c r="AD571" t="s">
        <v>74</v>
      </c>
      <c r="AE571" t="s">
        <v>74</v>
      </c>
      <c r="AF571" t="s">
        <v>74</v>
      </c>
      <c r="AG571">
        <v>56</v>
      </c>
      <c r="AH571">
        <v>0</v>
      </c>
      <c r="AI571">
        <v>1</v>
      </c>
      <c r="AJ571">
        <v>0</v>
      </c>
      <c r="AK571">
        <v>10</v>
      </c>
      <c r="AL571" t="s">
        <v>11055</v>
      </c>
      <c r="AM571" t="s">
        <v>11056</v>
      </c>
      <c r="AN571" t="s">
        <v>11057</v>
      </c>
      <c r="AO571" t="s">
        <v>11058</v>
      </c>
      <c r="AP571" t="s">
        <v>11059</v>
      </c>
      <c r="AQ571" t="s">
        <v>74</v>
      </c>
      <c r="AR571" t="s">
        <v>11060</v>
      </c>
      <c r="AS571" t="s">
        <v>11061</v>
      </c>
      <c r="AT571" t="s">
        <v>9902</v>
      </c>
      <c r="AU571">
        <v>2016</v>
      </c>
      <c r="AV571">
        <v>53</v>
      </c>
      <c r="AW571" t="s">
        <v>10541</v>
      </c>
      <c r="AX571" t="s">
        <v>74</v>
      </c>
      <c r="AY571" t="s">
        <v>74</v>
      </c>
      <c r="AZ571" t="s">
        <v>74</v>
      </c>
      <c r="BA571" t="s">
        <v>74</v>
      </c>
      <c r="BB571">
        <v>201</v>
      </c>
      <c r="BC571">
        <v>214</v>
      </c>
      <c r="BD571" t="s">
        <v>74</v>
      </c>
      <c r="BE571" t="s">
        <v>11062</v>
      </c>
      <c r="BF571" t="str">
        <f>HYPERLINK("http://dx.doi.org/10.5735/086.053.0409","http://dx.doi.org/10.5735/086.053.0409")</f>
        <v>http://dx.doi.org/10.5735/086.053.0409</v>
      </c>
      <c r="BG571" t="s">
        <v>74</v>
      </c>
      <c r="BH571" t="s">
        <v>74</v>
      </c>
      <c r="BI571">
        <v>14</v>
      </c>
      <c r="BJ571" t="s">
        <v>11063</v>
      </c>
      <c r="BK571" t="s">
        <v>156</v>
      </c>
      <c r="BL571" t="s">
        <v>11064</v>
      </c>
      <c r="BM571" t="s">
        <v>11065</v>
      </c>
      <c r="BN571" t="s">
        <v>74</v>
      </c>
      <c r="BO571" t="s">
        <v>74</v>
      </c>
      <c r="BP571" t="s">
        <v>74</v>
      </c>
      <c r="BQ571" t="s">
        <v>74</v>
      </c>
      <c r="BR571" t="s">
        <v>105</v>
      </c>
      <c r="BS571" t="s">
        <v>11066</v>
      </c>
      <c r="BT571" t="str">
        <f>HYPERLINK("https%3A%2F%2Fwww.webofscience.com%2Fwos%2Fwoscc%2Ffull-record%2FWOS:000381902000008","View Full Record in Web of Science")</f>
        <v>View Full Record in Web of Science</v>
      </c>
    </row>
    <row r="572" spans="1:72" x14ac:dyDescent="0.15">
      <c r="A572" t="s">
        <v>72</v>
      </c>
      <c r="B572" t="s">
        <v>11067</v>
      </c>
      <c r="C572" t="s">
        <v>74</v>
      </c>
      <c r="D572" t="s">
        <v>74</v>
      </c>
      <c r="E572" t="s">
        <v>74</v>
      </c>
      <c r="F572" t="s">
        <v>11068</v>
      </c>
      <c r="G572" t="s">
        <v>74</v>
      </c>
      <c r="H572" t="s">
        <v>74</v>
      </c>
      <c r="I572" t="s">
        <v>11069</v>
      </c>
      <c r="J572" t="s">
        <v>7110</v>
      </c>
      <c r="K572" t="s">
        <v>74</v>
      </c>
      <c r="L572" t="s">
        <v>74</v>
      </c>
      <c r="M572" t="s">
        <v>7111</v>
      </c>
      <c r="N572" t="s">
        <v>79</v>
      </c>
      <c r="O572" t="s">
        <v>74</v>
      </c>
      <c r="P572" t="s">
        <v>74</v>
      </c>
      <c r="Q572" t="s">
        <v>74</v>
      </c>
      <c r="R572" t="s">
        <v>74</v>
      </c>
      <c r="S572" t="s">
        <v>74</v>
      </c>
      <c r="T572" t="s">
        <v>11070</v>
      </c>
      <c r="U572" t="s">
        <v>11071</v>
      </c>
      <c r="V572" t="s">
        <v>11072</v>
      </c>
      <c r="W572" t="s">
        <v>11073</v>
      </c>
      <c r="X572" t="s">
        <v>11074</v>
      </c>
      <c r="Y572" t="s">
        <v>11075</v>
      </c>
      <c r="Z572" t="s">
        <v>11076</v>
      </c>
      <c r="AA572" t="s">
        <v>11077</v>
      </c>
      <c r="AB572" t="s">
        <v>74</v>
      </c>
      <c r="AC572" t="s">
        <v>74</v>
      </c>
      <c r="AD572" t="s">
        <v>74</v>
      </c>
      <c r="AE572" t="s">
        <v>74</v>
      </c>
      <c r="AF572" t="s">
        <v>74</v>
      </c>
      <c r="AG572">
        <v>25</v>
      </c>
      <c r="AH572">
        <v>0</v>
      </c>
      <c r="AI572">
        <v>1</v>
      </c>
      <c r="AJ572">
        <v>2</v>
      </c>
      <c r="AK572">
        <v>13</v>
      </c>
      <c r="AL572" t="s">
        <v>7119</v>
      </c>
      <c r="AM572" t="s">
        <v>7120</v>
      </c>
      <c r="AN572" t="s">
        <v>7121</v>
      </c>
      <c r="AO572" t="s">
        <v>7122</v>
      </c>
      <c r="AP572" t="s">
        <v>74</v>
      </c>
      <c r="AQ572" t="s">
        <v>74</v>
      </c>
      <c r="AR572" t="s">
        <v>7123</v>
      </c>
      <c r="AS572" t="s">
        <v>7124</v>
      </c>
      <c r="AT572" t="s">
        <v>9902</v>
      </c>
      <c r="AU572">
        <v>2016</v>
      </c>
      <c r="AV572">
        <v>59</v>
      </c>
      <c r="AW572">
        <v>8</v>
      </c>
      <c r="AX572" t="s">
        <v>74</v>
      </c>
      <c r="AY572" t="s">
        <v>74</v>
      </c>
      <c r="AZ572" t="s">
        <v>74</v>
      </c>
      <c r="BA572" t="s">
        <v>74</v>
      </c>
      <c r="BB572">
        <v>2773</v>
      </c>
      <c r="BC572">
        <v>2782</v>
      </c>
      <c r="BD572" t="s">
        <v>74</v>
      </c>
      <c r="BE572" t="s">
        <v>11078</v>
      </c>
      <c r="BF572" t="str">
        <f>HYPERLINK("http://dx.doi.org/10.6038/cjg20160805","http://dx.doi.org/10.6038/cjg20160805")</f>
        <v>http://dx.doi.org/10.6038/cjg20160805</v>
      </c>
      <c r="BG572" t="s">
        <v>74</v>
      </c>
      <c r="BH572" t="s">
        <v>74</v>
      </c>
      <c r="BI572">
        <v>10</v>
      </c>
      <c r="BJ572" t="s">
        <v>155</v>
      </c>
      <c r="BK572" t="s">
        <v>156</v>
      </c>
      <c r="BL572" t="s">
        <v>155</v>
      </c>
      <c r="BM572" t="s">
        <v>11079</v>
      </c>
      <c r="BN572" t="s">
        <v>74</v>
      </c>
      <c r="BO572" t="s">
        <v>74</v>
      </c>
      <c r="BP572" t="s">
        <v>74</v>
      </c>
      <c r="BQ572" t="s">
        <v>74</v>
      </c>
      <c r="BR572" t="s">
        <v>105</v>
      </c>
      <c r="BS572" t="s">
        <v>11080</v>
      </c>
      <c r="BT572" t="str">
        <f>HYPERLINK("https%3A%2F%2Fwww.webofscience.com%2Fwos%2Fwoscc%2Ffull-record%2FWOS:000381166400005","View Full Record in Web of Science")</f>
        <v>View Full Record in Web of Science</v>
      </c>
    </row>
    <row r="573" spans="1:72" x14ac:dyDescent="0.15">
      <c r="A573" t="s">
        <v>72</v>
      </c>
      <c r="B573" t="s">
        <v>11081</v>
      </c>
      <c r="C573" t="s">
        <v>74</v>
      </c>
      <c r="D573" t="s">
        <v>74</v>
      </c>
      <c r="E573" t="s">
        <v>74</v>
      </c>
      <c r="F573" t="s">
        <v>11082</v>
      </c>
      <c r="G573" t="s">
        <v>74</v>
      </c>
      <c r="H573" t="s">
        <v>74</v>
      </c>
      <c r="I573" t="s">
        <v>11083</v>
      </c>
      <c r="J573" t="s">
        <v>7110</v>
      </c>
      <c r="K573" t="s">
        <v>74</v>
      </c>
      <c r="L573" t="s">
        <v>74</v>
      </c>
      <c r="M573" t="s">
        <v>7111</v>
      </c>
      <c r="N573" t="s">
        <v>79</v>
      </c>
      <c r="O573" t="s">
        <v>74</v>
      </c>
      <c r="P573" t="s">
        <v>74</v>
      </c>
      <c r="Q573" t="s">
        <v>74</v>
      </c>
      <c r="R573" t="s">
        <v>74</v>
      </c>
      <c r="S573" t="s">
        <v>74</v>
      </c>
      <c r="T573" t="s">
        <v>11084</v>
      </c>
      <c r="U573" t="s">
        <v>74</v>
      </c>
      <c r="V573" t="s">
        <v>11085</v>
      </c>
      <c r="W573" t="s">
        <v>11086</v>
      </c>
      <c r="X573" t="s">
        <v>7116</v>
      </c>
      <c r="Y573" t="s">
        <v>11087</v>
      </c>
      <c r="Z573" t="s">
        <v>11088</v>
      </c>
      <c r="AA573" t="s">
        <v>11089</v>
      </c>
      <c r="AB573" t="s">
        <v>74</v>
      </c>
      <c r="AC573" t="s">
        <v>74</v>
      </c>
      <c r="AD573" t="s">
        <v>74</v>
      </c>
      <c r="AE573" t="s">
        <v>74</v>
      </c>
      <c r="AF573" t="s">
        <v>74</v>
      </c>
      <c r="AG573">
        <v>14</v>
      </c>
      <c r="AH573">
        <v>16</v>
      </c>
      <c r="AI573">
        <v>23</v>
      </c>
      <c r="AJ573">
        <v>1</v>
      </c>
      <c r="AK573">
        <v>16</v>
      </c>
      <c r="AL573" t="s">
        <v>7119</v>
      </c>
      <c r="AM573" t="s">
        <v>7120</v>
      </c>
      <c r="AN573" t="s">
        <v>7121</v>
      </c>
      <c r="AO573" t="s">
        <v>7122</v>
      </c>
      <c r="AP573" t="s">
        <v>74</v>
      </c>
      <c r="AQ573" t="s">
        <v>74</v>
      </c>
      <c r="AR573" t="s">
        <v>7123</v>
      </c>
      <c r="AS573" t="s">
        <v>7124</v>
      </c>
      <c r="AT573" t="s">
        <v>9902</v>
      </c>
      <c r="AU573">
        <v>2016</v>
      </c>
      <c r="AV573">
        <v>59</v>
      </c>
      <c r="AW573">
        <v>8</v>
      </c>
      <c r="AX573" t="s">
        <v>74</v>
      </c>
      <c r="AY573" t="s">
        <v>74</v>
      </c>
      <c r="AZ573" t="s">
        <v>74</v>
      </c>
      <c r="BA573" t="s">
        <v>74</v>
      </c>
      <c r="BB573">
        <v>2783</v>
      </c>
      <c r="BC573">
        <v>2795</v>
      </c>
      <c r="BD573" t="s">
        <v>74</v>
      </c>
      <c r="BE573" t="s">
        <v>11090</v>
      </c>
      <c r="BF573" t="str">
        <f>HYPERLINK("http://dx.doi.org/10.6038/cjg20160806","http://dx.doi.org/10.6038/cjg20160806")</f>
        <v>http://dx.doi.org/10.6038/cjg20160806</v>
      </c>
      <c r="BG573" t="s">
        <v>74</v>
      </c>
      <c r="BH573" t="s">
        <v>74</v>
      </c>
      <c r="BI573">
        <v>13</v>
      </c>
      <c r="BJ573" t="s">
        <v>155</v>
      </c>
      <c r="BK573" t="s">
        <v>156</v>
      </c>
      <c r="BL573" t="s">
        <v>155</v>
      </c>
      <c r="BM573" t="s">
        <v>11079</v>
      </c>
      <c r="BN573" t="s">
        <v>74</v>
      </c>
      <c r="BO573" t="s">
        <v>74</v>
      </c>
      <c r="BP573" t="s">
        <v>74</v>
      </c>
      <c r="BQ573" t="s">
        <v>74</v>
      </c>
      <c r="BR573" t="s">
        <v>105</v>
      </c>
      <c r="BS573" t="s">
        <v>11091</v>
      </c>
      <c r="BT573" t="str">
        <f>HYPERLINK("https%3A%2F%2Fwww.webofscience.com%2Fwos%2Fwoscc%2Ffull-record%2FWOS:000381166400006","View Full Record in Web of Science")</f>
        <v>View Full Record in Web of Science</v>
      </c>
    </row>
    <row r="574" spans="1:72" x14ac:dyDescent="0.15">
      <c r="A574" t="s">
        <v>72</v>
      </c>
      <c r="B574" t="s">
        <v>11092</v>
      </c>
      <c r="C574" t="s">
        <v>74</v>
      </c>
      <c r="D574" t="s">
        <v>74</v>
      </c>
      <c r="E574" t="s">
        <v>74</v>
      </c>
      <c r="F574" t="s">
        <v>11093</v>
      </c>
      <c r="G574" t="s">
        <v>74</v>
      </c>
      <c r="H574" t="s">
        <v>74</v>
      </c>
      <c r="I574" t="s">
        <v>11094</v>
      </c>
      <c r="J574" t="s">
        <v>4057</v>
      </c>
      <c r="K574" t="s">
        <v>74</v>
      </c>
      <c r="L574" t="s">
        <v>74</v>
      </c>
      <c r="M574" t="s">
        <v>78</v>
      </c>
      <c r="N574" t="s">
        <v>79</v>
      </c>
      <c r="O574" t="s">
        <v>74</v>
      </c>
      <c r="P574" t="s">
        <v>74</v>
      </c>
      <c r="Q574" t="s">
        <v>74</v>
      </c>
      <c r="R574" t="s">
        <v>74</v>
      </c>
      <c r="S574" t="s">
        <v>74</v>
      </c>
      <c r="T574" t="s">
        <v>11095</v>
      </c>
      <c r="U574" t="s">
        <v>11096</v>
      </c>
      <c r="V574" t="s">
        <v>11097</v>
      </c>
      <c r="W574" t="s">
        <v>11098</v>
      </c>
      <c r="X574" t="s">
        <v>11099</v>
      </c>
      <c r="Y574" t="s">
        <v>11100</v>
      </c>
      <c r="Z574" t="s">
        <v>11101</v>
      </c>
      <c r="AA574" t="s">
        <v>11102</v>
      </c>
      <c r="AB574" t="s">
        <v>11103</v>
      </c>
      <c r="AC574" t="s">
        <v>74</v>
      </c>
      <c r="AD574" t="s">
        <v>74</v>
      </c>
      <c r="AE574" t="s">
        <v>74</v>
      </c>
      <c r="AF574" t="s">
        <v>74</v>
      </c>
      <c r="AG574">
        <v>57</v>
      </c>
      <c r="AH574">
        <v>57</v>
      </c>
      <c r="AI574">
        <v>63</v>
      </c>
      <c r="AJ574">
        <v>4</v>
      </c>
      <c r="AK574">
        <v>81</v>
      </c>
      <c r="AL574" t="s">
        <v>474</v>
      </c>
      <c r="AM574" t="s">
        <v>304</v>
      </c>
      <c r="AN574" t="s">
        <v>475</v>
      </c>
      <c r="AO574" t="s">
        <v>4070</v>
      </c>
      <c r="AP574" t="s">
        <v>4071</v>
      </c>
      <c r="AQ574" t="s">
        <v>74</v>
      </c>
      <c r="AR574" t="s">
        <v>4072</v>
      </c>
      <c r="AS574" t="s">
        <v>4073</v>
      </c>
      <c r="AT574" t="s">
        <v>9902</v>
      </c>
      <c r="AU574">
        <v>2016</v>
      </c>
      <c r="AV574">
        <v>119</v>
      </c>
      <c r="AW574" t="s">
        <v>74</v>
      </c>
      <c r="AX574" t="s">
        <v>74</v>
      </c>
      <c r="AY574" t="s">
        <v>74</v>
      </c>
      <c r="AZ574" t="s">
        <v>74</v>
      </c>
      <c r="BA574" t="s">
        <v>74</v>
      </c>
      <c r="BB574">
        <v>245</v>
      </c>
      <c r="BC574">
        <v>251</v>
      </c>
      <c r="BD574" t="s">
        <v>74</v>
      </c>
      <c r="BE574" t="s">
        <v>11104</v>
      </c>
      <c r="BF574" t="str">
        <f>HYPERLINK("http://dx.doi.org/10.1016/j.marenvres.2016.06.009","http://dx.doi.org/10.1016/j.marenvres.2016.06.009")</f>
        <v>http://dx.doi.org/10.1016/j.marenvres.2016.06.009</v>
      </c>
      <c r="BG574" t="s">
        <v>74</v>
      </c>
      <c r="BH574" t="s">
        <v>74</v>
      </c>
      <c r="BI574">
        <v>7</v>
      </c>
      <c r="BJ574" t="s">
        <v>4075</v>
      </c>
      <c r="BK574" t="s">
        <v>156</v>
      </c>
      <c r="BL574" t="s">
        <v>4076</v>
      </c>
      <c r="BM574" t="s">
        <v>11105</v>
      </c>
      <c r="BN574">
        <v>27363010</v>
      </c>
      <c r="BO574" t="s">
        <v>8268</v>
      </c>
      <c r="BP574" t="s">
        <v>74</v>
      </c>
      <c r="BQ574" t="s">
        <v>74</v>
      </c>
      <c r="BR574" t="s">
        <v>105</v>
      </c>
      <c r="BS574" t="s">
        <v>11106</v>
      </c>
      <c r="BT574" t="str">
        <f>HYPERLINK("https%3A%2F%2Fwww.webofscience.com%2Fwos%2Fwoscc%2Ffull-record%2FWOS:000381168000025","View Full Record in Web of Science")</f>
        <v>View Full Record in Web of Science</v>
      </c>
    </row>
    <row r="575" spans="1:72" x14ac:dyDescent="0.15">
      <c r="A575" t="s">
        <v>72</v>
      </c>
      <c r="B575" t="s">
        <v>11107</v>
      </c>
      <c r="C575" t="s">
        <v>74</v>
      </c>
      <c r="D575" t="s">
        <v>74</v>
      </c>
      <c r="E575" t="s">
        <v>74</v>
      </c>
      <c r="F575" t="s">
        <v>11108</v>
      </c>
      <c r="G575" t="s">
        <v>74</v>
      </c>
      <c r="H575" t="s">
        <v>74</v>
      </c>
      <c r="I575" t="s">
        <v>11109</v>
      </c>
      <c r="J575" t="s">
        <v>3250</v>
      </c>
      <c r="K575" t="s">
        <v>74</v>
      </c>
      <c r="L575" t="s">
        <v>74</v>
      </c>
      <c r="M575" t="s">
        <v>78</v>
      </c>
      <c r="N575" t="s">
        <v>79</v>
      </c>
      <c r="O575" t="s">
        <v>74</v>
      </c>
      <c r="P575" t="s">
        <v>74</v>
      </c>
      <c r="Q575" t="s">
        <v>74</v>
      </c>
      <c r="R575" t="s">
        <v>74</v>
      </c>
      <c r="S575" t="s">
        <v>74</v>
      </c>
      <c r="T575" t="s">
        <v>74</v>
      </c>
      <c r="U575" t="s">
        <v>11110</v>
      </c>
      <c r="V575" t="s">
        <v>11111</v>
      </c>
      <c r="W575" t="s">
        <v>11112</v>
      </c>
      <c r="X575" t="s">
        <v>2738</v>
      </c>
      <c r="Y575" t="s">
        <v>11113</v>
      </c>
      <c r="Z575" t="s">
        <v>11114</v>
      </c>
      <c r="AA575" t="s">
        <v>11115</v>
      </c>
      <c r="AB575" t="s">
        <v>11116</v>
      </c>
      <c r="AC575" t="s">
        <v>74</v>
      </c>
      <c r="AD575" t="s">
        <v>74</v>
      </c>
      <c r="AE575" t="s">
        <v>74</v>
      </c>
      <c r="AF575" t="s">
        <v>74</v>
      </c>
      <c r="AG575">
        <v>43</v>
      </c>
      <c r="AH575">
        <v>12</v>
      </c>
      <c r="AI575">
        <v>13</v>
      </c>
      <c r="AJ575">
        <v>0</v>
      </c>
      <c r="AK575">
        <v>53</v>
      </c>
      <c r="AL575" t="s">
        <v>11117</v>
      </c>
      <c r="AM575" t="s">
        <v>3263</v>
      </c>
      <c r="AN575" t="s">
        <v>3264</v>
      </c>
      <c r="AO575" t="s">
        <v>3265</v>
      </c>
      <c r="AP575" t="s">
        <v>3266</v>
      </c>
      <c r="AQ575" t="s">
        <v>74</v>
      </c>
      <c r="AR575" t="s">
        <v>3267</v>
      </c>
      <c r="AS575" t="s">
        <v>3268</v>
      </c>
      <c r="AT575" t="s">
        <v>9902</v>
      </c>
      <c r="AU575">
        <v>2016</v>
      </c>
      <c r="AV575">
        <v>73</v>
      </c>
      <c r="AW575">
        <v>8</v>
      </c>
      <c r="AX575" t="s">
        <v>74</v>
      </c>
      <c r="AY575" t="s">
        <v>74</v>
      </c>
      <c r="AZ575" t="s">
        <v>74</v>
      </c>
      <c r="BA575" t="s">
        <v>74</v>
      </c>
      <c r="BB575">
        <v>1173</v>
      </c>
      <c r="BC575">
        <v>1181</v>
      </c>
      <c r="BD575" t="s">
        <v>74</v>
      </c>
      <c r="BE575" t="s">
        <v>11118</v>
      </c>
      <c r="BF575" t="str">
        <f>HYPERLINK("http://dx.doi.org/10.1139/cjfas-2015-0358","http://dx.doi.org/10.1139/cjfas-2015-0358")</f>
        <v>http://dx.doi.org/10.1139/cjfas-2015-0358</v>
      </c>
      <c r="BG575" t="s">
        <v>74</v>
      </c>
      <c r="BH575" t="s">
        <v>74</v>
      </c>
      <c r="BI575">
        <v>9</v>
      </c>
      <c r="BJ575" t="s">
        <v>2751</v>
      </c>
      <c r="BK575" t="s">
        <v>156</v>
      </c>
      <c r="BL575" t="s">
        <v>2751</v>
      </c>
      <c r="BM575" t="s">
        <v>11119</v>
      </c>
      <c r="BN575" t="s">
        <v>74</v>
      </c>
      <c r="BO575" t="s">
        <v>74</v>
      </c>
      <c r="BP575" t="s">
        <v>74</v>
      </c>
      <c r="BQ575" t="s">
        <v>74</v>
      </c>
      <c r="BR575" t="s">
        <v>105</v>
      </c>
      <c r="BS575" t="s">
        <v>11120</v>
      </c>
      <c r="BT575" t="str">
        <f>HYPERLINK("https%3A%2F%2Fwww.webofscience.com%2Fwos%2Fwoscc%2Ffull-record%2FWOS:000380829400003","View Full Record in Web of Science")</f>
        <v>View Full Record in Web of Science</v>
      </c>
    </row>
    <row r="576" spans="1:72" x14ac:dyDescent="0.15">
      <c r="A576" t="s">
        <v>72</v>
      </c>
      <c r="B576" t="s">
        <v>11121</v>
      </c>
      <c r="C576" t="s">
        <v>74</v>
      </c>
      <c r="D576" t="s">
        <v>74</v>
      </c>
      <c r="E576" t="s">
        <v>74</v>
      </c>
      <c r="F576" t="s">
        <v>11122</v>
      </c>
      <c r="G576" t="s">
        <v>74</v>
      </c>
      <c r="H576" t="s">
        <v>74</v>
      </c>
      <c r="I576" t="s">
        <v>11123</v>
      </c>
      <c r="J576" t="s">
        <v>184</v>
      </c>
      <c r="K576" t="s">
        <v>74</v>
      </c>
      <c r="L576" t="s">
        <v>74</v>
      </c>
      <c r="M576" t="s">
        <v>78</v>
      </c>
      <c r="N576" t="s">
        <v>317</v>
      </c>
      <c r="O576" t="s">
        <v>74</v>
      </c>
      <c r="P576" t="s">
        <v>74</v>
      </c>
      <c r="Q576" t="s">
        <v>74</v>
      </c>
      <c r="R576" t="s">
        <v>74</v>
      </c>
      <c r="S576" t="s">
        <v>74</v>
      </c>
      <c r="T576" t="s">
        <v>74</v>
      </c>
      <c r="U576" t="s">
        <v>11124</v>
      </c>
      <c r="V576" t="s">
        <v>11125</v>
      </c>
      <c r="W576" t="s">
        <v>11126</v>
      </c>
      <c r="X576" t="s">
        <v>11127</v>
      </c>
      <c r="Y576" t="s">
        <v>11128</v>
      </c>
      <c r="Z576" t="s">
        <v>3868</v>
      </c>
      <c r="AA576" t="s">
        <v>11129</v>
      </c>
      <c r="AB576" t="s">
        <v>11130</v>
      </c>
      <c r="AC576" t="s">
        <v>11131</v>
      </c>
      <c r="AD576" t="s">
        <v>11132</v>
      </c>
      <c r="AE576" t="s">
        <v>11133</v>
      </c>
      <c r="AF576" t="s">
        <v>74</v>
      </c>
      <c r="AG576">
        <v>265</v>
      </c>
      <c r="AH576">
        <v>184</v>
      </c>
      <c r="AI576">
        <v>204</v>
      </c>
      <c r="AJ576">
        <v>5</v>
      </c>
      <c r="AK576">
        <v>115</v>
      </c>
      <c r="AL576" t="s">
        <v>196</v>
      </c>
      <c r="AM576" t="s">
        <v>93</v>
      </c>
      <c r="AN576" t="s">
        <v>197</v>
      </c>
      <c r="AO576" t="s">
        <v>198</v>
      </c>
      <c r="AP576" t="s">
        <v>199</v>
      </c>
      <c r="AQ576" t="s">
        <v>74</v>
      </c>
      <c r="AR576" t="s">
        <v>200</v>
      </c>
      <c r="AS576" t="s">
        <v>201</v>
      </c>
      <c r="AT576" t="s">
        <v>9902</v>
      </c>
      <c r="AU576">
        <v>2016</v>
      </c>
      <c r="AV576">
        <v>143</v>
      </c>
      <c r="AW576" t="s">
        <v>74</v>
      </c>
      <c r="AX576" t="s">
        <v>74</v>
      </c>
      <c r="AY576" t="s">
        <v>74</v>
      </c>
      <c r="AZ576" t="s">
        <v>74</v>
      </c>
      <c r="BA576" t="s">
        <v>74</v>
      </c>
      <c r="BB576">
        <v>228</v>
      </c>
      <c r="BC576">
        <v>250</v>
      </c>
      <c r="BD576" t="s">
        <v>74</v>
      </c>
      <c r="BE576" t="s">
        <v>11134</v>
      </c>
      <c r="BF576" t="str">
        <f>HYPERLINK("http://dx.doi.org/10.1016/j.gloplacha.2016.06.008","http://dx.doi.org/10.1016/j.gloplacha.2016.06.008")</f>
        <v>http://dx.doi.org/10.1016/j.gloplacha.2016.06.008</v>
      </c>
      <c r="BG576" t="s">
        <v>74</v>
      </c>
      <c r="BH576" t="s">
        <v>74</v>
      </c>
      <c r="BI576">
        <v>23</v>
      </c>
      <c r="BJ576" t="s">
        <v>203</v>
      </c>
      <c r="BK576" t="s">
        <v>156</v>
      </c>
      <c r="BL576" t="s">
        <v>204</v>
      </c>
      <c r="BM576" t="s">
        <v>11135</v>
      </c>
      <c r="BN576" t="s">
        <v>74</v>
      </c>
      <c r="BO576" t="s">
        <v>104</v>
      </c>
      <c r="BP576" t="s">
        <v>74</v>
      </c>
      <c r="BQ576" t="s">
        <v>74</v>
      </c>
      <c r="BR576" t="s">
        <v>105</v>
      </c>
      <c r="BS576" t="s">
        <v>11136</v>
      </c>
      <c r="BT576" t="str">
        <f>HYPERLINK("https%3A%2F%2Fwww.webofscience.com%2Fwos%2Fwoscc%2Ffull-record%2FWOS:000380594000018","View Full Record in Web of Science")</f>
        <v>View Full Record in Web of Science</v>
      </c>
    </row>
    <row r="577" spans="1:72" x14ac:dyDescent="0.15">
      <c r="A577" t="s">
        <v>72</v>
      </c>
      <c r="B577" t="s">
        <v>11137</v>
      </c>
      <c r="C577" t="s">
        <v>74</v>
      </c>
      <c r="D577" t="s">
        <v>74</v>
      </c>
      <c r="E577" t="s">
        <v>74</v>
      </c>
      <c r="F577" t="s">
        <v>11138</v>
      </c>
      <c r="G577" t="s">
        <v>74</v>
      </c>
      <c r="H577" t="s">
        <v>74</v>
      </c>
      <c r="I577" t="s">
        <v>11139</v>
      </c>
      <c r="J577" t="s">
        <v>11140</v>
      </c>
      <c r="K577" t="s">
        <v>74</v>
      </c>
      <c r="L577" t="s">
        <v>74</v>
      </c>
      <c r="M577" t="s">
        <v>78</v>
      </c>
      <c r="N577" t="s">
        <v>79</v>
      </c>
      <c r="O577" t="s">
        <v>74</v>
      </c>
      <c r="P577" t="s">
        <v>74</v>
      </c>
      <c r="Q577" t="s">
        <v>74</v>
      </c>
      <c r="R577" t="s">
        <v>74</v>
      </c>
      <c r="S577" t="s">
        <v>74</v>
      </c>
      <c r="T577" t="s">
        <v>74</v>
      </c>
      <c r="U577" t="s">
        <v>11141</v>
      </c>
      <c r="V577" t="s">
        <v>11142</v>
      </c>
      <c r="W577" t="s">
        <v>11143</v>
      </c>
      <c r="X577" t="s">
        <v>11144</v>
      </c>
      <c r="Y577" t="s">
        <v>11145</v>
      </c>
      <c r="Z577" t="s">
        <v>11146</v>
      </c>
      <c r="AA577" t="s">
        <v>11147</v>
      </c>
      <c r="AB577" t="s">
        <v>11148</v>
      </c>
      <c r="AC577" t="s">
        <v>11149</v>
      </c>
      <c r="AD577" t="s">
        <v>11150</v>
      </c>
      <c r="AE577" t="s">
        <v>11151</v>
      </c>
      <c r="AF577" t="s">
        <v>74</v>
      </c>
      <c r="AG577">
        <v>37</v>
      </c>
      <c r="AH577">
        <v>14</v>
      </c>
      <c r="AI577">
        <v>16</v>
      </c>
      <c r="AJ577">
        <v>2</v>
      </c>
      <c r="AK577">
        <v>27</v>
      </c>
      <c r="AL577" t="s">
        <v>397</v>
      </c>
      <c r="AM577" t="s">
        <v>398</v>
      </c>
      <c r="AN577" t="s">
        <v>399</v>
      </c>
      <c r="AO577" t="s">
        <v>11152</v>
      </c>
      <c r="AP577" t="s">
        <v>11153</v>
      </c>
      <c r="AQ577" t="s">
        <v>74</v>
      </c>
      <c r="AR577" t="s">
        <v>11154</v>
      </c>
      <c r="AS577" t="s">
        <v>11155</v>
      </c>
      <c r="AT577" t="s">
        <v>9902</v>
      </c>
      <c r="AU577">
        <v>2016</v>
      </c>
      <c r="AV577">
        <v>73</v>
      </c>
      <c r="AW577">
        <v>8</v>
      </c>
      <c r="AX577" t="s">
        <v>74</v>
      </c>
      <c r="AY577" t="s">
        <v>74</v>
      </c>
      <c r="AZ577" t="s">
        <v>74</v>
      </c>
      <c r="BA577" t="s">
        <v>74</v>
      </c>
      <c r="BB577">
        <v>3287</v>
      </c>
      <c r="BC577">
        <v>3303</v>
      </c>
      <c r="BD577" t="s">
        <v>74</v>
      </c>
      <c r="BE577" t="s">
        <v>11156</v>
      </c>
      <c r="BF577" t="str">
        <f>HYPERLINK("http://dx.doi.org/10.1175/JAS-D-15-0287.1","http://dx.doi.org/10.1175/JAS-D-15-0287.1")</f>
        <v>http://dx.doi.org/10.1175/JAS-D-15-0287.1</v>
      </c>
      <c r="BG577" t="s">
        <v>74</v>
      </c>
      <c r="BH577" t="s">
        <v>74</v>
      </c>
      <c r="BI577">
        <v>17</v>
      </c>
      <c r="BJ577" t="s">
        <v>2482</v>
      </c>
      <c r="BK577" t="s">
        <v>156</v>
      </c>
      <c r="BL577" t="s">
        <v>2482</v>
      </c>
      <c r="BM577" t="s">
        <v>11157</v>
      </c>
      <c r="BN577" t="s">
        <v>74</v>
      </c>
      <c r="BO577" t="s">
        <v>104</v>
      </c>
      <c r="BP577" t="s">
        <v>74</v>
      </c>
      <c r="BQ577" t="s">
        <v>74</v>
      </c>
      <c r="BR577" t="s">
        <v>105</v>
      </c>
      <c r="BS577" t="s">
        <v>11158</v>
      </c>
      <c r="BT577" t="str">
        <f>HYPERLINK("https%3A%2F%2Fwww.webofscience.com%2Fwos%2Fwoscc%2Ffull-record%2FWOS:000380764400018","View Full Record in Web of Science")</f>
        <v>View Full Record in Web of Science</v>
      </c>
    </row>
    <row r="578" spans="1:72" x14ac:dyDescent="0.15">
      <c r="A578" t="s">
        <v>72</v>
      </c>
      <c r="B578" t="s">
        <v>11159</v>
      </c>
      <c r="C578" t="s">
        <v>74</v>
      </c>
      <c r="D578" t="s">
        <v>74</v>
      </c>
      <c r="E578" t="s">
        <v>74</v>
      </c>
      <c r="F578" t="s">
        <v>11160</v>
      </c>
      <c r="G578" t="s">
        <v>74</v>
      </c>
      <c r="H578" t="s">
        <v>74</v>
      </c>
      <c r="I578" t="s">
        <v>11161</v>
      </c>
      <c r="J578" t="s">
        <v>290</v>
      </c>
      <c r="K578" t="s">
        <v>74</v>
      </c>
      <c r="L578" t="s">
        <v>74</v>
      </c>
      <c r="M578" t="s">
        <v>78</v>
      </c>
      <c r="N578" t="s">
        <v>79</v>
      </c>
      <c r="O578" t="s">
        <v>74</v>
      </c>
      <c r="P578" t="s">
        <v>74</v>
      </c>
      <c r="Q578" t="s">
        <v>74</v>
      </c>
      <c r="R578" t="s">
        <v>74</v>
      </c>
      <c r="S578" t="s">
        <v>74</v>
      </c>
      <c r="T578" t="s">
        <v>11162</v>
      </c>
      <c r="U578" t="s">
        <v>11163</v>
      </c>
      <c r="V578" t="s">
        <v>11164</v>
      </c>
      <c r="W578" t="s">
        <v>11165</v>
      </c>
      <c r="X578" t="s">
        <v>11166</v>
      </c>
      <c r="Y578" t="s">
        <v>11167</v>
      </c>
      <c r="Z578" t="s">
        <v>11168</v>
      </c>
      <c r="AA578" t="s">
        <v>11169</v>
      </c>
      <c r="AB578" t="s">
        <v>74</v>
      </c>
      <c r="AC578" t="s">
        <v>11170</v>
      </c>
      <c r="AD578" t="s">
        <v>11171</v>
      </c>
      <c r="AE578" t="s">
        <v>11172</v>
      </c>
      <c r="AF578" t="s">
        <v>74</v>
      </c>
      <c r="AG578">
        <v>29</v>
      </c>
      <c r="AH578">
        <v>8</v>
      </c>
      <c r="AI578">
        <v>8</v>
      </c>
      <c r="AJ578">
        <v>0</v>
      </c>
      <c r="AK578">
        <v>19</v>
      </c>
      <c r="AL578" t="s">
        <v>303</v>
      </c>
      <c r="AM578" t="s">
        <v>304</v>
      </c>
      <c r="AN578" t="s">
        <v>305</v>
      </c>
      <c r="AO578" t="s">
        <v>306</v>
      </c>
      <c r="AP578" t="s">
        <v>307</v>
      </c>
      <c r="AQ578" t="s">
        <v>74</v>
      </c>
      <c r="AR578" t="s">
        <v>308</v>
      </c>
      <c r="AS578" t="s">
        <v>309</v>
      </c>
      <c r="AT578" t="s">
        <v>9902</v>
      </c>
      <c r="AU578">
        <v>2016</v>
      </c>
      <c r="AV578">
        <v>146</v>
      </c>
      <c r="AW578" t="s">
        <v>74</v>
      </c>
      <c r="AX578" t="s">
        <v>74</v>
      </c>
      <c r="AY578" t="s">
        <v>74</v>
      </c>
      <c r="AZ578" t="s">
        <v>74</v>
      </c>
      <c r="BA578" t="s">
        <v>74</v>
      </c>
      <c r="BB578">
        <v>58</v>
      </c>
      <c r="BC578">
        <v>68</v>
      </c>
      <c r="BD578" t="s">
        <v>74</v>
      </c>
      <c r="BE578" t="s">
        <v>11173</v>
      </c>
      <c r="BF578" t="str">
        <f>HYPERLINK("http://dx.doi.org/10.1016/j.jastp.2016.05.011","http://dx.doi.org/10.1016/j.jastp.2016.05.011")</f>
        <v>http://dx.doi.org/10.1016/j.jastp.2016.05.011</v>
      </c>
      <c r="BG578" t="s">
        <v>74</v>
      </c>
      <c r="BH578" t="s">
        <v>74</v>
      </c>
      <c r="BI578">
        <v>11</v>
      </c>
      <c r="BJ578" t="s">
        <v>311</v>
      </c>
      <c r="BK578" t="s">
        <v>156</v>
      </c>
      <c r="BL578" t="s">
        <v>311</v>
      </c>
      <c r="BM578" t="s">
        <v>11174</v>
      </c>
      <c r="BN578" t="s">
        <v>74</v>
      </c>
      <c r="BO578" t="s">
        <v>74</v>
      </c>
      <c r="BP578" t="s">
        <v>74</v>
      </c>
      <c r="BQ578" t="s">
        <v>74</v>
      </c>
      <c r="BR578" t="s">
        <v>105</v>
      </c>
      <c r="BS578" t="s">
        <v>11175</v>
      </c>
      <c r="BT578" t="str">
        <f>HYPERLINK("https%3A%2F%2Fwww.webofscience.com%2Fwos%2Fwoscc%2Ffull-record%2FWOS:000380593300006","View Full Record in Web of Science")</f>
        <v>View Full Record in Web of Science</v>
      </c>
    </row>
    <row r="579" spans="1:72" x14ac:dyDescent="0.15">
      <c r="A579" t="s">
        <v>72</v>
      </c>
      <c r="B579" t="s">
        <v>11176</v>
      </c>
      <c r="C579" t="s">
        <v>74</v>
      </c>
      <c r="D579" t="s">
        <v>74</v>
      </c>
      <c r="E579" t="s">
        <v>74</v>
      </c>
      <c r="F579" t="s">
        <v>11177</v>
      </c>
      <c r="G579" t="s">
        <v>74</v>
      </c>
      <c r="H579" t="s">
        <v>74</v>
      </c>
      <c r="I579" t="s">
        <v>11178</v>
      </c>
      <c r="J579" t="s">
        <v>290</v>
      </c>
      <c r="K579" t="s">
        <v>74</v>
      </c>
      <c r="L579" t="s">
        <v>74</v>
      </c>
      <c r="M579" t="s">
        <v>78</v>
      </c>
      <c r="N579" t="s">
        <v>79</v>
      </c>
      <c r="O579" t="s">
        <v>74</v>
      </c>
      <c r="P579" t="s">
        <v>74</v>
      </c>
      <c r="Q579" t="s">
        <v>74</v>
      </c>
      <c r="R579" t="s">
        <v>74</v>
      </c>
      <c r="S579" t="s">
        <v>74</v>
      </c>
      <c r="T579" t="s">
        <v>11179</v>
      </c>
      <c r="U579" t="s">
        <v>11180</v>
      </c>
      <c r="V579" t="s">
        <v>11181</v>
      </c>
      <c r="W579" t="s">
        <v>11182</v>
      </c>
      <c r="X579" t="s">
        <v>11183</v>
      </c>
      <c r="Y579" t="s">
        <v>11184</v>
      </c>
      <c r="Z579" t="s">
        <v>11185</v>
      </c>
      <c r="AA579" t="s">
        <v>74</v>
      </c>
      <c r="AB579" t="s">
        <v>74</v>
      </c>
      <c r="AC579" t="s">
        <v>11186</v>
      </c>
      <c r="AD579" t="s">
        <v>74</v>
      </c>
      <c r="AE579" t="s">
        <v>11187</v>
      </c>
      <c r="AF579" t="s">
        <v>74</v>
      </c>
      <c r="AG579">
        <v>37</v>
      </c>
      <c r="AH579">
        <v>2</v>
      </c>
      <c r="AI579">
        <v>2</v>
      </c>
      <c r="AJ579">
        <v>0</v>
      </c>
      <c r="AK579">
        <v>4</v>
      </c>
      <c r="AL579" t="s">
        <v>303</v>
      </c>
      <c r="AM579" t="s">
        <v>304</v>
      </c>
      <c r="AN579" t="s">
        <v>305</v>
      </c>
      <c r="AO579" t="s">
        <v>306</v>
      </c>
      <c r="AP579" t="s">
        <v>307</v>
      </c>
      <c r="AQ579" t="s">
        <v>74</v>
      </c>
      <c r="AR579" t="s">
        <v>308</v>
      </c>
      <c r="AS579" t="s">
        <v>309</v>
      </c>
      <c r="AT579" t="s">
        <v>9902</v>
      </c>
      <c r="AU579">
        <v>2016</v>
      </c>
      <c r="AV579">
        <v>146</v>
      </c>
      <c r="AW579" t="s">
        <v>74</v>
      </c>
      <c r="AX579" t="s">
        <v>74</v>
      </c>
      <c r="AY579" t="s">
        <v>74</v>
      </c>
      <c r="AZ579" t="s">
        <v>74</v>
      </c>
      <c r="BA579" t="s">
        <v>74</v>
      </c>
      <c r="BB579">
        <v>129</v>
      </c>
      <c r="BC579">
        <v>139</v>
      </c>
      <c r="BD579" t="s">
        <v>74</v>
      </c>
      <c r="BE579" t="s">
        <v>11188</v>
      </c>
      <c r="BF579" t="str">
        <f>HYPERLINK("http://dx.doi.org/10.1016/j.jastp.2016.05.015","http://dx.doi.org/10.1016/j.jastp.2016.05.015")</f>
        <v>http://dx.doi.org/10.1016/j.jastp.2016.05.015</v>
      </c>
      <c r="BG579" t="s">
        <v>74</v>
      </c>
      <c r="BH579" t="s">
        <v>74</v>
      </c>
      <c r="BI579">
        <v>11</v>
      </c>
      <c r="BJ579" t="s">
        <v>311</v>
      </c>
      <c r="BK579" t="s">
        <v>156</v>
      </c>
      <c r="BL579" t="s">
        <v>311</v>
      </c>
      <c r="BM579" t="s">
        <v>11174</v>
      </c>
      <c r="BN579" t="s">
        <v>74</v>
      </c>
      <c r="BO579" t="s">
        <v>74</v>
      </c>
      <c r="BP579" t="s">
        <v>74</v>
      </c>
      <c r="BQ579" t="s">
        <v>74</v>
      </c>
      <c r="BR579" t="s">
        <v>105</v>
      </c>
      <c r="BS579" t="s">
        <v>11189</v>
      </c>
      <c r="BT579" t="str">
        <f>HYPERLINK("https%3A%2F%2Fwww.webofscience.com%2Fwos%2Fwoscc%2Ffull-record%2FWOS:000380593300013","View Full Record in Web of Science")</f>
        <v>View Full Record in Web of Science</v>
      </c>
    </row>
    <row r="580" spans="1:72" x14ac:dyDescent="0.15">
      <c r="A580" t="s">
        <v>72</v>
      </c>
      <c r="B580" t="s">
        <v>11190</v>
      </c>
      <c r="C580" t="s">
        <v>74</v>
      </c>
      <c r="D580" t="s">
        <v>74</v>
      </c>
      <c r="E580" t="s">
        <v>74</v>
      </c>
      <c r="F580" t="s">
        <v>11191</v>
      </c>
      <c r="G580" t="s">
        <v>74</v>
      </c>
      <c r="H580" t="s">
        <v>74</v>
      </c>
      <c r="I580" t="s">
        <v>11192</v>
      </c>
      <c r="J580" t="s">
        <v>11193</v>
      </c>
      <c r="K580" t="s">
        <v>74</v>
      </c>
      <c r="L580" t="s">
        <v>74</v>
      </c>
      <c r="M580" t="s">
        <v>78</v>
      </c>
      <c r="N580" t="s">
        <v>79</v>
      </c>
      <c r="O580" t="s">
        <v>74</v>
      </c>
      <c r="P580" t="s">
        <v>74</v>
      </c>
      <c r="Q580" t="s">
        <v>74</v>
      </c>
      <c r="R580" t="s">
        <v>74</v>
      </c>
      <c r="S580" t="s">
        <v>74</v>
      </c>
      <c r="T580" t="s">
        <v>11194</v>
      </c>
      <c r="U580" t="s">
        <v>11195</v>
      </c>
      <c r="V580" t="s">
        <v>11196</v>
      </c>
      <c r="W580" t="s">
        <v>11197</v>
      </c>
      <c r="X580" t="s">
        <v>11198</v>
      </c>
      <c r="Y580" t="s">
        <v>11199</v>
      </c>
      <c r="Z580" t="s">
        <v>11200</v>
      </c>
      <c r="AA580" t="s">
        <v>74</v>
      </c>
      <c r="AB580" t="s">
        <v>74</v>
      </c>
      <c r="AC580" t="s">
        <v>11201</v>
      </c>
      <c r="AD580" t="s">
        <v>11202</v>
      </c>
      <c r="AE580" t="s">
        <v>11203</v>
      </c>
      <c r="AF580" t="s">
        <v>74</v>
      </c>
      <c r="AG580">
        <v>72</v>
      </c>
      <c r="AH580">
        <v>2</v>
      </c>
      <c r="AI580">
        <v>3</v>
      </c>
      <c r="AJ580">
        <v>0</v>
      </c>
      <c r="AK580">
        <v>9</v>
      </c>
      <c r="AL580" t="s">
        <v>92</v>
      </c>
      <c r="AM580" t="s">
        <v>93</v>
      </c>
      <c r="AN580" t="s">
        <v>94</v>
      </c>
      <c r="AO580" t="s">
        <v>11204</v>
      </c>
      <c r="AP580" t="s">
        <v>11205</v>
      </c>
      <c r="AQ580" t="s">
        <v>74</v>
      </c>
      <c r="AR580" t="s">
        <v>11206</v>
      </c>
      <c r="AS580" t="s">
        <v>11207</v>
      </c>
      <c r="AT580" t="s">
        <v>9902</v>
      </c>
      <c r="AU580">
        <v>2016</v>
      </c>
      <c r="AV580">
        <v>257</v>
      </c>
      <c r="AW580" t="s">
        <v>74</v>
      </c>
      <c r="AX580" t="s">
        <v>74</v>
      </c>
      <c r="AY580" t="s">
        <v>74</v>
      </c>
      <c r="AZ580" t="s">
        <v>74</v>
      </c>
      <c r="BA580" t="s">
        <v>74</v>
      </c>
      <c r="BB580">
        <v>57</v>
      </c>
      <c r="BC580">
        <v>78</v>
      </c>
      <c r="BD580" t="s">
        <v>74</v>
      </c>
      <c r="BE580" t="s">
        <v>11208</v>
      </c>
      <c r="BF580" t="str">
        <f>HYPERLINK("http://dx.doi.org/10.1016/j.pepi.2016.05.011","http://dx.doi.org/10.1016/j.pepi.2016.05.011")</f>
        <v>http://dx.doi.org/10.1016/j.pepi.2016.05.011</v>
      </c>
      <c r="BG580" t="s">
        <v>74</v>
      </c>
      <c r="BH580" t="s">
        <v>74</v>
      </c>
      <c r="BI580">
        <v>22</v>
      </c>
      <c r="BJ580" t="s">
        <v>155</v>
      </c>
      <c r="BK580" t="s">
        <v>156</v>
      </c>
      <c r="BL580" t="s">
        <v>155</v>
      </c>
      <c r="BM580" t="s">
        <v>11209</v>
      </c>
      <c r="BN580" t="s">
        <v>74</v>
      </c>
      <c r="BO580" t="s">
        <v>74</v>
      </c>
      <c r="BP580" t="s">
        <v>74</v>
      </c>
      <c r="BQ580" t="s">
        <v>74</v>
      </c>
      <c r="BR580" t="s">
        <v>105</v>
      </c>
      <c r="BS580" t="s">
        <v>11210</v>
      </c>
      <c r="BT580" t="str">
        <f>HYPERLINK("https%3A%2F%2Fwww.webofscience.com%2Fwos%2Fwoscc%2Ffull-record%2FWOS:000380598600007","View Full Record in Web of Science")</f>
        <v>View Full Record in Web of Science</v>
      </c>
    </row>
    <row r="581" spans="1:72" x14ac:dyDescent="0.15">
      <c r="A581" t="s">
        <v>72</v>
      </c>
      <c r="B581" t="s">
        <v>11211</v>
      </c>
      <c r="C581" t="s">
        <v>74</v>
      </c>
      <c r="D581" t="s">
        <v>74</v>
      </c>
      <c r="E581" t="s">
        <v>74</v>
      </c>
      <c r="F581" t="s">
        <v>11212</v>
      </c>
      <c r="G581" t="s">
        <v>74</v>
      </c>
      <c r="H581" t="s">
        <v>74</v>
      </c>
      <c r="I581" t="s">
        <v>11213</v>
      </c>
      <c r="J581" t="s">
        <v>1654</v>
      </c>
      <c r="K581" t="s">
        <v>74</v>
      </c>
      <c r="L581" t="s">
        <v>74</v>
      </c>
      <c r="M581" t="s">
        <v>78</v>
      </c>
      <c r="N581" t="s">
        <v>79</v>
      </c>
      <c r="O581" t="s">
        <v>74</v>
      </c>
      <c r="P581" t="s">
        <v>74</v>
      </c>
      <c r="Q581" t="s">
        <v>74</v>
      </c>
      <c r="R581" t="s">
        <v>74</v>
      </c>
      <c r="S581" t="s">
        <v>74</v>
      </c>
      <c r="T581" t="s">
        <v>11214</v>
      </c>
      <c r="U581" t="s">
        <v>11215</v>
      </c>
      <c r="V581" t="s">
        <v>11216</v>
      </c>
      <c r="W581" t="s">
        <v>11217</v>
      </c>
      <c r="X581" t="s">
        <v>11218</v>
      </c>
      <c r="Y581" t="s">
        <v>11219</v>
      </c>
      <c r="Z581" t="s">
        <v>11220</v>
      </c>
      <c r="AA581" t="s">
        <v>11221</v>
      </c>
      <c r="AB581" t="s">
        <v>11222</v>
      </c>
      <c r="AC581" t="s">
        <v>11223</v>
      </c>
      <c r="AD581" t="s">
        <v>11224</v>
      </c>
      <c r="AE581" t="s">
        <v>11225</v>
      </c>
      <c r="AF581" t="s">
        <v>74</v>
      </c>
      <c r="AG581">
        <v>50</v>
      </c>
      <c r="AH581">
        <v>7</v>
      </c>
      <c r="AI581">
        <v>11</v>
      </c>
      <c r="AJ581">
        <v>0</v>
      </c>
      <c r="AK581">
        <v>22</v>
      </c>
      <c r="AL581" t="s">
        <v>303</v>
      </c>
      <c r="AM581" t="s">
        <v>304</v>
      </c>
      <c r="AN581" t="s">
        <v>305</v>
      </c>
      <c r="AO581" t="s">
        <v>1666</v>
      </c>
      <c r="AP581" t="s">
        <v>74</v>
      </c>
      <c r="AQ581" t="s">
        <v>74</v>
      </c>
      <c r="AR581" t="s">
        <v>1668</v>
      </c>
      <c r="AS581" t="s">
        <v>1669</v>
      </c>
      <c r="AT581" t="s">
        <v>9946</v>
      </c>
      <c r="AU581">
        <v>2016</v>
      </c>
      <c r="AV581">
        <v>145</v>
      </c>
      <c r="AW581" t="s">
        <v>74</v>
      </c>
      <c r="AX581" t="s">
        <v>74</v>
      </c>
      <c r="AY581" t="s">
        <v>74</v>
      </c>
      <c r="AZ581" t="s">
        <v>74</v>
      </c>
      <c r="BA581" t="s">
        <v>74</v>
      </c>
      <c r="BB581">
        <v>71</v>
      </c>
      <c r="BC581">
        <v>81</v>
      </c>
      <c r="BD581" t="s">
        <v>74</v>
      </c>
      <c r="BE581" t="s">
        <v>11226</v>
      </c>
      <c r="BF581" t="str">
        <f>HYPERLINK("http://dx.doi.org/10.1016/j.quascirev.2016.05.030","http://dx.doi.org/10.1016/j.quascirev.2016.05.030")</f>
        <v>http://dx.doi.org/10.1016/j.quascirev.2016.05.030</v>
      </c>
      <c r="BG581" t="s">
        <v>74</v>
      </c>
      <c r="BH581" t="s">
        <v>74</v>
      </c>
      <c r="BI581">
        <v>11</v>
      </c>
      <c r="BJ581" t="s">
        <v>203</v>
      </c>
      <c r="BK581" t="s">
        <v>156</v>
      </c>
      <c r="BL581" t="s">
        <v>204</v>
      </c>
      <c r="BM581" t="s">
        <v>11227</v>
      </c>
      <c r="BN581" t="s">
        <v>74</v>
      </c>
      <c r="BO581" t="s">
        <v>74</v>
      </c>
      <c r="BP581" t="s">
        <v>74</v>
      </c>
      <c r="BQ581" t="s">
        <v>74</v>
      </c>
      <c r="BR581" t="s">
        <v>105</v>
      </c>
      <c r="BS581" t="s">
        <v>11228</v>
      </c>
      <c r="BT581" t="str">
        <f>HYPERLINK("https%3A%2F%2Fwww.webofscience.com%2Fwos%2Fwoscc%2Ffull-record%2FWOS:000380602700003","View Full Record in Web of Science")</f>
        <v>View Full Record in Web of Science</v>
      </c>
    </row>
    <row r="582" spans="1:72" x14ac:dyDescent="0.15">
      <c r="A582" t="s">
        <v>72</v>
      </c>
      <c r="B582" t="s">
        <v>11229</v>
      </c>
      <c r="C582" t="s">
        <v>74</v>
      </c>
      <c r="D582" t="s">
        <v>74</v>
      </c>
      <c r="E582" t="s">
        <v>74</v>
      </c>
      <c r="F582" t="s">
        <v>11230</v>
      </c>
      <c r="G582" t="s">
        <v>74</v>
      </c>
      <c r="H582" t="s">
        <v>74</v>
      </c>
      <c r="I582" t="s">
        <v>11231</v>
      </c>
      <c r="J582" t="s">
        <v>11232</v>
      </c>
      <c r="K582" t="s">
        <v>74</v>
      </c>
      <c r="L582" t="s">
        <v>74</v>
      </c>
      <c r="M582" t="s">
        <v>78</v>
      </c>
      <c r="N582" t="s">
        <v>79</v>
      </c>
      <c r="O582" t="s">
        <v>74</v>
      </c>
      <c r="P582" t="s">
        <v>74</v>
      </c>
      <c r="Q582" t="s">
        <v>74</v>
      </c>
      <c r="R582" t="s">
        <v>74</v>
      </c>
      <c r="S582" t="s">
        <v>74</v>
      </c>
      <c r="T582" t="s">
        <v>74</v>
      </c>
      <c r="U582" t="s">
        <v>11233</v>
      </c>
      <c r="V582" t="s">
        <v>11234</v>
      </c>
      <c r="W582" t="s">
        <v>11235</v>
      </c>
      <c r="X582" t="s">
        <v>11236</v>
      </c>
      <c r="Y582" t="s">
        <v>11237</v>
      </c>
      <c r="Z582" t="s">
        <v>11238</v>
      </c>
      <c r="AA582" t="s">
        <v>11239</v>
      </c>
      <c r="AB582" t="s">
        <v>11240</v>
      </c>
      <c r="AC582" t="s">
        <v>11241</v>
      </c>
      <c r="AD582" t="s">
        <v>11242</v>
      </c>
      <c r="AE582" t="s">
        <v>11243</v>
      </c>
      <c r="AF582" t="s">
        <v>74</v>
      </c>
      <c r="AG582">
        <v>49</v>
      </c>
      <c r="AH582">
        <v>18</v>
      </c>
      <c r="AI582">
        <v>19</v>
      </c>
      <c r="AJ582">
        <v>0</v>
      </c>
      <c r="AK582">
        <v>14</v>
      </c>
      <c r="AL582" t="s">
        <v>11244</v>
      </c>
      <c r="AM582" t="s">
        <v>11245</v>
      </c>
      <c r="AN582" t="s">
        <v>11246</v>
      </c>
      <c r="AO582" t="s">
        <v>11247</v>
      </c>
      <c r="AP582" t="s">
        <v>11248</v>
      </c>
      <c r="AQ582" t="s">
        <v>74</v>
      </c>
      <c r="AR582" t="s">
        <v>11249</v>
      </c>
      <c r="AS582" t="s">
        <v>11250</v>
      </c>
      <c r="AT582" t="s">
        <v>9902</v>
      </c>
      <c r="AU582">
        <v>2016</v>
      </c>
      <c r="AV582">
        <v>125</v>
      </c>
      <c r="AW582" t="s">
        <v>10541</v>
      </c>
      <c r="AX582" t="s">
        <v>74</v>
      </c>
      <c r="AY582" t="s">
        <v>74</v>
      </c>
      <c r="AZ582" t="s">
        <v>74</v>
      </c>
      <c r="BA582" t="s">
        <v>74</v>
      </c>
      <c r="BB582">
        <v>757</v>
      </c>
      <c r="BC582">
        <v>768</v>
      </c>
      <c r="BD582" t="s">
        <v>74</v>
      </c>
      <c r="BE582" t="s">
        <v>11251</v>
      </c>
      <c r="BF582" t="str">
        <f>HYPERLINK("http://dx.doi.org/10.1007/s00704-015-1545-4","http://dx.doi.org/10.1007/s00704-015-1545-4")</f>
        <v>http://dx.doi.org/10.1007/s00704-015-1545-4</v>
      </c>
      <c r="BG582" t="s">
        <v>74</v>
      </c>
      <c r="BH582" t="s">
        <v>74</v>
      </c>
      <c r="BI582">
        <v>12</v>
      </c>
      <c r="BJ582" t="s">
        <v>2482</v>
      </c>
      <c r="BK582" t="s">
        <v>156</v>
      </c>
      <c r="BL582" t="s">
        <v>2482</v>
      </c>
      <c r="BM582" t="s">
        <v>11252</v>
      </c>
      <c r="BN582" t="s">
        <v>74</v>
      </c>
      <c r="BO582" t="s">
        <v>74</v>
      </c>
      <c r="BP582" t="s">
        <v>74</v>
      </c>
      <c r="BQ582" t="s">
        <v>74</v>
      </c>
      <c r="BR582" t="s">
        <v>105</v>
      </c>
      <c r="BS582" t="s">
        <v>11253</v>
      </c>
      <c r="BT582" t="str">
        <f>HYPERLINK("https%3A%2F%2Fwww.webofscience.com%2Fwos%2Fwoscc%2Ffull-record%2FWOS:000380703300028","View Full Record in Web of Science")</f>
        <v>View Full Record in Web of Science</v>
      </c>
    </row>
    <row r="583" spans="1:72" x14ac:dyDescent="0.15">
      <c r="A583" t="s">
        <v>72</v>
      </c>
      <c r="B583" t="s">
        <v>11254</v>
      </c>
      <c r="C583" t="s">
        <v>74</v>
      </c>
      <c r="D583" t="s">
        <v>74</v>
      </c>
      <c r="E583" t="s">
        <v>74</v>
      </c>
      <c r="F583" t="s">
        <v>11255</v>
      </c>
      <c r="G583" t="s">
        <v>74</v>
      </c>
      <c r="H583" t="s">
        <v>74</v>
      </c>
      <c r="I583" t="s">
        <v>11256</v>
      </c>
      <c r="J583" t="s">
        <v>11257</v>
      </c>
      <c r="K583" t="s">
        <v>74</v>
      </c>
      <c r="L583" t="s">
        <v>74</v>
      </c>
      <c r="M583" t="s">
        <v>78</v>
      </c>
      <c r="N583" t="s">
        <v>79</v>
      </c>
      <c r="O583" t="s">
        <v>74</v>
      </c>
      <c r="P583" t="s">
        <v>74</v>
      </c>
      <c r="Q583" t="s">
        <v>74</v>
      </c>
      <c r="R583" t="s">
        <v>74</v>
      </c>
      <c r="S583" t="s">
        <v>74</v>
      </c>
      <c r="T583" t="s">
        <v>11258</v>
      </c>
      <c r="U583" t="s">
        <v>11259</v>
      </c>
      <c r="V583" t="s">
        <v>11260</v>
      </c>
      <c r="W583" t="s">
        <v>11261</v>
      </c>
      <c r="X583" t="s">
        <v>11262</v>
      </c>
      <c r="Y583" t="s">
        <v>11263</v>
      </c>
      <c r="Z583" t="s">
        <v>11264</v>
      </c>
      <c r="AA583" t="s">
        <v>11265</v>
      </c>
      <c r="AB583" t="s">
        <v>11266</v>
      </c>
      <c r="AC583" t="s">
        <v>11267</v>
      </c>
      <c r="AD583" t="s">
        <v>11268</v>
      </c>
      <c r="AE583" t="s">
        <v>11269</v>
      </c>
      <c r="AF583" t="s">
        <v>74</v>
      </c>
      <c r="AG583">
        <v>38</v>
      </c>
      <c r="AH583">
        <v>9</v>
      </c>
      <c r="AI583">
        <v>11</v>
      </c>
      <c r="AJ583">
        <v>0</v>
      </c>
      <c r="AK583">
        <v>5</v>
      </c>
      <c r="AL583" t="s">
        <v>2501</v>
      </c>
      <c r="AM583" t="s">
        <v>304</v>
      </c>
      <c r="AN583" t="s">
        <v>2502</v>
      </c>
      <c r="AO583" t="s">
        <v>11270</v>
      </c>
      <c r="AP583" t="s">
        <v>11271</v>
      </c>
      <c r="AQ583" t="s">
        <v>74</v>
      </c>
      <c r="AR583" t="s">
        <v>11272</v>
      </c>
      <c r="AS583" t="s">
        <v>11273</v>
      </c>
      <c r="AT583" t="s">
        <v>9902</v>
      </c>
      <c r="AU583">
        <v>2016</v>
      </c>
      <c r="AV583">
        <v>206</v>
      </c>
      <c r="AW583">
        <v>2</v>
      </c>
      <c r="AX583" t="s">
        <v>74</v>
      </c>
      <c r="AY583" t="s">
        <v>74</v>
      </c>
      <c r="AZ583" t="s">
        <v>74</v>
      </c>
      <c r="BA583" t="s">
        <v>74</v>
      </c>
      <c r="BB583">
        <v>1375</v>
      </c>
      <c r="BC583">
        <v>1381</v>
      </c>
      <c r="BD583" t="s">
        <v>74</v>
      </c>
      <c r="BE583" t="s">
        <v>11274</v>
      </c>
      <c r="BF583" t="str">
        <f>HYPERLINK("http://dx.doi.org/10.1093/gji/ggw214","http://dx.doi.org/10.1093/gji/ggw214")</f>
        <v>http://dx.doi.org/10.1093/gji/ggw214</v>
      </c>
      <c r="BG583" t="s">
        <v>74</v>
      </c>
      <c r="BH583" t="s">
        <v>74</v>
      </c>
      <c r="BI583">
        <v>7</v>
      </c>
      <c r="BJ583" t="s">
        <v>155</v>
      </c>
      <c r="BK583" t="s">
        <v>156</v>
      </c>
      <c r="BL583" t="s">
        <v>155</v>
      </c>
      <c r="BM583" t="s">
        <v>11275</v>
      </c>
      <c r="BN583" t="s">
        <v>74</v>
      </c>
      <c r="BO583" t="s">
        <v>1494</v>
      </c>
      <c r="BP583" t="s">
        <v>74</v>
      </c>
      <c r="BQ583" t="s">
        <v>74</v>
      </c>
      <c r="BR583" t="s">
        <v>105</v>
      </c>
      <c r="BS583" t="s">
        <v>11276</v>
      </c>
      <c r="BT583" t="str">
        <f>HYPERLINK("https%3A%2F%2Fwww.webofscience.com%2Fwos%2Fwoscc%2Ffull-record%2FWOS:000379772500046","View Full Record in Web of Science")</f>
        <v>View Full Record in Web of Science</v>
      </c>
    </row>
    <row r="584" spans="1:72" x14ac:dyDescent="0.15">
      <c r="A584" t="s">
        <v>72</v>
      </c>
      <c r="B584" t="s">
        <v>11277</v>
      </c>
      <c r="C584" t="s">
        <v>74</v>
      </c>
      <c r="D584" t="s">
        <v>74</v>
      </c>
      <c r="E584" t="s">
        <v>74</v>
      </c>
      <c r="F584" t="s">
        <v>11278</v>
      </c>
      <c r="G584" t="s">
        <v>74</v>
      </c>
      <c r="H584" t="s">
        <v>74</v>
      </c>
      <c r="I584" t="s">
        <v>11279</v>
      </c>
      <c r="J584" t="s">
        <v>3514</v>
      </c>
      <c r="K584" t="s">
        <v>74</v>
      </c>
      <c r="L584" t="s">
        <v>74</v>
      </c>
      <c r="M584" t="s">
        <v>78</v>
      </c>
      <c r="N584" t="s">
        <v>79</v>
      </c>
      <c r="O584" t="s">
        <v>74</v>
      </c>
      <c r="P584" t="s">
        <v>74</v>
      </c>
      <c r="Q584" t="s">
        <v>74</v>
      </c>
      <c r="R584" t="s">
        <v>74</v>
      </c>
      <c r="S584" t="s">
        <v>74</v>
      </c>
      <c r="T584" t="s">
        <v>74</v>
      </c>
      <c r="U584" t="s">
        <v>11280</v>
      </c>
      <c r="V584" t="s">
        <v>11281</v>
      </c>
      <c r="W584" t="s">
        <v>11282</v>
      </c>
      <c r="X584" t="s">
        <v>11283</v>
      </c>
      <c r="Y584" t="s">
        <v>11284</v>
      </c>
      <c r="Z584" t="s">
        <v>11285</v>
      </c>
      <c r="AA584" t="s">
        <v>11286</v>
      </c>
      <c r="AB584" t="s">
        <v>11287</v>
      </c>
      <c r="AC584" t="s">
        <v>11288</v>
      </c>
      <c r="AD584" t="s">
        <v>11289</v>
      </c>
      <c r="AE584" t="s">
        <v>11290</v>
      </c>
      <c r="AF584" t="s">
        <v>74</v>
      </c>
      <c r="AG584">
        <v>48</v>
      </c>
      <c r="AH584">
        <v>10</v>
      </c>
      <c r="AI584">
        <v>10</v>
      </c>
      <c r="AJ584">
        <v>0</v>
      </c>
      <c r="AK584">
        <v>14</v>
      </c>
      <c r="AL584" t="s">
        <v>501</v>
      </c>
      <c r="AM584" t="s">
        <v>502</v>
      </c>
      <c r="AN584" t="s">
        <v>503</v>
      </c>
      <c r="AO584" t="s">
        <v>3526</v>
      </c>
      <c r="AP584" t="s">
        <v>74</v>
      </c>
      <c r="AQ584" t="s">
        <v>74</v>
      </c>
      <c r="AR584" t="s">
        <v>3527</v>
      </c>
      <c r="AS584" t="s">
        <v>3528</v>
      </c>
      <c r="AT584" t="s">
        <v>9902</v>
      </c>
      <c r="AU584">
        <v>2016</v>
      </c>
      <c r="AV584">
        <v>8</v>
      </c>
      <c r="AW584">
        <v>4</v>
      </c>
      <c r="AX584" t="s">
        <v>74</v>
      </c>
      <c r="AY584" t="s">
        <v>74</v>
      </c>
      <c r="AZ584" t="s">
        <v>650</v>
      </c>
      <c r="BA584" t="s">
        <v>74</v>
      </c>
      <c r="BB584">
        <v>527</v>
      </c>
      <c r="BC584">
        <v>535</v>
      </c>
      <c r="BD584" t="s">
        <v>74</v>
      </c>
      <c r="BE584" t="s">
        <v>11291</v>
      </c>
      <c r="BF584" t="str">
        <f>HYPERLINK("http://dx.doi.org/10.1111/1758-2229.12428","http://dx.doi.org/10.1111/1758-2229.12428")</f>
        <v>http://dx.doi.org/10.1111/1758-2229.12428</v>
      </c>
      <c r="BG584" t="s">
        <v>74</v>
      </c>
      <c r="BH584" t="s">
        <v>74</v>
      </c>
      <c r="BI584">
        <v>9</v>
      </c>
      <c r="BJ584" t="s">
        <v>3530</v>
      </c>
      <c r="BK584" t="s">
        <v>156</v>
      </c>
      <c r="BL584" t="s">
        <v>283</v>
      </c>
      <c r="BM584" t="s">
        <v>11292</v>
      </c>
      <c r="BN584">
        <v>27264318</v>
      </c>
      <c r="BO584" t="s">
        <v>74</v>
      </c>
      <c r="BP584" t="s">
        <v>74</v>
      </c>
      <c r="BQ584" t="s">
        <v>74</v>
      </c>
      <c r="BR584" t="s">
        <v>105</v>
      </c>
      <c r="BS584" t="s">
        <v>11293</v>
      </c>
      <c r="BT584" t="str">
        <f>HYPERLINK("https%3A%2F%2Fwww.webofscience.com%2Fwos%2Fwoscc%2Ffull-record%2FWOS:000379938900013","View Full Record in Web of Science")</f>
        <v>View Full Record in Web of Science</v>
      </c>
    </row>
    <row r="585" spans="1:72" x14ac:dyDescent="0.15">
      <c r="A585" t="s">
        <v>72</v>
      </c>
      <c r="B585" t="s">
        <v>11294</v>
      </c>
      <c r="C585" t="s">
        <v>74</v>
      </c>
      <c r="D585" t="s">
        <v>74</v>
      </c>
      <c r="E585" t="s">
        <v>74</v>
      </c>
      <c r="F585" t="s">
        <v>11295</v>
      </c>
      <c r="G585" t="s">
        <v>74</v>
      </c>
      <c r="H585" t="s">
        <v>74</v>
      </c>
      <c r="I585" t="s">
        <v>11296</v>
      </c>
      <c r="J585" t="s">
        <v>11297</v>
      </c>
      <c r="K585" t="s">
        <v>74</v>
      </c>
      <c r="L585" t="s">
        <v>74</v>
      </c>
      <c r="M585" t="s">
        <v>78</v>
      </c>
      <c r="N585" t="s">
        <v>79</v>
      </c>
      <c r="O585" t="s">
        <v>74</v>
      </c>
      <c r="P585" t="s">
        <v>74</v>
      </c>
      <c r="Q585" t="s">
        <v>74</v>
      </c>
      <c r="R585" t="s">
        <v>74</v>
      </c>
      <c r="S585" t="s">
        <v>74</v>
      </c>
      <c r="T585" t="s">
        <v>74</v>
      </c>
      <c r="U585" t="s">
        <v>11298</v>
      </c>
      <c r="V585" t="s">
        <v>11299</v>
      </c>
      <c r="W585" t="s">
        <v>11300</v>
      </c>
      <c r="X585" t="s">
        <v>11301</v>
      </c>
      <c r="Y585" t="s">
        <v>11302</v>
      </c>
      <c r="Z585" t="s">
        <v>7382</v>
      </c>
      <c r="AA585" t="s">
        <v>11303</v>
      </c>
      <c r="AB585" t="s">
        <v>11304</v>
      </c>
      <c r="AC585" t="s">
        <v>11305</v>
      </c>
      <c r="AD585" t="s">
        <v>11306</v>
      </c>
      <c r="AE585" t="s">
        <v>11307</v>
      </c>
      <c r="AF585" t="s">
        <v>74</v>
      </c>
      <c r="AG585">
        <v>64</v>
      </c>
      <c r="AH585">
        <v>7</v>
      </c>
      <c r="AI585">
        <v>7</v>
      </c>
      <c r="AJ585">
        <v>0</v>
      </c>
      <c r="AK585">
        <v>18</v>
      </c>
      <c r="AL585" t="s">
        <v>644</v>
      </c>
      <c r="AM585" t="s">
        <v>594</v>
      </c>
      <c r="AN585" t="s">
        <v>3025</v>
      </c>
      <c r="AO585" t="s">
        <v>11308</v>
      </c>
      <c r="AP585" t="s">
        <v>11309</v>
      </c>
      <c r="AQ585" t="s">
        <v>74</v>
      </c>
      <c r="AR585" t="s">
        <v>11310</v>
      </c>
      <c r="AS585" t="s">
        <v>11311</v>
      </c>
      <c r="AT585" t="s">
        <v>9902</v>
      </c>
      <c r="AU585">
        <v>2016</v>
      </c>
      <c r="AV585">
        <v>36</v>
      </c>
      <c r="AW585">
        <v>4</v>
      </c>
      <c r="AX585" t="s">
        <v>74</v>
      </c>
      <c r="AY585" t="s">
        <v>74</v>
      </c>
      <c r="AZ585" t="s">
        <v>74</v>
      </c>
      <c r="BA585" t="s">
        <v>74</v>
      </c>
      <c r="BB585">
        <v>271</v>
      </c>
      <c r="BC585">
        <v>280</v>
      </c>
      <c r="BD585" t="s">
        <v>74</v>
      </c>
      <c r="BE585" t="s">
        <v>11312</v>
      </c>
      <c r="BF585" t="str">
        <f>HYPERLINK("http://dx.doi.org/10.1007/s00367-016-0444-8","http://dx.doi.org/10.1007/s00367-016-0444-8")</f>
        <v>http://dx.doi.org/10.1007/s00367-016-0444-8</v>
      </c>
      <c r="BG585" t="s">
        <v>74</v>
      </c>
      <c r="BH585" t="s">
        <v>74</v>
      </c>
      <c r="BI585">
        <v>10</v>
      </c>
      <c r="BJ585" t="s">
        <v>11313</v>
      </c>
      <c r="BK585" t="s">
        <v>156</v>
      </c>
      <c r="BL585" t="s">
        <v>11314</v>
      </c>
      <c r="BM585" t="s">
        <v>11315</v>
      </c>
      <c r="BN585" t="s">
        <v>74</v>
      </c>
      <c r="BO585" t="s">
        <v>74</v>
      </c>
      <c r="BP585" t="s">
        <v>74</v>
      </c>
      <c r="BQ585" t="s">
        <v>74</v>
      </c>
      <c r="BR585" t="s">
        <v>105</v>
      </c>
      <c r="BS585" t="s">
        <v>11316</v>
      </c>
      <c r="BT585" t="str">
        <f>HYPERLINK("https%3A%2F%2Fwww.webofscience.com%2Fwos%2Fwoscc%2Ffull-record%2FWOS:000379848300003","View Full Record in Web of Science")</f>
        <v>View Full Record in Web of Science</v>
      </c>
    </row>
    <row r="586" spans="1:72" x14ac:dyDescent="0.15">
      <c r="A586" t="s">
        <v>72</v>
      </c>
      <c r="B586" t="s">
        <v>11317</v>
      </c>
      <c r="C586" t="s">
        <v>74</v>
      </c>
      <c r="D586" t="s">
        <v>74</v>
      </c>
      <c r="E586" t="s">
        <v>74</v>
      </c>
      <c r="F586" t="s">
        <v>11318</v>
      </c>
      <c r="G586" t="s">
        <v>74</v>
      </c>
      <c r="H586" t="s">
        <v>74</v>
      </c>
      <c r="I586" t="s">
        <v>11319</v>
      </c>
      <c r="J586" t="s">
        <v>11320</v>
      </c>
      <c r="K586" t="s">
        <v>74</v>
      </c>
      <c r="L586" t="s">
        <v>74</v>
      </c>
      <c r="M586" t="s">
        <v>78</v>
      </c>
      <c r="N586" t="s">
        <v>79</v>
      </c>
      <c r="O586" t="s">
        <v>74</v>
      </c>
      <c r="P586" t="s">
        <v>74</v>
      </c>
      <c r="Q586" t="s">
        <v>74</v>
      </c>
      <c r="R586" t="s">
        <v>74</v>
      </c>
      <c r="S586" t="s">
        <v>74</v>
      </c>
      <c r="T586" t="s">
        <v>11321</v>
      </c>
      <c r="U586" t="s">
        <v>11322</v>
      </c>
      <c r="V586" t="s">
        <v>11323</v>
      </c>
      <c r="W586" t="s">
        <v>11324</v>
      </c>
      <c r="X586" t="s">
        <v>11325</v>
      </c>
      <c r="Y586" t="s">
        <v>11326</v>
      </c>
      <c r="Z586" t="s">
        <v>11327</v>
      </c>
      <c r="AA586" t="s">
        <v>74</v>
      </c>
      <c r="AB586" t="s">
        <v>74</v>
      </c>
      <c r="AC586" t="s">
        <v>74</v>
      </c>
      <c r="AD586" t="s">
        <v>74</v>
      </c>
      <c r="AE586" t="s">
        <v>74</v>
      </c>
      <c r="AF586" t="s">
        <v>74</v>
      </c>
      <c r="AG586">
        <v>53</v>
      </c>
      <c r="AH586">
        <v>5</v>
      </c>
      <c r="AI586">
        <v>5</v>
      </c>
      <c r="AJ586">
        <v>1</v>
      </c>
      <c r="AK586">
        <v>7</v>
      </c>
      <c r="AL586" t="s">
        <v>644</v>
      </c>
      <c r="AM586" t="s">
        <v>594</v>
      </c>
      <c r="AN586" t="s">
        <v>645</v>
      </c>
      <c r="AO586" t="s">
        <v>11328</v>
      </c>
      <c r="AP586" t="s">
        <v>11329</v>
      </c>
      <c r="AQ586" t="s">
        <v>74</v>
      </c>
      <c r="AR586" t="s">
        <v>11330</v>
      </c>
      <c r="AS586" t="s">
        <v>11331</v>
      </c>
      <c r="AT586" t="s">
        <v>9902</v>
      </c>
      <c r="AU586">
        <v>2016</v>
      </c>
      <c r="AV586">
        <v>83</v>
      </c>
      <c r="AW586">
        <v>1</v>
      </c>
      <c r="AX586" t="s">
        <v>74</v>
      </c>
      <c r="AY586" t="s">
        <v>74</v>
      </c>
      <c r="AZ586" t="s">
        <v>74</v>
      </c>
      <c r="BA586" t="s">
        <v>74</v>
      </c>
      <c r="BB586">
        <v>563</v>
      </c>
      <c r="BC586">
        <v>574</v>
      </c>
      <c r="BD586" t="s">
        <v>74</v>
      </c>
      <c r="BE586" t="s">
        <v>11332</v>
      </c>
      <c r="BF586" t="str">
        <f>HYPERLINK("http://dx.doi.org/10.1007/s11069-016-2333-x","http://dx.doi.org/10.1007/s11069-016-2333-x")</f>
        <v>http://dx.doi.org/10.1007/s11069-016-2333-x</v>
      </c>
      <c r="BG586" t="s">
        <v>74</v>
      </c>
      <c r="BH586" t="s">
        <v>74</v>
      </c>
      <c r="BI586">
        <v>12</v>
      </c>
      <c r="BJ586" t="s">
        <v>11333</v>
      </c>
      <c r="BK586" t="s">
        <v>156</v>
      </c>
      <c r="BL586" t="s">
        <v>11334</v>
      </c>
      <c r="BM586" t="s">
        <v>11335</v>
      </c>
      <c r="BN586" t="s">
        <v>74</v>
      </c>
      <c r="BO586" t="s">
        <v>74</v>
      </c>
      <c r="BP586" t="s">
        <v>74</v>
      </c>
      <c r="BQ586" t="s">
        <v>74</v>
      </c>
      <c r="BR586" t="s">
        <v>105</v>
      </c>
      <c r="BS586" t="s">
        <v>11336</v>
      </c>
      <c r="BT586" t="str">
        <f>HYPERLINK("https%3A%2F%2Fwww.webofscience.com%2Fwos%2Fwoscc%2Ffull-record%2FWOS:000379501000028","View Full Record in Web of Science")</f>
        <v>View Full Record in Web of Science</v>
      </c>
    </row>
    <row r="587" spans="1:72" x14ac:dyDescent="0.15">
      <c r="A587" t="s">
        <v>72</v>
      </c>
      <c r="B587" t="s">
        <v>11337</v>
      </c>
      <c r="C587" t="s">
        <v>74</v>
      </c>
      <c r="D587" t="s">
        <v>74</v>
      </c>
      <c r="E587" t="s">
        <v>74</v>
      </c>
      <c r="F587" t="s">
        <v>11338</v>
      </c>
      <c r="G587" t="s">
        <v>74</v>
      </c>
      <c r="H587" t="s">
        <v>74</v>
      </c>
      <c r="I587" t="s">
        <v>11339</v>
      </c>
      <c r="J587" t="s">
        <v>3176</v>
      </c>
      <c r="K587" t="s">
        <v>74</v>
      </c>
      <c r="L587" t="s">
        <v>74</v>
      </c>
      <c r="M587" t="s">
        <v>78</v>
      </c>
      <c r="N587" t="s">
        <v>79</v>
      </c>
      <c r="O587" t="s">
        <v>74</v>
      </c>
      <c r="P587" t="s">
        <v>74</v>
      </c>
      <c r="Q587" t="s">
        <v>74</v>
      </c>
      <c r="R587" t="s">
        <v>74</v>
      </c>
      <c r="S587" t="s">
        <v>74</v>
      </c>
      <c r="T587" t="s">
        <v>11340</v>
      </c>
      <c r="U587" t="s">
        <v>11341</v>
      </c>
      <c r="V587" t="s">
        <v>11342</v>
      </c>
      <c r="W587" t="s">
        <v>11343</v>
      </c>
      <c r="X587" t="s">
        <v>11344</v>
      </c>
      <c r="Y587" t="s">
        <v>11345</v>
      </c>
      <c r="Z587" t="s">
        <v>11346</v>
      </c>
      <c r="AA587" t="s">
        <v>11347</v>
      </c>
      <c r="AB587" t="s">
        <v>11348</v>
      </c>
      <c r="AC587" t="s">
        <v>11349</v>
      </c>
      <c r="AD587" t="s">
        <v>11350</v>
      </c>
      <c r="AE587" t="s">
        <v>11351</v>
      </c>
      <c r="AF587" t="s">
        <v>74</v>
      </c>
      <c r="AG587">
        <v>40</v>
      </c>
      <c r="AH587">
        <v>15</v>
      </c>
      <c r="AI587">
        <v>16</v>
      </c>
      <c r="AJ587">
        <v>1</v>
      </c>
      <c r="AK587">
        <v>36</v>
      </c>
      <c r="AL587" t="s">
        <v>2670</v>
      </c>
      <c r="AM587" t="s">
        <v>594</v>
      </c>
      <c r="AN587" t="s">
        <v>3187</v>
      </c>
      <c r="AO587" t="s">
        <v>3188</v>
      </c>
      <c r="AP587" t="s">
        <v>3189</v>
      </c>
      <c r="AQ587" t="s">
        <v>74</v>
      </c>
      <c r="AR587" t="s">
        <v>3190</v>
      </c>
      <c r="AS587" t="s">
        <v>3191</v>
      </c>
      <c r="AT587" t="s">
        <v>9902</v>
      </c>
      <c r="AU587">
        <v>2016</v>
      </c>
      <c r="AV587">
        <v>28</v>
      </c>
      <c r="AW587">
        <v>4</v>
      </c>
      <c r="AX587" t="s">
        <v>74</v>
      </c>
      <c r="AY587" t="s">
        <v>74</v>
      </c>
      <c r="AZ587" t="s">
        <v>74</v>
      </c>
      <c r="BA587" t="s">
        <v>74</v>
      </c>
      <c r="BB587">
        <v>250</v>
      </c>
      <c r="BC587">
        <v>260</v>
      </c>
      <c r="BD587" t="s">
        <v>74</v>
      </c>
      <c r="BE587" t="s">
        <v>11352</v>
      </c>
      <c r="BF587" t="str">
        <f>HYPERLINK("http://dx.doi.org/10.1017/S095410201600002X","http://dx.doi.org/10.1017/S095410201600002X")</f>
        <v>http://dx.doi.org/10.1017/S095410201600002X</v>
      </c>
      <c r="BG587" t="s">
        <v>74</v>
      </c>
      <c r="BH587" t="s">
        <v>74</v>
      </c>
      <c r="BI587">
        <v>11</v>
      </c>
      <c r="BJ587" t="s">
        <v>3193</v>
      </c>
      <c r="BK587" t="s">
        <v>156</v>
      </c>
      <c r="BL587" t="s">
        <v>3194</v>
      </c>
      <c r="BM587" t="s">
        <v>11353</v>
      </c>
      <c r="BN587" t="s">
        <v>74</v>
      </c>
      <c r="BO587" t="s">
        <v>1538</v>
      </c>
      <c r="BP587" t="s">
        <v>74</v>
      </c>
      <c r="BQ587" t="s">
        <v>74</v>
      </c>
      <c r="BR587" t="s">
        <v>105</v>
      </c>
      <c r="BS587" t="s">
        <v>11354</v>
      </c>
      <c r="BT587" t="str">
        <f>HYPERLINK("https%3A%2F%2Fwww.webofscience.com%2Fwos%2Fwoscc%2Ffull-record%2FWOS:000379417400003","View Full Record in Web of Science")</f>
        <v>View Full Record in Web of Science</v>
      </c>
    </row>
    <row r="588" spans="1:72" x14ac:dyDescent="0.15">
      <c r="A588" t="s">
        <v>72</v>
      </c>
      <c r="B588" t="s">
        <v>11355</v>
      </c>
      <c r="C588" t="s">
        <v>74</v>
      </c>
      <c r="D588" t="s">
        <v>74</v>
      </c>
      <c r="E588" t="s">
        <v>74</v>
      </c>
      <c r="F588" t="s">
        <v>11356</v>
      </c>
      <c r="G588" t="s">
        <v>74</v>
      </c>
      <c r="H588" t="s">
        <v>74</v>
      </c>
      <c r="I588" t="s">
        <v>11357</v>
      </c>
      <c r="J588" t="s">
        <v>3176</v>
      </c>
      <c r="K588" t="s">
        <v>74</v>
      </c>
      <c r="L588" t="s">
        <v>74</v>
      </c>
      <c r="M588" t="s">
        <v>78</v>
      </c>
      <c r="N588" t="s">
        <v>79</v>
      </c>
      <c r="O588" t="s">
        <v>74</v>
      </c>
      <c r="P588" t="s">
        <v>74</v>
      </c>
      <c r="Q588" t="s">
        <v>74</v>
      </c>
      <c r="R588" t="s">
        <v>74</v>
      </c>
      <c r="S588" t="s">
        <v>74</v>
      </c>
      <c r="T588" t="s">
        <v>11358</v>
      </c>
      <c r="U588" t="s">
        <v>11359</v>
      </c>
      <c r="V588" t="s">
        <v>11360</v>
      </c>
      <c r="W588" t="s">
        <v>11361</v>
      </c>
      <c r="X588" t="s">
        <v>11362</v>
      </c>
      <c r="Y588" t="s">
        <v>11363</v>
      </c>
      <c r="Z588" t="s">
        <v>11364</v>
      </c>
      <c r="AA588" t="s">
        <v>11365</v>
      </c>
      <c r="AB588" t="s">
        <v>11366</v>
      </c>
      <c r="AC588" t="s">
        <v>11367</v>
      </c>
      <c r="AD588" t="s">
        <v>11368</v>
      </c>
      <c r="AE588" t="s">
        <v>11369</v>
      </c>
      <c r="AF588" t="s">
        <v>74</v>
      </c>
      <c r="AG588">
        <v>39</v>
      </c>
      <c r="AH588">
        <v>17</v>
      </c>
      <c r="AI588">
        <v>17</v>
      </c>
      <c r="AJ588">
        <v>3</v>
      </c>
      <c r="AK588">
        <v>45</v>
      </c>
      <c r="AL588" t="s">
        <v>2670</v>
      </c>
      <c r="AM588" t="s">
        <v>594</v>
      </c>
      <c r="AN588" t="s">
        <v>3187</v>
      </c>
      <c r="AO588" t="s">
        <v>3188</v>
      </c>
      <c r="AP588" t="s">
        <v>3189</v>
      </c>
      <c r="AQ588" t="s">
        <v>74</v>
      </c>
      <c r="AR588" t="s">
        <v>3190</v>
      </c>
      <c r="AS588" t="s">
        <v>3191</v>
      </c>
      <c r="AT588" t="s">
        <v>9902</v>
      </c>
      <c r="AU588">
        <v>2016</v>
      </c>
      <c r="AV588">
        <v>28</v>
      </c>
      <c r="AW588">
        <v>4</v>
      </c>
      <c r="AX588" t="s">
        <v>74</v>
      </c>
      <c r="AY588" t="s">
        <v>74</v>
      </c>
      <c r="AZ588" t="s">
        <v>74</v>
      </c>
      <c r="BA588" t="s">
        <v>74</v>
      </c>
      <c r="BB588">
        <v>261</v>
      </c>
      <c r="BC588">
        <v>268</v>
      </c>
      <c r="BD588" t="s">
        <v>74</v>
      </c>
      <c r="BE588" t="s">
        <v>11370</v>
      </c>
      <c r="BF588" t="str">
        <f>HYPERLINK("http://dx.doi.org/10.1017/S0954102016000109","http://dx.doi.org/10.1017/S0954102016000109")</f>
        <v>http://dx.doi.org/10.1017/S0954102016000109</v>
      </c>
      <c r="BG588" t="s">
        <v>74</v>
      </c>
      <c r="BH588" t="s">
        <v>74</v>
      </c>
      <c r="BI588">
        <v>8</v>
      </c>
      <c r="BJ588" t="s">
        <v>3193</v>
      </c>
      <c r="BK588" t="s">
        <v>156</v>
      </c>
      <c r="BL588" t="s">
        <v>3194</v>
      </c>
      <c r="BM588" t="s">
        <v>11353</v>
      </c>
      <c r="BN588" t="s">
        <v>74</v>
      </c>
      <c r="BO588" t="s">
        <v>74</v>
      </c>
      <c r="BP588" t="s">
        <v>74</v>
      </c>
      <c r="BQ588" t="s">
        <v>74</v>
      </c>
      <c r="BR588" t="s">
        <v>105</v>
      </c>
      <c r="BS588" t="s">
        <v>11371</v>
      </c>
      <c r="BT588" t="str">
        <f>HYPERLINK("https%3A%2F%2Fwww.webofscience.com%2Fwos%2Fwoscc%2Ffull-record%2FWOS:000379417400004","View Full Record in Web of Science")</f>
        <v>View Full Record in Web of Science</v>
      </c>
    </row>
    <row r="589" spans="1:72" x14ac:dyDescent="0.15">
      <c r="A589" t="s">
        <v>72</v>
      </c>
      <c r="B589" t="s">
        <v>11372</v>
      </c>
      <c r="C589" t="s">
        <v>74</v>
      </c>
      <c r="D589" t="s">
        <v>74</v>
      </c>
      <c r="E589" t="s">
        <v>74</v>
      </c>
      <c r="F589" t="s">
        <v>11373</v>
      </c>
      <c r="G589" t="s">
        <v>74</v>
      </c>
      <c r="H589" t="s">
        <v>74</v>
      </c>
      <c r="I589" t="s">
        <v>11374</v>
      </c>
      <c r="J589" t="s">
        <v>3176</v>
      </c>
      <c r="K589" t="s">
        <v>74</v>
      </c>
      <c r="L589" t="s">
        <v>74</v>
      </c>
      <c r="M589" t="s">
        <v>78</v>
      </c>
      <c r="N589" t="s">
        <v>79</v>
      </c>
      <c r="O589" t="s">
        <v>74</v>
      </c>
      <c r="P589" t="s">
        <v>74</v>
      </c>
      <c r="Q589" t="s">
        <v>74</v>
      </c>
      <c r="R589" t="s">
        <v>74</v>
      </c>
      <c r="S589" t="s">
        <v>74</v>
      </c>
      <c r="T589" t="s">
        <v>11375</v>
      </c>
      <c r="U589" t="s">
        <v>11376</v>
      </c>
      <c r="V589" t="s">
        <v>11377</v>
      </c>
      <c r="W589" t="s">
        <v>11378</v>
      </c>
      <c r="X589" t="s">
        <v>11379</v>
      </c>
      <c r="Y589" t="s">
        <v>11380</v>
      </c>
      <c r="Z589" t="s">
        <v>8910</v>
      </c>
      <c r="AA589" t="s">
        <v>74</v>
      </c>
      <c r="AB589" t="s">
        <v>11381</v>
      </c>
      <c r="AC589" t="s">
        <v>11382</v>
      </c>
      <c r="AD589" t="s">
        <v>11383</v>
      </c>
      <c r="AE589" t="s">
        <v>11384</v>
      </c>
      <c r="AF589" t="s">
        <v>74</v>
      </c>
      <c r="AG589">
        <v>21</v>
      </c>
      <c r="AH589">
        <v>8</v>
      </c>
      <c r="AI589">
        <v>8</v>
      </c>
      <c r="AJ589">
        <v>0</v>
      </c>
      <c r="AK589">
        <v>7</v>
      </c>
      <c r="AL589" t="s">
        <v>2670</v>
      </c>
      <c r="AM589" t="s">
        <v>594</v>
      </c>
      <c r="AN589" t="s">
        <v>3187</v>
      </c>
      <c r="AO589" t="s">
        <v>3188</v>
      </c>
      <c r="AP589" t="s">
        <v>3189</v>
      </c>
      <c r="AQ589" t="s">
        <v>74</v>
      </c>
      <c r="AR589" t="s">
        <v>3190</v>
      </c>
      <c r="AS589" t="s">
        <v>3191</v>
      </c>
      <c r="AT589" t="s">
        <v>9902</v>
      </c>
      <c r="AU589">
        <v>2016</v>
      </c>
      <c r="AV589">
        <v>28</v>
      </c>
      <c r="AW589">
        <v>4</v>
      </c>
      <c r="AX589" t="s">
        <v>74</v>
      </c>
      <c r="AY589" t="s">
        <v>74</v>
      </c>
      <c r="AZ589" t="s">
        <v>74</v>
      </c>
      <c r="BA589" t="s">
        <v>74</v>
      </c>
      <c r="BB589">
        <v>269</v>
      </c>
      <c r="BC589">
        <v>275</v>
      </c>
      <c r="BD589" t="s">
        <v>74</v>
      </c>
      <c r="BE589" t="s">
        <v>11385</v>
      </c>
      <c r="BF589" t="str">
        <f>HYPERLINK("http://dx.doi.org/10.1017/S0954102016000171","http://dx.doi.org/10.1017/S0954102016000171")</f>
        <v>http://dx.doi.org/10.1017/S0954102016000171</v>
      </c>
      <c r="BG589" t="s">
        <v>74</v>
      </c>
      <c r="BH589" t="s">
        <v>74</v>
      </c>
      <c r="BI589">
        <v>7</v>
      </c>
      <c r="BJ589" t="s">
        <v>3193</v>
      </c>
      <c r="BK589" t="s">
        <v>156</v>
      </c>
      <c r="BL589" t="s">
        <v>3194</v>
      </c>
      <c r="BM589" t="s">
        <v>11353</v>
      </c>
      <c r="BN589" t="s">
        <v>74</v>
      </c>
      <c r="BO589" t="s">
        <v>74</v>
      </c>
      <c r="BP589" t="s">
        <v>74</v>
      </c>
      <c r="BQ589" t="s">
        <v>74</v>
      </c>
      <c r="BR589" t="s">
        <v>105</v>
      </c>
      <c r="BS589" t="s">
        <v>11386</v>
      </c>
      <c r="BT589" t="str">
        <f>HYPERLINK("https%3A%2F%2Fwww.webofscience.com%2Fwos%2Fwoscc%2Ffull-record%2FWOS:000379417400005","View Full Record in Web of Science")</f>
        <v>View Full Record in Web of Science</v>
      </c>
    </row>
    <row r="590" spans="1:72" x14ac:dyDescent="0.15">
      <c r="A590" t="s">
        <v>72</v>
      </c>
      <c r="B590" t="s">
        <v>11387</v>
      </c>
      <c r="C590" t="s">
        <v>74</v>
      </c>
      <c r="D590" t="s">
        <v>74</v>
      </c>
      <c r="E590" t="s">
        <v>74</v>
      </c>
      <c r="F590" t="s">
        <v>11388</v>
      </c>
      <c r="G590" t="s">
        <v>74</v>
      </c>
      <c r="H590" t="s">
        <v>74</v>
      </c>
      <c r="I590" t="s">
        <v>11389</v>
      </c>
      <c r="J590" t="s">
        <v>3176</v>
      </c>
      <c r="K590" t="s">
        <v>74</v>
      </c>
      <c r="L590" t="s">
        <v>74</v>
      </c>
      <c r="M590" t="s">
        <v>78</v>
      </c>
      <c r="N590" t="s">
        <v>79</v>
      </c>
      <c r="O590" t="s">
        <v>74</v>
      </c>
      <c r="P590" t="s">
        <v>74</v>
      </c>
      <c r="Q590" t="s">
        <v>74</v>
      </c>
      <c r="R590" t="s">
        <v>74</v>
      </c>
      <c r="S590" t="s">
        <v>74</v>
      </c>
      <c r="T590" t="s">
        <v>11390</v>
      </c>
      <c r="U590" t="s">
        <v>74</v>
      </c>
      <c r="V590" t="s">
        <v>11391</v>
      </c>
      <c r="W590" t="s">
        <v>11392</v>
      </c>
      <c r="X590" t="s">
        <v>11393</v>
      </c>
      <c r="Y590" t="s">
        <v>11394</v>
      </c>
      <c r="Z590" t="s">
        <v>11395</v>
      </c>
      <c r="AA590" t="s">
        <v>11396</v>
      </c>
      <c r="AB590" t="s">
        <v>11397</v>
      </c>
      <c r="AC590" t="s">
        <v>11398</v>
      </c>
      <c r="AD590" t="s">
        <v>11399</v>
      </c>
      <c r="AE590" t="s">
        <v>11400</v>
      </c>
      <c r="AF590" t="s">
        <v>74</v>
      </c>
      <c r="AG590">
        <v>32</v>
      </c>
      <c r="AH590">
        <v>10</v>
      </c>
      <c r="AI590">
        <v>11</v>
      </c>
      <c r="AJ590">
        <v>1</v>
      </c>
      <c r="AK590">
        <v>16</v>
      </c>
      <c r="AL590" t="s">
        <v>2670</v>
      </c>
      <c r="AM590" t="s">
        <v>594</v>
      </c>
      <c r="AN590" t="s">
        <v>3187</v>
      </c>
      <c r="AO590" t="s">
        <v>3188</v>
      </c>
      <c r="AP590" t="s">
        <v>3189</v>
      </c>
      <c r="AQ590" t="s">
        <v>74</v>
      </c>
      <c r="AR590" t="s">
        <v>3190</v>
      </c>
      <c r="AS590" t="s">
        <v>3191</v>
      </c>
      <c r="AT590" t="s">
        <v>9902</v>
      </c>
      <c r="AU590">
        <v>2016</v>
      </c>
      <c r="AV590">
        <v>28</v>
      </c>
      <c r="AW590">
        <v>4</v>
      </c>
      <c r="AX590" t="s">
        <v>74</v>
      </c>
      <c r="AY590" t="s">
        <v>74</v>
      </c>
      <c r="AZ590" t="s">
        <v>74</v>
      </c>
      <c r="BA590" t="s">
        <v>74</v>
      </c>
      <c r="BB590">
        <v>277</v>
      </c>
      <c r="BC590">
        <v>292</v>
      </c>
      <c r="BD590" t="s">
        <v>74</v>
      </c>
      <c r="BE590" t="s">
        <v>11401</v>
      </c>
      <c r="BF590" t="str">
        <f>HYPERLINK("http://dx.doi.org/10.1017/S0954102015000681","http://dx.doi.org/10.1017/S0954102015000681")</f>
        <v>http://dx.doi.org/10.1017/S0954102015000681</v>
      </c>
      <c r="BG590" t="s">
        <v>74</v>
      </c>
      <c r="BH590" t="s">
        <v>74</v>
      </c>
      <c r="BI590">
        <v>16</v>
      </c>
      <c r="BJ590" t="s">
        <v>3193</v>
      </c>
      <c r="BK590" t="s">
        <v>156</v>
      </c>
      <c r="BL590" t="s">
        <v>3194</v>
      </c>
      <c r="BM590" t="s">
        <v>11353</v>
      </c>
      <c r="BN590" t="s">
        <v>74</v>
      </c>
      <c r="BO590" t="s">
        <v>74</v>
      </c>
      <c r="BP590" t="s">
        <v>74</v>
      </c>
      <c r="BQ590" t="s">
        <v>74</v>
      </c>
      <c r="BR590" t="s">
        <v>105</v>
      </c>
      <c r="BS590" t="s">
        <v>11402</v>
      </c>
      <c r="BT590" t="str">
        <f>HYPERLINK("https%3A%2F%2Fwww.webofscience.com%2Fwos%2Fwoscc%2Ffull-record%2FWOS:000379417400006","View Full Record in Web of Science")</f>
        <v>View Full Record in Web of Science</v>
      </c>
    </row>
    <row r="591" spans="1:72" x14ac:dyDescent="0.15">
      <c r="A591" t="s">
        <v>72</v>
      </c>
      <c r="B591" t="s">
        <v>11403</v>
      </c>
      <c r="C591" t="s">
        <v>74</v>
      </c>
      <c r="D591" t="s">
        <v>74</v>
      </c>
      <c r="E591" t="s">
        <v>74</v>
      </c>
      <c r="F591" t="s">
        <v>11404</v>
      </c>
      <c r="G591" t="s">
        <v>74</v>
      </c>
      <c r="H591" t="s">
        <v>74</v>
      </c>
      <c r="I591" t="s">
        <v>11405</v>
      </c>
      <c r="J591" t="s">
        <v>3176</v>
      </c>
      <c r="K591" t="s">
        <v>74</v>
      </c>
      <c r="L591" t="s">
        <v>74</v>
      </c>
      <c r="M591" t="s">
        <v>78</v>
      </c>
      <c r="N591" t="s">
        <v>79</v>
      </c>
      <c r="O591" t="s">
        <v>74</v>
      </c>
      <c r="P591" t="s">
        <v>74</v>
      </c>
      <c r="Q591" t="s">
        <v>74</v>
      </c>
      <c r="R591" t="s">
        <v>74</v>
      </c>
      <c r="S591" t="s">
        <v>74</v>
      </c>
      <c r="T591" t="s">
        <v>11406</v>
      </c>
      <c r="U591" t="s">
        <v>11407</v>
      </c>
      <c r="V591" t="s">
        <v>11408</v>
      </c>
      <c r="W591" t="s">
        <v>11409</v>
      </c>
      <c r="X591" t="s">
        <v>11410</v>
      </c>
      <c r="Y591" t="s">
        <v>11411</v>
      </c>
      <c r="Z591" t="s">
        <v>11412</v>
      </c>
      <c r="AA591" t="s">
        <v>11413</v>
      </c>
      <c r="AB591" t="s">
        <v>11414</v>
      </c>
      <c r="AC591" t="s">
        <v>11415</v>
      </c>
      <c r="AD591" t="s">
        <v>11416</v>
      </c>
      <c r="AE591" t="s">
        <v>11417</v>
      </c>
      <c r="AF591" t="s">
        <v>74</v>
      </c>
      <c r="AG591">
        <v>38</v>
      </c>
      <c r="AH591">
        <v>8</v>
      </c>
      <c r="AI591">
        <v>11</v>
      </c>
      <c r="AJ591">
        <v>0</v>
      </c>
      <c r="AK591">
        <v>22</v>
      </c>
      <c r="AL591" t="s">
        <v>2670</v>
      </c>
      <c r="AM591" t="s">
        <v>594</v>
      </c>
      <c r="AN591" t="s">
        <v>3187</v>
      </c>
      <c r="AO591" t="s">
        <v>3188</v>
      </c>
      <c r="AP591" t="s">
        <v>3189</v>
      </c>
      <c r="AQ591" t="s">
        <v>74</v>
      </c>
      <c r="AR591" t="s">
        <v>3190</v>
      </c>
      <c r="AS591" t="s">
        <v>3191</v>
      </c>
      <c r="AT591" t="s">
        <v>9902</v>
      </c>
      <c r="AU591">
        <v>2016</v>
      </c>
      <c r="AV591">
        <v>28</v>
      </c>
      <c r="AW591">
        <v>4</v>
      </c>
      <c r="AX591" t="s">
        <v>74</v>
      </c>
      <c r="AY591" t="s">
        <v>74</v>
      </c>
      <c r="AZ591" t="s">
        <v>74</v>
      </c>
      <c r="BA591" t="s">
        <v>74</v>
      </c>
      <c r="BB591">
        <v>305</v>
      </c>
      <c r="BC591">
        <v>312</v>
      </c>
      <c r="BD591" t="s">
        <v>74</v>
      </c>
      <c r="BE591" t="s">
        <v>11418</v>
      </c>
      <c r="BF591" t="str">
        <f>HYPERLINK("http://dx.doi.org/10.1017/S0954102016000092","http://dx.doi.org/10.1017/S0954102016000092")</f>
        <v>http://dx.doi.org/10.1017/S0954102016000092</v>
      </c>
      <c r="BG591" t="s">
        <v>74</v>
      </c>
      <c r="BH591" t="s">
        <v>74</v>
      </c>
      <c r="BI591">
        <v>8</v>
      </c>
      <c r="BJ591" t="s">
        <v>3193</v>
      </c>
      <c r="BK591" t="s">
        <v>156</v>
      </c>
      <c r="BL591" t="s">
        <v>3194</v>
      </c>
      <c r="BM591" t="s">
        <v>11353</v>
      </c>
      <c r="BN591" t="s">
        <v>74</v>
      </c>
      <c r="BO591" t="s">
        <v>74</v>
      </c>
      <c r="BP591" t="s">
        <v>74</v>
      </c>
      <c r="BQ591" t="s">
        <v>74</v>
      </c>
      <c r="BR591" t="s">
        <v>105</v>
      </c>
      <c r="BS591" t="s">
        <v>11419</v>
      </c>
      <c r="BT591" t="str">
        <f>HYPERLINK("https%3A%2F%2Fwww.webofscience.com%2Fwos%2Fwoscc%2Ffull-record%2FWOS:000379417400008","View Full Record in Web of Science")</f>
        <v>View Full Record in Web of Science</v>
      </c>
    </row>
    <row r="592" spans="1:72" x14ac:dyDescent="0.15">
      <c r="A592" t="s">
        <v>72</v>
      </c>
      <c r="B592" t="s">
        <v>11420</v>
      </c>
      <c r="C592" t="s">
        <v>74</v>
      </c>
      <c r="D592" t="s">
        <v>74</v>
      </c>
      <c r="E592" t="s">
        <v>74</v>
      </c>
      <c r="F592" t="s">
        <v>11421</v>
      </c>
      <c r="G592" t="s">
        <v>74</v>
      </c>
      <c r="H592" t="s">
        <v>74</v>
      </c>
      <c r="I592" t="s">
        <v>11422</v>
      </c>
      <c r="J592" t="s">
        <v>3176</v>
      </c>
      <c r="K592" t="s">
        <v>74</v>
      </c>
      <c r="L592" t="s">
        <v>74</v>
      </c>
      <c r="M592" t="s">
        <v>78</v>
      </c>
      <c r="N592" t="s">
        <v>79</v>
      </c>
      <c r="O592" t="s">
        <v>74</v>
      </c>
      <c r="P592" t="s">
        <v>74</v>
      </c>
      <c r="Q592" t="s">
        <v>74</v>
      </c>
      <c r="R592" t="s">
        <v>74</v>
      </c>
      <c r="S592" t="s">
        <v>74</v>
      </c>
      <c r="T592" t="s">
        <v>11423</v>
      </c>
      <c r="U592" t="s">
        <v>11424</v>
      </c>
      <c r="V592" t="s">
        <v>11425</v>
      </c>
      <c r="W592" t="s">
        <v>11426</v>
      </c>
      <c r="X592" t="s">
        <v>11427</v>
      </c>
      <c r="Y592" t="s">
        <v>11428</v>
      </c>
      <c r="Z592" t="s">
        <v>11429</v>
      </c>
      <c r="AA592" t="s">
        <v>11430</v>
      </c>
      <c r="AB592" t="s">
        <v>11431</v>
      </c>
      <c r="AC592" t="s">
        <v>11432</v>
      </c>
      <c r="AD592" t="s">
        <v>11433</v>
      </c>
      <c r="AE592" t="s">
        <v>11434</v>
      </c>
      <c r="AF592" t="s">
        <v>74</v>
      </c>
      <c r="AG592">
        <v>40</v>
      </c>
      <c r="AH592">
        <v>11</v>
      </c>
      <c r="AI592">
        <v>13</v>
      </c>
      <c r="AJ592">
        <v>1</v>
      </c>
      <c r="AK592">
        <v>9</v>
      </c>
      <c r="AL592" t="s">
        <v>2670</v>
      </c>
      <c r="AM592" t="s">
        <v>594</v>
      </c>
      <c r="AN592" t="s">
        <v>3187</v>
      </c>
      <c r="AO592" t="s">
        <v>3188</v>
      </c>
      <c r="AP592" t="s">
        <v>3189</v>
      </c>
      <c r="AQ592" t="s">
        <v>74</v>
      </c>
      <c r="AR592" t="s">
        <v>3190</v>
      </c>
      <c r="AS592" t="s">
        <v>3191</v>
      </c>
      <c r="AT592" t="s">
        <v>9902</v>
      </c>
      <c r="AU592">
        <v>2016</v>
      </c>
      <c r="AV592">
        <v>28</v>
      </c>
      <c r="AW592">
        <v>4</v>
      </c>
      <c r="AX592" t="s">
        <v>74</v>
      </c>
      <c r="AY592" t="s">
        <v>74</v>
      </c>
      <c r="AZ592" t="s">
        <v>74</v>
      </c>
      <c r="BA592" t="s">
        <v>74</v>
      </c>
      <c r="BB592">
        <v>313</v>
      </c>
      <c r="BC592">
        <v>321</v>
      </c>
      <c r="BD592" t="s">
        <v>74</v>
      </c>
      <c r="BE592" t="s">
        <v>11435</v>
      </c>
      <c r="BF592" t="str">
        <f>HYPERLINK("http://dx.doi.org/10.1017/S0954102016000055","http://dx.doi.org/10.1017/S0954102016000055")</f>
        <v>http://dx.doi.org/10.1017/S0954102016000055</v>
      </c>
      <c r="BG592" t="s">
        <v>74</v>
      </c>
      <c r="BH592" t="s">
        <v>74</v>
      </c>
      <c r="BI592">
        <v>9</v>
      </c>
      <c r="BJ592" t="s">
        <v>3193</v>
      </c>
      <c r="BK592" t="s">
        <v>156</v>
      </c>
      <c r="BL592" t="s">
        <v>3194</v>
      </c>
      <c r="BM592" t="s">
        <v>11353</v>
      </c>
      <c r="BN592" t="s">
        <v>74</v>
      </c>
      <c r="BO592" t="s">
        <v>74</v>
      </c>
      <c r="BP592" t="s">
        <v>74</v>
      </c>
      <c r="BQ592" t="s">
        <v>74</v>
      </c>
      <c r="BR592" t="s">
        <v>105</v>
      </c>
      <c r="BS592" t="s">
        <v>11436</v>
      </c>
      <c r="BT592" t="str">
        <f>HYPERLINK("https%3A%2F%2Fwww.webofscience.com%2Fwos%2Fwoscc%2Ffull-record%2FWOS:000379417400009","View Full Record in Web of Science")</f>
        <v>View Full Record in Web of Science</v>
      </c>
    </row>
    <row r="593" spans="1:72" x14ac:dyDescent="0.15">
      <c r="A593" t="s">
        <v>72</v>
      </c>
      <c r="B593" t="s">
        <v>11437</v>
      </c>
      <c r="C593" t="s">
        <v>74</v>
      </c>
      <c r="D593" t="s">
        <v>74</v>
      </c>
      <c r="E593" t="s">
        <v>74</v>
      </c>
      <c r="F593" t="s">
        <v>11438</v>
      </c>
      <c r="G593" t="s">
        <v>74</v>
      </c>
      <c r="H593" t="s">
        <v>74</v>
      </c>
      <c r="I593" t="s">
        <v>11439</v>
      </c>
      <c r="J593" t="s">
        <v>11440</v>
      </c>
      <c r="K593" t="s">
        <v>74</v>
      </c>
      <c r="L593" t="s">
        <v>74</v>
      </c>
      <c r="M593" t="s">
        <v>78</v>
      </c>
      <c r="N593" t="s">
        <v>79</v>
      </c>
      <c r="O593" t="s">
        <v>74</v>
      </c>
      <c r="P593" t="s">
        <v>74</v>
      </c>
      <c r="Q593" t="s">
        <v>74</v>
      </c>
      <c r="R593" t="s">
        <v>74</v>
      </c>
      <c r="S593" t="s">
        <v>74</v>
      </c>
      <c r="T593" t="s">
        <v>11441</v>
      </c>
      <c r="U593" t="s">
        <v>11442</v>
      </c>
      <c r="V593" t="s">
        <v>11443</v>
      </c>
      <c r="W593" t="s">
        <v>11444</v>
      </c>
      <c r="X593" t="s">
        <v>11445</v>
      </c>
      <c r="Y593" t="s">
        <v>11446</v>
      </c>
      <c r="Z593" t="s">
        <v>11447</v>
      </c>
      <c r="AA593" t="s">
        <v>11448</v>
      </c>
      <c r="AB593" t="s">
        <v>11449</v>
      </c>
      <c r="AC593" t="s">
        <v>11450</v>
      </c>
      <c r="AD593" t="s">
        <v>11451</v>
      </c>
      <c r="AE593" t="s">
        <v>11452</v>
      </c>
      <c r="AF593" t="s">
        <v>74</v>
      </c>
      <c r="AG593">
        <v>23</v>
      </c>
      <c r="AH593">
        <v>3</v>
      </c>
      <c r="AI593">
        <v>3</v>
      </c>
      <c r="AJ593">
        <v>0</v>
      </c>
      <c r="AK593">
        <v>30</v>
      </c>
      <c r="AL593" t="s">
        <v>11453</v>
      </c>
      <c r="AM593" t="s">
        <v>11454</v>
      </c>
      <c r="AN593" t="s">
        <v>11455</v>
      </c>
      <c r="AO593" t="s">
        <v>11456</v>
      </c>
      <c r="AP593" t="s">
        <v>11457</v>
      </c>
      <c r="AQ593" t="s">
        <v>74</v>
      </c>
      <c r="AR593" t="s">
        <v>11458</v>
      </c>
      <c r="AS593" t="s">
        <v>11459</v>
      </c>
      <c r="AT593" t="s">
        <v>9902</v>
      </c>
      <c r="AU593">
        <v>2016</v>
      </c>
      <c r="AV593">
        <v>15</v>
      </c>
      <c r="AW593">
        <v>4</v>
      </c>
      <c r="AX593" t="s">
        <v>74</v>
      </c>
      <c r="AY593" t="s">
        <v>74</v>
      </c>
      <c r="AZ593" t="s">
        <v>74</v>
      </c>
      <c r="BA593" t="s">
        <v>74</v>
      </c>
      <c r="BB593">
        <v>627</v>
      </c>
      <c r="BC593">
        <v>636</v>
      </c>
      <c r="BD593" t="s">
        <v>74</v>
      </c>
      <c r="BE593" t="s">
        <v>11460</v>
      </c>
      <c r="BF593" t="str">
        <f>HYPERLINK("http://dx.doi.org/10.1007/s11802-016-2888-x","http://dx.doi.org/10.1007/s11802-016-2888-x")</f>
        <v>http://dx.doi.org/10.1007/s11802-016-2888-x</v>
      </c>
      <c r="BG593" t="s">
        <v>74</v>
      </c>
      <c r="BH593" t="s">
        <v>74</v>
      </c>
      <c r="BI593">
        <v>10</v>
      </c>
      <c r="BJ593" t="s">
        <v>405</v>
      </c>
      <c r="BK593" t="s">
        <v>156</v>
      </c>
      <c r="BL593" t="s">
        <v>405</v>
      </c>
      <c r="BM593" t="s">
        <v>11461</v>
      </c>
      <c r="BN593" t="s">
        <v>74</v>
      </c>
      <c r="BO593" t="s">
        <v>74</v>
      </c>
      <c r="BP593" t="s">
        <v>74</v>
      </c>
      <c r="BQ593" t="s">
        <v>74</v>
      </c>
      <c r="BR593" t="s">
        <v>105</v>
      </c>
      <c r="BS593" t="s">
        <v>11462</v>
      </c>
      <c r="BT593" t="str">
        <f>HYPERLINK("https%3A%2F%2Fwww.webofscience.com%2Fwos%2Fwoscc%2Ffull-record%2FWOS:000379536300008","View Full Record in Web of Science")</f>
        <v>View Full Record in Web of Science</v>
      </c>
    </row>
    <row r="594" spans="1:72" x14ac:dyDescent="0.15">
      <c r="A594" t="s">
        <v>72</v>
      </c>
      <c r="B594" t="s">
        <v>11463</v>
      </c>
      <c r="C594" t="s">
        <v>74</v>
      </c>
      <c r="D594" t="s">
        <v>74</v>
      </c>
      <c r="E594" t="s">
        <v>74</v>
      </c>
      <c r="F594" t="s">
        <v>11464</v>
      </c>
      <c r="G594" t="s">
        <v>74</v>
      </c>
      <c r="H594" t="s">
        <v>74</v>
      </c>
      <c r="I594" t="s">
        <v>11465</v>
      </c>
      <c r="J594" t="s">
        <v>11466</v>
      </c>
      <c r="K594" t="s">
        <v>74</v>
      </c>
      <c r="L594" t="s">
        <v>74</v>
      </c>
      <c r="M594" t="s">
        <v>78</v>
      </c>
      <c r="N594" t="s">
        <v>79</v>
      </c>
      <c r="O594" t="s">
        <v>74</v>
      </c>
      <c r="P594" t="s">
        <v>74</v>
      </c>
      <c r="Q594" t="s">
        <v>74</v>
      </c>
      <c r="R594" t="s">
        <v>74</v>
      </c>
      <c r="S594" t="s">
        <v>74</v>
      </c>
      <c r="T594" t="s">
        <v>11467</v>
      </c>
      <c r="U594" t="s">
        <v>11468</v>
      </c>
      <c r="V594" t="s">
        <v>11469</v>
      </c>
      <c r="W594" t="s">
        <v>11470</v>
      </c>
      <c r="X594" t="s">
        <v>11471</v>
      </c>
      <c r="Y594" t="s">
        <v>11472</v>
      </c>
      <c r="Z594" t="s">
        <v>11473</v>
      </c>
      <c r="AA594" t="s">
        <v>11474</v>
      </c>
      <c r="AB594" t="s">
        <v>11475</v>
      </c>
      <c r="AC594" t="s">
        <v>11476</v>
      </c>
      <c r="AD594" t="s">
        <v>11477</v>
      </c>
      <c r="AE594" t="s">
        <v>11478</v>
      </c>
      <c r="AF594" t="s">
        <v>74</v>
      </c>
      <c r="AG594">
        <v>104</v>
      </c>
      <c r="AH594">
        <v>31</v>
      </c>
      <c r="AI594">
        <v>31</v>
      </c>
      <c r="AJ594">
        <v>1</v>
      </c>
      <c r="AK594">
        <v>26</v>
      </c>
      <c r="AL594" t="s">
        <v>644</v>
      </c>
      <c r="AM594" t="s">
        <v>594</v>
      </c>
      <c r="AN594" t="s">
        <v>3025</v>
      </c>
      <c r="AO594" t="s">
        <v>11479</v>
      </c>
      <c r="AP594" t="s">
        <v>11480</v>
      </c>
      <c r="AQ594" t="s">
        <v>74</v>
      </c>
      <c r="AR594" t="s">
        <v>11481</v>
      </c>
      <c r="AS594" t="s">
        <v>11482</v>
      </c>
      <c r="AT594" t="s">
        <v>9902</v>
      </c>
      <c r="AU594">
        <v>2016</v>
      </c>
      <c r="AV594">
        <v>51</v>
      </c>
      <c r="AW594">
        <v>6</v>
      </c>
      <c r="AX594" t="s">
        <v>74</v>
      </c>
      <c r="AY594" t="s">
        <v>74</v>
      </c>
      <c r="AZ594" t="s">
        <v>74</v>
      </c>
      <c r="BA594" t="s">
        <v>74</v>
      </c>
      <c r="BB594">
        <v>725</v>
      </c>
      <c r="BC594">
        <v>748</v>
      </c>
      <c r="BD594" t="s">
        <v>74</v>
      </c>
      <c r="BE594" t="s">
        <v>11483</v>
      </c>
      <c r="BF594" t="str">
        <f>HYPERLINK("http://dx.doi.org/10.1007/s00126-015-0633-9","http://dx.doi.org/10.1007/s00126-015-0633-9")</f>
        <v>http://dx.doi.org/10.1007/s00126-015-0633-9</v>
      </c>
      <c r="BG594" t="s">
        <v>74</v>
      </c>
      <c r="BH594" t="s">
        <v>74</v>
      </c>
      <c r="BI594">
        <v>24</v>
      </c>
      <c r="BJ594" t="s">
        <v>430</v>
      </c>
      <c r="BK594" t="s">
        <v>156</v>
      </c>
      <c r="BL594" t="s">
        <v>430</v>
      </c>
      <c r="BM594" t="s">
        <v>11484</v>
      </c>
      <c r="BN594" t="s">
        <v>74</v>
      </c>
      <c r="BO594" t="s">
        <v>1002</v>
      </c>
      <c r="BP594" t="s">
        <v>74</v>
      </c>
      <c r="BQ594" t="s">
        <v>74</v>
      </c>
      <c r="BR594" t="s">
        <v>105</v>
      </c>
      <c r="BS594" t="s">
        <v>11485</v>
      </c>
      <c r="BT594" t="str">
        <f>HYPERLINK("https%3A%2F%2Fwww.webofscience.com%2Fwos%2Fwoscc%2Ffull-record%2FWOS:000379708600003","View Full Record in Web of Science")</f>
        <v>View Full Record in Web of Science</v>
      </c>
    </row>
    <row r="595" spans="1:72" x14ac:dyDescent="0.15">
      <c r="A595" t="s">
        <v>72</v>
      </c>
      <c r="B595" t="s">
        <v>11486</v>
      </c>
      <c r="C595" t="s">
        <v>74</v>
      </c>
      <c r="D595" t="s">
        <v>74</v>
      </c>
      <c r="E595" t="s">
        <v>74</v>
      </c>
      <c r="F595" t="s">
        <v>11487</v>
      </c>
      <c r="G595" t="s">
        <v>74</v>
      </c>
      <c r="H595" t="s">
        <v>74</v>
      </c>
      <c r="I595" t="s">
        <v>11488</v>
      </c>
      <c r="J595" t="s">
        <v>3176</v>
      </c>
      <c r="K595" t="s">
        <v>74</v>
      </c>
      <c r="L595" t="s">
        <v>74</v>
      </c>
      <c r="M595" t="s">
        <v>78</v>
      </c>
      <c r="N595" t="s">
        <v>587</v>
      </c>
      <c r="O595" t="s">
        <v>74</v>
      </c>
      <c r="P595" t="s">
        <v>74</v>
      </c>
      <c r="Q595" t="s">
        <v>74</v>
      </c>
      <c r="R595" t="s">
        <v>74</v>
      </c>
      <c r="S595" t="s">
        <v>74</v>
      </c>
      <c r="T595" t="s">
        <v>74</v>
      </c>
      <c r="U595" t="s">
        <v>74</v>
      </c>
      <c r="V595" t="s">
        <v>74</v>
      </c>
      <c r="W595" t="s">
        <v>74</v>
      </c>
      <c r="X595" t="s">
        <v>74</v>
      </c>
      <c r="Y595" t="s">
        <v>74</v>
      </c>
      <c r="Z595" t="s">
        <v>74</v>
      </c>
      <c r="AA595" t="s">
        <v>74</v>
      </c>
      <c r="AB595" t="s">
        <v>74</v>
      </c>
      <c r="AC595" t="s">
        <v>74</v>
      </c>
      <c r="AD595" t="s">
        <v>74</v>
      </c>
      <c r="AE595" t="s">
        <v>74</v>
      </c>
      <c r="AF595" t="s">
        <v>74</v>
      </c>
      <c r="AG595">
        <v>0</v>
      </c>
      <c r="AH595">
        <v>0</v>
      </c>
      <c r="AI595">
        <v>0</v>
      </c>
      <c r="AJ595">
        <v>1</v>
      </c>
      <c r="AK595">
        <v>2</v>
      </c>
      <c r="AL595" t="s">
        <v>2670</v>
      </c>
      <c r="AM595" t="s">
        <v>594</v>
      </c>
      <c r="AN595" t="s">
        <v>3187</v>
      </c>
      <c r="AO595" t="s">
        <v>3188</v>
      </c>
      <c r="AP595" t="s">
        <v>3189</v>
      </c>
      <c r="AQ595" t="s">
        <v>74</v>
      </c>
      <c r="AR595" t="s">
        <v>3190</v>
      </c>
      <c r="AS595" t="s">
        <v>3191</v>
      </c>
      <c r="AT595" t="s">
        <v>9902</v>
      </c>
      <c r="AU595">
        <v>2016</v>
      </c>
      <c r="AV595">
        <v>28</v>
      </c>
      <c r="AW595">
        <v>4</v>
      </c>
      <c r="AX595" t="s">
        <v>74</v>
      </c>
      <c r="AY595" t="s">
        <v>74</v>
      </c>
      <c r="AZ595" t="s">
        <v>74</v>
      </c>
      <c r="BA595" t="s">
        <v>74</v>
      </c>
      <c r="BB595">
        <v>239</v>
      </c>
      <c r="BC595">
        <v>239</v>
      </c>
      <c r="BD595" t="s">
        <v>74</v>
      </c>
      <c r="BE595" t="s">
        <v>11489</v>
      </c>
      <c r="BF595" t="str">
        <f>HYPERLINK("http://dx.doi.org/10.1017/S0954102016000298","http://dx.doi.org/10.1017/S0954102016000298")</f>
        <v>http://dx.doi.org/10.1017/S0954102016000298</v>
      </c>
      <c r="BG595" t="s">
        <v>74</v>
      </c>
      <c r="BH595" t="s">
        <v>74</v>
      </c>
      <c r="BI595">
        <v>1</v>
      </c>
      <c r="BJ595" t="s">
        <v>3193</v>
      </c>
      <c r="BK595" t="s">
        <v>156</v>
      </c>
      <c r="BL595" t="s">
        <v>3194</v>
      </c>
      <c r="BM595" t="s">
        <v>11353</v>
      </c>
      <c r="BN595" t="s">
        <v>74</v>
      </c>
      <c r="BO595" t="s">
        <v>258</v>
      </c>
      <c r="BP595" t="s">
        <v>74</v>
      </c>
      <c r="BQ595" t="s">
        <v>74</v>
      </c>
      <c r="BR595" t="s">
        <v>105</v>
      </c>
      <c r="BS595" t="s">
        <v>11490</v>
      </c>
      <c r="BT595" t="str">
        <f>HYPERLINK("https%3A%2F%2Fwww.webofscience.com%2Fwos%2Fwoscc%2Ffull-record%2FWOS:000379417400001","View Full Record in Web of Science")</f>
        <v>View Full Record in Web of Science</v>
      </c>
    </row>
    <row r="596" spans="1:72" x14ac:dyDescent="0.15">
      <c r="A596" t="s">
        <v>72</v>
      </c>
      <c r="B596" t="s">
        <v>11491</v>
      </c>
      <c r="C596" t="s">
        <v>74</v>
      </c>
      <c r="D596" t="s">
        <v>74</v>
      </c>
      <c r="E596" t="s">
        <v>74</v>
      </c>
      <c r="F596" t="s">
        <v>11492</v>
      </c>
      <c r="G596" t="s">
        <v>74</v>
      </c>
      <c r="H596" t="s">
        <v>74</v>
      </c>
      <c r="I596" t="s">
        <v>11493</v>
      </c>
      <c r="J596" t="s">
        <v>3176</v>
      </c>
      <c r="K596" t="s">
        <v>74</v>
      </c>
      <c r="L596" t="s">
        <v>74</v>
      </c>
      <c r="M596" t="s">
        <v>78</v>
      </c>
      <c r="N596" t="s">
        <v>79</v>
      </c>
      <c r="O596" t="s">
        <v>74</v>
      </c>
      <c r="P596" t="s">
        <v>74</v>
      </c>
      <c r="Q596" t="s">
        <v>74</v>
      </c>
      <c r="R596" t="s">
        <v>74</v>
      </c>
      <c r="S596" t="s">
        <v>74</v>
      </c>
      <c r="T596" t="s">
        <v>11494</v>
      </c>
      <c r="U596" t="s">
        <v>11495</v>
      </c>
      <c r="V596" t="s">
        <v>11496</v>
      </c>
      <c r="W596" t="s">
        <v>11497</v>
      </c>
      <c r="X596" t="s">
        <v>11498</v>
      </c>
      <c r="Y596" t="s">
        <v>11499</v>
      </c>
      <c r="Z596" t="s">
        <v>11500</v>
      </c>
      <c r="AA596" t="s">
        <v>11501</v>
      </c>
      <c r="AB596" t="s">
        <v>11502</v>
      </c>
      <c r="AC596" t="s">
        <v>11503</v>
      </c>
      <c r="AD596" t="s">
        <v>11504</v>
      </c>
      <c r="AE596" t="s">
        <v>11505</v>
      </c>
      <c r="AF596" t="s">
        <v>74</v>
      </c>
      <c r="AG596">
        <v>32</v>
      </c>
      <c r="AH596">
        <v>4</v>
      </c>
      <c r="AI596">
        <v>5</v>
      </c>
      <c r="AJ596">
        <v>0</v>
      </c>
      <c r="AK596">
        <v>18</v>
      </c>
      <c r="AL596" t="s">
        <v>2670</v>
      </c>
      <c r="AM596" t="s">
        <v>594</v>
      </c>
      <c r="AN596" t="s">
        <v>3187</v>
      </c>
      <c r="AO596" t="s">
        <v>3188</v>
      </c>
      <c r="AP596" t="s">
        <v>3189</v>
      </c>
      <c r="AQ596" t="s">
        <v>74</v>
      </c>
      <c r="AR596" t="s">
        <v>3190</v>
      </c>
      <c r="AS596" t="s">
        <v>3191</v>
      </c>
      <c r="AT596" t="s">
        <v>9902</v>
      </c>
      <c r="AU596">
        <v>2016</v>
      </c>
      <c r="AV596">
        <v>28</v>
      </c>
      <c r="AW596">
        <v>4</v>
      </c>
      <c r="AX596" t="s">
        <v>74</v>
      </c>
      <c r="AY596" t="s">
        <v>74</v>
      </c>
      <c r="AZ596" t="s">
        <v>74</v>
      </c>
      <c r="BA596" t="s">
        <v>74</v>
      </c>
      <c r="BB596">
        <v>241</v>
      </c>
      <c r="BC596">
        <v>249</v>
      </c>
      <c r="BD596" t="s">
        <v>74</v>
      </c>
      <c r="BE596" t="s">
        <v>11506</v>
      </c>
      <c r="BF596" t="str">
        <f>HYPERLINK("http://dx.doi.org/10.1017/S095410201500067X","http://dx.doi.org/10.1017/S095410201500067X")</f>
        <v>http://dx.doi.org/10.1017/S095410201500067X</v>
      </c>
      <c r="BG596" t="s">
        <v>74</v>
      </c>
      <c r="BH596" t="s">
        <v>74</v>
      </c>
      <c r="BI596">
        <v>9</v>
      </c>
      <c r="BJ596" t="s">
        <v>3193</v>
      </c>
      <c r="BK596" t="s">
        <v>156</v>
      </c>
      <c r="BL596" t="s">
        <v>3194</v>
      </c>
      <c r="BM596" t="s">
        <v>11353</v>
      </c>
      <c r="BN596" t="s">
        <v>74</v>
      </c>
      <c r="BO596" t="s">
        <v>74</v>
      </c>
      <c r="BP596" t="s">
        <v>74</v>
      </c>
      <c r="BQ596" t="s">
        <v>74</v>
      </c>
      <c r="BR596" t="s">
        <v>105</v>
      </c>
      <c r="BS596" t="s">
        <v>11507</v>
      </c>
      <c r="BT596" t="str">
        <f>HYPERLINK("https%3A%2F%2Fwww.webofscience.com%2Fwos%2Fwoscc%2Ffull-record%2FWOS:000379417400002","View Full Record in Web of Science")</f>
        <v>View Full Record in Web of Science</v>
      </c>
    </row>
    <row r="597" spans="1:72" x14ac:dyDescent="0.15">
      <c r="A597" t="s">
        <v>72</v>
      </c>
      <c r="B597" t="s">
        <v>11508</v>
      </c>
      <c r="C597" t="s">
        <v>74</v>
      </c>
      <c r="D597" t="s">
        <v>74</v>
      </c>
      <c r="E597" t="s">
        <v>74</v>
      </c>
      <c r="F597" t="s">
        <v>11509</v>
      </c>
      <c r="G597" t="s">
        <v>74</v>
      </c>
      <c r="H597" t="s">
        <v>74</v>
      </c>
      <c r="I597" t="s">
        <v>11510</v>
      </c>
      <c r="J597" t="s">
        <v>3176</v>
      </c>
      <c r="K597" t="s">
        <v>74</v>
      </c>
      <c r="L597" t="s">
        <v>74</v>
      </c>
      <c r="M597" t="s">
        <v>78</v>
      </c>
      <c r="N597" t="s">
        <v>79</v>
      </c>
      <c r="O597" t="s">
        <v>74</v>
      </c>
      <c r="P597" t="s">
        <v>74</v>
      </c>
      <c r="Q597" t="s">
        <v>74</v>
      </c>
      <c r="R597" t="s">
        <v>74</v>
      </c>
      <c r="S597" t="s">
        <v>74</v>
      </c>
      <c r="T597" t="s">
        <v>11511</v>
      </c>
      <c r="U597" t="s">
        <v>11512</v>
      </c>
      <c r="V597" t="s">
        <v>11513</v>
      </c>
      <c r="W597" t="s">
        <v>11514</v>
      </c>
      <c r="X597" t="s">
        <v>11515</v>
      </c>
      <c r="Y597" t="s">
        <v>11516</v>
      </c>
      <c r="Z597" t="s">
        <v>11517</v>
      </c>
      <c r="AA597" t="s">
        <v>11518</v>
      </c>
      <c r="AB597" t="s">
        <v>11519</v>
      </c>
      <c r="AC597" t="s">
        <v>11520</v>
      </c>
      <c r="AD597" t="s">
        <v>8159</v>
      </c>
      <c r="AE597" t="s">
        <v>11521</v>
      </c>
      <c r="AF597" t="s">
        <v>74</v>
      </c>
      <c r="AG597">
        <v>40</v>
      </c>
      <c r="AH597">
        <v>27</v>
      </c>
      <c r="AI597">
        <v>28</v>
      </c>
      <c r="AJ597">
        <v>2</v>
      </c>
      <c r="AK597">
        <v>26</v>
      </c>
      <c r="AL597" t="s">
        <v>2670</v>
      </c>
      <c r="AM597" t="s">
        <v>594</v>
      </c>
      <c r="AN597" t="s">
        <v>3187</v>
      </c>
      <c r="AO597" t="s">
        <v>3188</v>
      </c>
      <c r="AP597" t="s">
        <v>3189</v>
      </c>
      <c r="AQ597" t="s">
        <v>74</v>
      </c>
      <c r="AR597" t="s">
        <v>3190</v>
      </c>
      <c r="AS597" t="s">
        <v>3191</v>
      </c>
      <c r="AT597" t="s">
        <v>9902</v>
      </c>
      <c r="AU597">
        <v>2016</v>
      </c>
      <c r="AV597">
        <v>28</v>
      </c>
      <c r="AW597">
        <v>4</v>
      </c>
      <c r="AX597" t="s">
        <v>74</v>
      </c>
      <c r="AY597" t="s">
        <v>74</v>
      </c>
      <c r="AZ597" t="s">
        <v>74</v>
      </c>
      <c r="BA597" t="s">
        <v>74</v>
      </c>
      <c r="BB597">
        <v>293</v>
      </c>
      <c r="BC597">
        <v>303</v>
      </c>
      <c r="BD597" t="s">
        <v>74</v>
      </c>
      <c r="BE597" t="s">
        <v>11522</v>
      </c>
      <c r="BF597" t="str">
        <f>HYPERLINK("http://dx.doi.org/10.1017/S0954102016000043","http://dx.doi.org/10.1017/S0954102016000043")</f>
        <v>http://dx.doi.org/10.1017/S0954102016000043</v>
      </c>
      <c r="BG597" t="s">
        <v>74</v>
      </c>
      <c r="BH597" t="s">
        <v>74</v>
      </c>
      <c r="BI597">
        <v>11</v>
      </c>
      <c r="BJ597" t="s">
        <v>3193</v>
      </c>
      <c r="BK597" t="s">
        <v>156</v>
      </c>
      <c r="BL597" t="s">
        <v>3194</v>
      </c>
      <c r="BM597" t="s">
        <v>11353</v>
      </c>
      <c r="BN597" t="s">
        <v>74</v>
      </c>
      <c r="BO597" t="s">
        <v>2822</v>
      </c>
      <c r="BP597" t="s">
        <v>74</v>
      </c>
      <c r="BQ597" t="s">
        <v>74</v>
      </c>
      <c r="BR597" t="s">
        <v>105</v>
      </c>
      <c r="BS597" t="s">
        <v>11523</v>
      </c>
      <c r="BT597" t="str">
        <f>HYPERLINK("https%3A%2F%2Fwww.webofscience.com%2Fwos%2Fwoscc%2Ffull-record%2FWOS:000379417400007","View Full Record in Web of Science")</f>
        <v>View Full Record in Web of Science</v>
      </c>
    </row>
    <row r="598" spans="1:72" x14ac:dyDescent="0.15">
      <c r="A598" t="s">
        <v>72</v>
      </c>
      <c r="B598" t="s">
        <v>11524</v>
      </c>
      <c r="C598" t="s">
        <v>74</v>
      </c>
      <c r="D598" t="s">
        <v>74</v>
      </c>
      <c r="E598" t="s">
        <v>74</v>
      </c>
      <c r="F598" t="s">
        <v>11525</v>
      </c>
      <c r="G598" t="s">
        <v>74</v>
      </c>
      <c r="H598" t="s">
        <v>74</v>
      </c>
      <c r="I598" t="s">
        <v>11526</v>
      </c>
      <c r="J598" t="s">
        <v>11527</v>
      </c>
      <c r="K598" t="s">
        <v>74</v>
      </c>
      <c r="L598" t="s">
        <v>74</v>
      </c>
      <c r="M598" t="s">
        <v>78</v>
      </c>
      <c r="N598" t="s">
        <v>79</v>
      </c>
      <c r="O598" t="s">
        <v>74</v>
      </c>
      <c r="P598" t="s">
        <v>74</v>
      </c>
      <c r="Q598" t="s">
        <v>74</v>
      </c>
      <c r="R598" t="s">
        <v>74</v>
      </c>
      <c r="S598" t="s">
        <v>74</v>
      </c>
      <c r="T598" t="s">
        <v>11528</v>
      </c>
      <c r="U598" t="s">
        <v>11529</v>
      </c>
      <c r="V598" t="s">
        <v>11530</v>
      </c>
      <c r="W598" t="s">
        <v>11531</v>
      </c>
      <c r="X598" t="s">
        <v>11532</v>
      </c>
      <c r="Y598" t="s">
        <v>11533</v>
      </c>
      <c r="Z598" t="s">
        <v>11534</v>
      </c>
      <c r="AA598" t="s">
        <v>11535</v>
      </c>
      <c r="AB598" t="s">
        <v>11536</v>
      </c>
      <c r="AC598" t="s">
        <v>11537</v>
      </c>
      <c r="AD598" t="s">
        <v>11538</v>
      </c>
      <c r="AE598" t="s">
        <v>11539</v>
      </c>
      <c r="AF598" t="s">
        <v>74</v>
      </c>
      <c r="AG598">
        <v>44</v>
      </c>
      <c r="AH598">
        <v>7</v>
      </c>
      <c r="AI598">
        <v>8</v>
      </c>
      <c r="AJ598">
        <v>2</v>
      </c>
      <c r="AK598">
        <v>35</v>
      </c>
      <c r="AL598" t="s">
        <v>92</v>
      </c>
      <c r="AM598" t="s">
        <v>93</v>
      </c>
      <c r="AN598" t="s">
        <v>94</v>
      </c>
      <c r="AO598" t="s">
        <v>11540</v>
      </c>
      <c r="AP598" t="s">
        <v>11541</v>
      </c>
      <c r="AQ598" t="s">
        <v>74</v>
      </c>
      <c r="AR598" t="s">
        <v>11542</v>
      </c>
      <c r="AS598" t="s">
        <v>11543</v>
      </c>
      <c r="AT598" t="s">
        <v>9902</v>
      </c>
      <c r="AU598">
        <v>2016</v>
      </c>
      <c r="AV598">
        <v>177</v>
      </c>
      <c r="AW598" t="s">
        <v>74</v>
      </c>
      <c r="AX598" t="s">
        <v>74</v>
      </c>
      <c r="AY598" t="s">
        <v>74</v>
      </c>
      <c r="AZ598" t="s">
        <v>74</v>
      </c>
      <c r="BA598" t="s">
        <v>74</v>
      </c>
      <c r="BB598">
        <v>333</v>
      </c>
      <c r="BC598">
        <v>342</v>
      </c>
      <c r="BD598" t="s">
        <v>74</v>
      </c>
      <c r="BE598" t="s">
        <v>11544</v>
      </c>
      <c r="BF598" t="str">
        <f>HYPERLINK("http://dx.doi.org/10.1016/j.aquatox.2016.06.002","http://dx.doi.org/10.1016/j.aquatox.2016.06.002")</f>
        <v>http://dx.doi.org/10.1016/j.aquatox.2016.06.002</v>
      </c>
      <c r="BG598" t="s">
        <v>74</v>
      </c>
      <c r="BH598" t="s">
        <v>74</v>
      </c>
      <c r="BI598">
        <v>10</v>
      </c>
      <c r="BJ598" t="s">
        <v>11545</v>
      </c>
      <c r="BK598" t="s">
        <v>156</v>
      </c>
      <c r="BL598" t="s">
        <v>11545</v>
      </c>
      <c r="BM598" t="s">
        <v>11546</v>
      </c>
      <c r="BN598">
        <v>27367827</v>
      </c>
      <c r="BO598" t="s">
        <v>74</v>
      </c>
      <c r="BP598" t="s">
        <v>74</v>
      </c>
      <c r="BQ598" t="s">
        <v>74</v>
      </c>
      <c r="BR598" t="s">
        <v>105</v>
      </c>
      <c r="BS598" t="s">
        <v>11547</v>
      </c>
      <c r="BT598" t="str">
        <f>HYPERLINK("https%3A%2F%2Fwww.webofscience.com%2Fwos%2Fwoscc%2Ffull-record%2FWOS:000381529700033","View Full Record in Web of Science")</f>
        <v>View Full Record in Web of Science</v>
      </c>
    </row>
    <row r="599" spans="1:72" x14ac:dyDescent="0.15">
      <c r="A599" t="s">
        <v>72</v>
      </c>
      <c r="B599" t="s">
        <v>11548</v>
      </c>
      <c r="C599" t="s">
        <v>74</v>
      </c>
      <c r="D599" t="s">
        <v>74</v>
      </c>
      <c r="E599" t="s">
        <v>74</v>
      </c>
      <c r="F599" t="s">
        <v>11549</v>
      </c>
      <c r="G599" t="s">
        <v>74</v>
      </c>
      <c r="H599" t="s">
        <v>74</v>
      </c>
      <c r="I599" t="s">
        <v>11550</v>
      </c>
      <c r="J599" t="s">
        <v>10672</v>
      </c>
      <c r="K599" t="s">
        <v>74</v>
      </c>
      <c r="L599" t="s">
        <v>74</v>
      </c>
      <c r="M599" t="s">
        <v>78</v>
      </c>
      <c r="N599" t="s">
        <v>79</v>
      </c>
      <c r="O599" t="s">
        <v>74</v>
      </c>
      <c r="P599" t="s">
        <v>74</v>
      </c>
      <c r="Q599" t="s">
        <v>74</v>
      </c>
      <c r="R599" t="s">
        <v>74</v>
      </c>
      <c r="S599" t="s">
        <v>74</v>
      </c>
      <c r="T599" t="s">
        <v>74</v>
      </c>
      <c r="U599" t="s">
        <v>11551</v>
      </c>
      <c r="V599" t="s">
        <v>11552</v>
      </c>
      <c r="W599" t="s">
        <v>11553</v>
      </c>
      <c r="X599" t="s">
        <v>11554</v>
      </c>
      <c r="Y599" t="s">
        <v>11555</v>
      </c>
      <c r="Z599" t="s">
        <v>11556</v>
      </c>
      <c r="AA599" t="s">
        <v>11557</v>
      </c>
      <c r="AB599" t="s">
        <v>11558</v>
      </c>
      <c r="AC599" t="s">
        <v>11559</v>
      </c>
      <c r="AD599" t="s">
        <v>11560</v>
      </c>
      <c r="AE599" t="s">
        <v>11561</v>
      </c>
      <c r="AF599" t="s">
        <v>74</v>
      </c>
      <c r="AG599">
        <v>50</v>
      </c>
      <c r="AH599">
        <v>15</v>
      </c>
      <c r="AI599">
        <v>20</v>
      </c>
      <c r="AJ599">
        <v>4</v>
      </c>
      <c r="AK599">
        <v>65</v>
      </c>
      <c r="AL599" t="s">
        <v>10684</v>
      </c>
      <c r="AM599" t="s">
        <v>173</v>
      </c>
      <c r="AN599" t="s">
        <v>10685</v>
      </c>
      <c r="AO599" t="s">
        <v>10686</v>
      </c>
      <c r="AP599" t="s">
        <v>10687</v>
      </c>
      <c r="AQ599" t="s">
        <v>74</v>
      </c>
      <c r="AR599" t="s">
        <v>10688</v>
      </c>
      <c r="AS599" t="s">
        <v>10689</v>
      </c>
      <c r="AT599" t="s">
        <v>9902</v>
      </c>
      <c r="AU599">
        <v>2016</v>
      </c>
      <c r="AV599">
        <v>48</v>
      </c>
      <c r="AW599">
        <v>3</v>
      </c>
      <c r="AX599" t="s">
        <v>74</v>
      </c>
      <c r="AY599" t="s">
        <v>74</v>
      </c>
      <c r="AZ599" t="s">
        <v>74</v>
      </c>
      <c r="BA599" t="s">
        <v>74</v>
      </c>
      <c r="BB599">
        <v>461</v>
      </c>
      <c r="BC599">
        <v>468</v>
      </c>
      <c r="BD599" t="s">
        <v>74</v>
      </c>
      <c r="BE599" t="s">
        <v>11562</v>
      </c>
      <c r="BF599" t="str">
        <f>HYPERLINK("http://dx.doi.org/10.1657/AAAR0015-069","http://dx.doi.org/10.1657/AAAR0015-069")</f>
        <v>http://dx.doi.org/10.1657/AAAR0015-069</v>
      </c>
      <c r="BG599" t="s">
        <v>74</v>
      </c>
      <c r="BH599" t="s">
        <v>74</v>
      </c>
      <c r="BI599">
        <v>8</v>
      </c>
      <c r="BJ599" t="s">
        <v>10691</v>
      </c>
      <c r="BK599" t="s">
        <v>156</v>
      </c>
      <c r="BL599" t="s">
        <v>8184</v>
      </c>
      <c r="BM599" t="s">
        <v>10692</v>
      </c>
      <c r="BN599" t="s">
        <v>74</v>
      </c>
      <c r="BO599" t="s">
        <v>1142</v>
      </c>
      <c r="BP599" t="s">
        <v>74</v>
      </c>
      <c r="BQ599" t="s">
        <v>74</v>
      </c>
      <c r="BR599" t="s">
        <v>105</v>
      </c>
      <c r="BS599" t="s">
        <v>11563</v>
      </c>
      <c r="BT599" t="str">
        <f>HYPERLINK("https%3A%2F%2Fwww.webofscience.com%2Fwos%2Fwoscc%2Ffull-record%2FWOS:000382800700002","View Full Record in Web of Science")</f>
        <v>View Full Record in Web of Science</v>
      </c>
    </row>
    <row r="600" spans="1:72" x14ac:dyDescent="0.15">
      <c r="A600" t="s">
        <v>72</v>
      </c>
      <c r="B600" t="s">
        <v>11564</v>
      </c>
      <c r="C600" t="s">
        <v>74</v>
      </c>
      <c r="D600" t="s">
        <v>74</v>
      </c>
      <c r="E600" t="s">
        <v>74</v>
      </c>
      <c r="F600" t="s">
        <v>11565</v>
      </c>
      <c r="G600" t="s">
        <v>74</v>
      </c>
      <c r="H600" t="s">
        <v>74</v>
      </c>
      <c r="I600" t="s">
        <v>11566</v>
      </c>
      <c r="J600" t="s">
        <v>10672</v>
      </c>
      <c r="K600" t="s">
        <v>74</v>
      </c>
      <c r="L600" t="s">
        <v>74</v>
      </c>
      <c r="M600" t="s">
        <v>78</v>
      </c>
      <c r="N600" t="s">
        <v>79</v>
      </c>
      <c r="O600" t="s">
        <v>74</v>
      </c>
      <c r="P600" t="s">
        <v>74</v>
      </c>
      <c r="Q600" t="s">
        <v>74</v>
      </c>
      <c r="R600" t="s">
        <v>74</v>
      </c>
      <c r="S600" t="s">
        <v>74</v>
      </c>
      <c r="T600" t="s">
        <v>74</v>
      </c>
      <c r="U600" t="s">
        <v>11567</v>
      </c>
      <c r="V600" t="s">
        <v>11568</v>
      </c>
      <c r="W600" t="s">
        <v>11569</v>
      </c>
      <c r="X600" t="s">
        <v>11570</v>
      </c>
      <c r="Y600" t="s">
        <v>11571</v>
      </c>
      <c r="Z600" t="s">
        <v>11572</v>
      </c>
      <c r="AA600" t="s">
        <v>11573</v>
      </c>
      <c r="AB600" t="s">
        <v>11574</v>
      </c>
      <c r="AC600" t="s">
        <v>11575</v>
      </c>
      <c r="AD600" t="s">
        <v>11576</v>
      </c>
      <c r="AE600" t="s">
        <v>11577</v>
      </c>
      <c r="AF600" t="s">
        <v>74</v>
      </c>
      <c r="AG600">
        <v>81</v>
      </c>
      <c r="AH600">
        <v>42</v>
      </c>
      <c r="AI600">
        <v>46</v>
      </c>
      <c r="AJ600">
        <v>4</v>
      </c>
      <c r="AK600">
        <v>55</v>
      </c>
      <c r="AL600" t="s">
        <v>860</v>
      </c>
      <c r="AM600" t="s">
        <v>861</v>
      </c>
      <c r="AN600" t="s">
        <v>862</v>
      </c>
      <c r="AO600" t="s">
        <v>10686</v>
      </c>
      <c r="AP600" t="s">
        <v>10687</v>
      </c>
      <c r="AQ600" t="s">
        <v>74</v>
      </c>
      <c r="AR600" t="s">
        <v>10688</v>
      </c>
      <c r="AS600" t="s">
        <v>10689</v>
      </c>
      <c r="AT600" t="s">
        <v>9902</v>
      </c>
      <c r="AU600">
        <v>2016</v>
      </c>
      <c r="AV600">
        <v>48</v>
      </c>
      <c r="AW600">
        <v>3</v>
      </c>
      <c r="AX600" t="s">
        <v>74</v>
      </c>
      <c r="AY600" t="s">
        <v>74</v>
      </c>
      <c r="AZ600" t="s">
        <v>74</v>
      </c>
      <c r="BA600" t="s">
        <v>74</v>
      </c>
      <c r="BB600">
        <v>501</v>
      </c>
      <c r="BC600">
        <v>521</v>
      </c>
      <c r="BD600" t="s">
        <v>74</v>
      </c>
      <c r="BE600" t="s">
        <v>11578</v>
      </c>
      <c r="BF600" t="str">
        <f>HYPERLINK("http://dx.doi.org/10.1657/AAAR0016-004","http://dx.doi.org/10.1657/AAAR0016-004")</f>
        <v>http://dx.doi.org/10.1657/AAAR0016-004</v>
      </c>
      <c r="BG600" t="s">
        <v>74</v>
      </c>
      <c r="BH600" t="s">
        <v>74</v>
      </c>
      <c r="BI600">
        <v>21</v>
      </c>
      <c r="BJ600" t="s">
        <v>10691</v>
      </c>
      <c r="BK600" t="s">
        <v>156</v>
      </c>
      <c r="BL600" t="s">
        <v>8184</v>
      </c>
      <c r="BM600" t="s">
        <v>10692</v>
      </c>
      <c r="BN600" t="s">
        <v>74</v>
      </c>
      <c r="BO600" t="s">
        <v>2462</v>
      </c>
      <c r="BP600" t="s">
        <v>74</v>
      </c>
      <c r="BQ600" t="s">
        <v>74</v>
      </c>
      <c r="BR600" t="s">
        <v>105</v>
      </c>
      <c r="BS600" t="s">
        <v>11579</v>
      </c>
      <c r="BT600" t="str">
        <f>HYPERLINK("https%3A%2F%2Fwww.webofscience.com%2Fwos%2Fwoscc%2Ffull-record%2FWOS:000382800700005","View Full Record in Web of Science")</f>
        <v>View Full Record in Web of Science</v>
      </c>
    </row>
    <row r="601" spans="1:72" x14ac:dyDescent="0.15">
      <c r="A601" t="s">
        <v>72</v>
      </c>
      <c r="B601" t="s">
        <v>11580</v>
      </c>
      <c r="C601" t="s">
        <v>74</v>
      </c>
      <c r="D601" t="s">
        <v>74</v>
      </c>
      <c r="E601" t="s">
        <v>74</v>
      </c>
      <c r="F601" t="s">
        <v>11581</v>
      </c>
      <c r="G601" t="s">
        <v>74</v>
      </c>
      <c r="H601" t="s">
        <v>74</v>
      </c>
      <c r="I601" t="s">
        <v>11582</v>
      </c>
      <c r="J601" t="s">
        <v>10672</v>
      </c>
      <c r="K601" t="s">
        <v>74</v>
      </c>
      <c r="L601" t="s">
        <v>74</v>
      </c>
      <c r="M601" t="s">
        <v>78</v>
      </c>
      <c r="N601" t="s">
        <v>79</v>
      </c>
      <c r="O601" t="s">
        <v>74</v>
      </c>
      <c r="P601" t="s">
        <v>74</v>
      </c>
      <c r="Q601" t="s">
        <v>74</v>
      </c>
      <c r="R601" t="s">
        <v>74</v>
      </c>
      <c r="S601" t="s">
        <v>74</v>
      </c>
      <c r="T601" t="s">
        <v>74</v>
      </c>
      <c r="U601" t="s">
        <v>11583</v>
      </c>
      <c r="V601" t="s">
        <v>11584</v>
      </c>
      <c r="W601" t="s">
        <v>11585</v>
      </c>
      <c r="X601" t="s">
        <v>11586</v>
      </c>
      <c r="Y601" t="s">
        <v>11587</v>
      </c>
      <c r="Z601" t="s">
        <v>11588</v>
      </c>
      <c r="AA601" t="s">
        <v>11589</v>
      </c>
      <c r="AB601" t="s">
        <v>11590</v>
      </c>
      <c r="AC601" t="s">
        <v>11591</v>
      </c>
      <c r="AD601" t="s">
        <v>11592</v>
      </c>
      <c r="AE601" t="s">
        <v>11593</v>
      </c>
      <c r="AF601" t="s">
        <v>74</v>
      </c>
      <c r="AG601">
        <v>49</v>
      </c>
      <c r="AH601">
        <v>8</v>
      </c>
      <c r="AI601">
        <v>8</v>
      </c>
      <c r="AJ601">
        <v>0</v>
      </c>
      <c r="AK601">
        <v>34</v>
      </c>
      <c r="AL601" t="s">
        <v>860</v>
      </c>
      <c r="AM601" t="s">
        <v>861</v>
      </c>
      <c r="AN601" t="s">
        <v>862</v>
      </c>
      <c r="AO601" t="s">
        <v>10686</v>
      </c>
      <c r="AP601" t="s">
        <v>10687</v>
      </c>
      <c r="AQ601" t="s">
        <v>74</v>
      </c>
      <c r="AR601" t="s">
        <v>10688</v>
      </c>
      <c r="AS601" t="s">
        <v>10689</v>
      </c>
      <c r="AT601" t="s">
        <v>9902</v>
      </c>
      <c r="AU601">
        <v>2016</v>
      </c>
      <c r="AV601">
        <v>48</v>
      </c>
      <c r="AW601">
        <v>3</v>
      </c>
      <c r="AX601" t="s">
        <v>74</v>
      </c>
      <c r="AY601" t="s">
        <v>74</v>
      </c>
      <c r="AZ601" t="s">
        <v>74</v>
      </c>
      <c r="BA601" t="s">
        <v>74</v>
      </c>
      <c r="BB601">
        <v>531</v>
      </c>
      <c r="BC601">
        <v>549</v>
      </c>
      <c r="BD601" t="s">
        <v>74</v>
      </c>
      <c r="BE601" t="s">
        <v>11594</v>
      </c>
      <c r="BF601" t="str">
        <f>HYPERLINK("http://dx.doi.org/10.1657/AAAR0016-005","http://dx.doi.org/10.1657/AAAR0016-005")</f>
        <v>http://dx.doi.org/10.1657/AAAR0016-005</v>
      </c>
      <c r="BG601" t="s">
        <v>74</v>
      </c>
      <c r="BH601" t="s">
        <v>74</v>
      </c>
      <c r="BI601">
        <v>19</v>
      </c>
      <c r="BJ601" t="s">
        <v>10691</v>
      </c>
      <c r="BK601" t="s">
        <v>156</v>
      </c>
      <c r="BL601" t="s">
        <v>8184</v>
      </c>
      <c r="BM601" t="s">
        <v>10692</v>
      </c>
      <c r="BN601" t="s">
        <v>74</v>
      </c>
      <c r="BO601" t="s">
        <v>1142</v>
      </c>
      <c r="BP601" t="s">
        <v>74</v>
      </c>
      <c r="BQ601" t="s">
        <v>74</v>
      </c>
      <c r="BR601" t="s">
        <v>105</v>
      </c>
      <c r="BS601" t="s">
        <v>11595</v>
      </c>
      <c r="BT601" t="str">
        <f>HYPERLINK("https%3A%2F%2Fwww.webofscience.com%2Fwos%2Fwoscc%2Ffull-record%2FWOS:000382800700007","View Full Record in Web of Science")</f>
        <v>View Full Record in Web of Science</v>
      </c>
    </row>
    <row r="602" spans="1:72" x14ac:dyDescent="0.15">
      <c r="A602" t="s">
        <v>72</v>
      </c>
      <c r="B602" t="s">
        <v>11596</v>
      </c>
      <c r="C602" t="s">
        <v>74</v>
      </c>
      <c r="D602" t="s">
        <v>74</v>
      </c>
      <c r="E602" t="s">
        <v>74</v>
      </c>
      <c r="F602" t="s">
        <v>11597</v>
      </c>
      <c r="G602" t="s">
        <v>74</v>
      </c>
      <c r="H602" t="s">
        <v>74</v>
      </c>
      <c r="I602" t="s">
        <v>11598</v>
      </c>
      <c r="J602" t="s">
        <v>10672</v>
      </c>
      <c r="K602" t="s">
        <v>74</v>
      </c>
      <c r="L602" t="s">
        <v>74</v>
      </c>
      <c r="M602" t="s">
        <v>78</v>
      </c>
      <c r="N602" t="s">
        <v>79</v>
      </c>
      <c r="O602" t="s">
        <v>74</v>
      </c>
      <c r="P602" t="s">
        <v>74</v>
      </c>
      <c r="Q602" t="s">
        <v>74</v>
      </c>
      <c r="R602" t="s">
        <v>74</v>
      </c>
      <c r="S602" t="s">
        <v>74</v>
      </c>
      <c r="T602" t="s">
        <v>74</v>
      </c>
      <c r="U602" t="s">
        <v>11599</v>
      </c>
      <c r="V602" t="s">
        <v>11600</v>
      </c>
      <c r="W602" t="s">
        <v>11601</v>
      </c>
      <c r="X602" t="s">
        <v>11602</v>
      </c>
      <c r="Y602" t="s">
        <v>11603</v>
      </c>
      <c r="Z602" t="s">
        <v>11604</v>
      </c>
      <c r="AA602" t="s">
        <v>74</v>
      </c>
      <c r="AB602" t="s">
        <v>11605</v>
      </c>
      <c r="AC602" t="s">
        <v>11606</v>
      </c>
      <c r="AD602" t="s">
        <v>11607</v>
      </c>
      <c r="AE602" t="s">
        <v>11608</v>
      </c>
      <c r="AF602" t="s">
        <v>74</v>
      </c>
      <c r="AG602">
        <v>63</v>
      </c>
      <c r="AH602">
        <v>31</v>
      </c>
      <c r="AI602">
        <v>34</v>
      </c>
      <c r="AJ602">
        <v>1</v>
      </c>
      <c r="AK602">
        <v>40</v>
      </c>
      <c r="AL602" t="s">
        <v>860</v>
      </c>
      <c r="AM602" t="s">
        <v>861</v>
      </c>
      <c r="AN602" t="s">
        <v>862</v>
      </c>
      <c r="AO602" t="s">
        <v>10686</v>
      </c>
      <c r="AP602" t="s">
        <v>10687</v>
      </c>
      <c r="AQ602" t="s">
        <v>74</v>
      </c>
      <c r="AR602" t="s">
        <v>10688</v>
      </c>
      <c r="AS602" t="s">
        <v>10689</v>
      </c>
      <c r="AT602" t="s">
        <v>9902</v>
      </c>
      <c r="AU602">
        <v>2016</v>
      </c>
      <c r="AV602">
        <v>48</v>
      </c>
      <c r="AW602">
        <v>3</v>
      </c>
      <c r="AX602" t="s">
        <v>74</v>
      </c>
      <c r="AY602" t="s">
        <v>74</v>
      </c>
      <c r="AZ602" t="s">
        <v>74</v>
      </c>
      <c r="BA602" t="s">
        <v>74</v>
      </c>
      <c r="BB602">
        <v>581</v>
      </c>
      <c r="BC602">
        <v>597</v>
      </c>
      <c r="BD602" t="s">
        <v>74</v>
      </c>
      <c r="BE602" t="s">
        <v>11609</v>
      </c>
      <c r="BF602" t="str">
        <f>HYPERLINK("http://dx.doi.org/10.1657/AAAR0015-063","http://dx.doi.org/10.1657/AAAR0015-063")</f>
        <v>http://dx.doi.org/10.1657/AAAR0015-063</v>
      </c>
      <c r="BG602" t="s">
        <v>74</v>
      </c>
      <c r="BH602" t="s">
        <v>74</v>
      </c>
      <c r="BI602">
        <v>17</v>
      </c>
      <c r="BJ602" t="s">
        <v>10691</v>
      </c>
      <c r="BK602" t="s">
        <v>156</v>
      </c>
      <c r="BL602" t="s">
        <v>8184</v>
      </c>
      <c r="BM602" t="s">
        <v>10692</v>
      </c>
      <c r="BN602" t="s">
        <v>74</v>
      </c>
      <c r="BO602" t="s">
        <v>1142</v>
      </c>
      <c r="BP602" t="s">
        <v>74</v>
      </c>
      <c r="BQ602" t="s">
        <v>74</v>
      </c>
      <c r="BR602" t="s">
        <v>105</v>
      </c>
      <c r="BS602" t="s">
        <v>11610</v>
      </c>
      <c r="BT602" t="str">
        <f>HYPERLINK("https%3A%2F%2Fwww.webofscience.com%2Fwos%2Fwoscc%2Ffull-record%2FWOS:000382800700010","View Full Record in Web of Science")</f>
        <v>View Full Record in Web of Science</v>
      </c>
    </row>
    <row r="603" spans="1:72" x14ac:dyDescent="0.15">
      <c r="A603" t="s">
        <v>72</v>
      </c>
      <c r="B603" t="s">
        <v>11611</v>
      </c>
      <c r="C603" t="s">
        <v>74</v>
      </c>
      <c r="D603" t="s">
        <v>74</v>
      </c>
      <c r="E603" t="s">
        <v>74</v>
      </c>
      <c r="F603" t="s">
        <v>11612</v>
      </c>
      <c r="G603" t="s">
        <v>74</v>
      </c>
      <c r="H603" t="s">
        <v>74</v>
      </c>
      <c r="I603" t="s">
        <v>11613</v>
      </c>
      <c r="J603" t="s">
        <v>3443</v>
      </c>
      <c r="K603" t="s">
        <v>74</v>
      </c>
      <c r="L603" t="s">
        <v>74</v>
      </c>
      <c r="M603" t="s">
        <v>78</v>
      </c>
      <c r="N603" t="s">
        <v>317</v>
      </c>
      <c r="O603" t="s">
        <v>74</v>
      </c>
      <c r="P603" t="s">
        <v>74</v>
      </c>
      <c r="Q603" t="s">
        <v>74</v>
      </c>
      <c r="R603" t="s">
        <v>74</v>
      </c>
      <c r="S603" t="s">
        <v>74</v>
      </c>
      <c r="T603" t="s">
        <v>11614</v>
      </c>
      <c r="U603" t="s">
        <v>11615</v>
      </c>
      <c r="V603" t="s">
        <v>11616</v>
      </c>
      <c r="W603" t="s">
        <v>11617</v>
      </c>
      <c r="X603" t="s">
        <v>11618</v>
      </c>
      <c r="Y603" t="s">
        <v>11619</v>
      </c>
      <c r="Z603" t="s">
        <v>11620</v>
      </c>
      <c r="AA603" t="s">
        <v>11621</v>
      </c>
      <c r="AB603" t="s">
        <v>11622</v>
      </c>
      <c r="AC603" t="s">
        <v>11623</v>
      </c>
      <c r="AD603" t="s">
        <v>11624</v>
      </c>
      <c r="AE603" t="s">
        <v>11625</v>
      </c>
      <c r="AF603" t="s">
        <v>74</v>
      </c>
      <c r="AG603">
        <v>80</v>
      </c>
      <c r="AH603">
        <v>36</v>
      </c>
      <c r="AI603">
        <v>36</v>
      </c>
      <c r="AJ603">
        <v>0</v>
      </c>
      <c r="AK603">
        <v>42</v>
      </c>
      <c r="AL603" t="s">
        <v>474</v>
      </c>
      <c r="AM603" t="s">
        <v>304</v>
      </c>
      <c r="AN603" t="s">
        <v>475</v>
      </c>
      <c r="AO603" t="s">
        <v>3455</v>
      </c>
      <c r="AP603" t="s">
        <v>3456</v>
      </c>
      <c r="AQ603" t="s">
        <v>74</v>
      </c>
      <c r="AR603" t="s">
        <v>3457</v>
      </c>
      <c r="AS603" t="s">
        <v>3458</v>
      </c>
      <c r="AT603" t="s">
        <v>9902</v>
      </c>
      <c r="AU603">
        <v>2016</v>
      </c>
      <c r="AV603">
        <v>200</v>
      </c>
      <c r="AW603" t="s">
        <v>74</v>
      </c>
      <c r="AX603" t="s">
        <v>74</v>
      </c>
      <c r="AY603" t="s">
        <v>74</v>
      </c>
      <c r="AZ603" t="s">
        <v>74</v>
      </c>
      <c r="BA603" t="s">
        <v>74</v>
      </c>
      <c r="BB603">
        <v>149</v>
      </c>
      <c r="BC603">
        <v>159</v>
      </c>
      <c r="BD603" t="s">
        <v>74</v>
      </c>
      <c r="BE603" t="s">
        <v>11626</v>
      </c>
      <c r="BF603" t="str">
        <f>HYPERLINK("http://dx.doi.org/10.1016/j.biocon.2016.03.011","http://dx.doi.org/10.1016/j.biocon.2016.03.011")</f>
        <v>http://dx.doi.org/10.1016/j.biocon.2016.03.011</v>
      </c>
      <c r="BG603" t="s">
        <v>74</v>
      </c>
      <c r="BH603" t="s">
        <v>74</v>
      </c>
      <c r="BI603">
        <v>11</v>
      </c>
      <c r="BJ603" t="s">
        <v>3460</v>
      </c>
      <c r="BK603" t="s">
        <v>156</v>
      </c>
      <c r="BL603" t="s">
        <v>653</v>
      </c>
      <c r="BM603" t="s">
        <v>11627</v>
      </c>
      <c r="BN603" t="s">
        <v>74</v>
      </c>
      <c r="BO603" t="s">
        <v>329</v>
      </c>
      <c r="BP603" t="s">
        <v>74</v>
      </c>
      <c r="BQ603" t="s">
        <v>74</v>
      </c>
      <c r="BR603" t="s">
        <v>105</v>
      </c>
      <c r="BS603" t="s">
        <v>11628</v>
      </c>
      <c r="BT603" t="str">
        <f>HYPERLINK("https%3A%2F%2Fwww.webofscience.com%2Fwos%2Fwoscc%2Ffull-record%2FWOS:000381325300017","View Full Record in Web of Science")</f>
        <v>View Full Record in Web of Science</v>
      </c>
    </row>
    <row r="604" spans="1:72" x14ac:dyDescent="0.15">
      <c r="A604" t="s">
        <v>72</v>
      </c>
      <c r="B604" t="s">
        <v>11629</v>
      </c>
      <c r="C604" t="s">
        <v>74</v>
      </c>
      <c r="D604" t="s">
        <v>74</v>
      </c>
      <c r="E604" t="s">
        <v>74</v>
      </c>
      <c r="F604" t="s">
        <v>11630</v>
      </c>
      <c r="G604" t="s">
        <v>74</v>
      </c>
      <c r="H604" t="s">
        <v>74</v>
      </c>
      <c r="I604" t="s">
        <v>11631</v>
      </c>
      <c r="J604" t="s">
        <v>11632</v>
      </c>
      <c r="K604" t="s">
        <v>74</v>
      </c>
      <c r="L604" t="s">
        <v>74</v>
      </c>
      <c r="M604" t="s">
        <v>78</v>
      </c>
      <c r="N604" t="s">
        <v>317</v>
      </c>
      <c r="O604" t="s">
        <v>74</v>
      </c>
      <c r="P604" t="s">
        <v>74</v>
      </c>
      <c r="Q604" t="s">
        <v>74</v>
      </c>
      <c r="R604" t="s">
        <v>74</v>
      </c>
      <c r="S604" t="s">
        <v>74</v>
      </c>
      <c r="T604" t="s">
        <v>11633</v>
      </c>
      <c r="U604" t="s">
        <v>11634</v>
      </c>
      <c r="V604" t="s">
        <v>11635</v>
      </c>
      <c r="W604" t="s">
        <v>11636</v>
      </c>
      <c r="X604" t="s">
        <v>7154</v>
      </c>
      <c r="Y604" t="s">
        <v>11637</v>
      </c>
      <c r="Z604" t="s">
        <v>11638</v>
      </c>
      <c r="AA604" t="s">
        <v>11639</v>
      </c>
      <c r="AB604" t="s">
        <v>11640</v>
      </c>
      <c r="AC604" t="s">
        <v>11641</v>
      </c>
      <c r="AD604" t="s">
        <v>11641</v>
      </c>
      <c r="AE604" t="s">
        <v>11642</v>
      </c>
      <c r="AF604" t="s">
        <v>74</v>
      </c>
      <c r="AG604">
        <v>219</v>
      </c>
      <c r="AH604">
        <v>62</v>
      </c>
      <c r="AI604">
        <v>66</v>
      </c>
      <c r="AJ604">
        <v>3</v>
      </c>
      <c r="AK604">
        <v>134</v>
      </c>
      <c r="AL604" t="s">
        <v>501</v>
      </c>
      <c r="AM604" t="s">
        <v>502</v>
      </c>
      <c r="AN604" t="s">
        <v>503</v>
      </c>
      <c r="AO604" t="s">
        <v>11643</v>
      </c>
      <c r="AP604" t="s">
        <v>11644</v>
      </c>
      <c r="AQ604" t="s">
        <v>74</v>
      </c>
      <c r="AR604" t="s">
        <v>11645</v>
      </c>
      <c r="AS604" t="s">
        <v>11646</v>
      </c>
      <c r="AT604" t="s">
        <v>9902</v>
      </c>
      <c r="AU604">
        <v>2016</v>
      </c>
      <c r="AV604">
        <v>91</v>
      </c>
      <c r="AW604">
        <v>3</v>
      </c>
      <c r="AX604" t="s">
        <v>74</v>
      </c>
      <c r="AY604" t="s">
        <v>74</v>
      </c>
      <c r="AZ604" t="s">
        <v>74</v>
      </c>
      <c r="BA604" t="s">
        <v>74</v>
      </c>
      <c r="BB604">
        <v>578</v>
      </c>
      <c r="BC604">
        <v>596</v>
      </c>
      <c r="BD604" t="s">
        <v>74</v>
      </c>
      <c r="BE604" t="s">
        <v>11647</v>
      </c>
      <c r="BF604" t="str">
        <f>HYPERLINK("http://dx.doi.org/10.1111/brv.12184","http://dx.doi.org/10.1111/brv.12184")</f>
        <v>http://dx.doi.org/10.1111/brv.12184</v>
      </c>
      <c r="BG604" t="s">
        <v>74</v>
      </c>
      <c r="BH604" t="s">
        <v>74</v>
      </c>
      <c r="BI604">
        <v>19</v>
      </c>
      <c r="BJ604" t="s">
        <v>2614</v>
      </c>
      <c r="BK604" t="s">
        <v>156</v>
      </c>
      <c r="BL604" t="s">
        <v>2615</v>
      </c>
      <c r="BM604" t="s">
        <v>11648</v>
      </c>
      <c r="BN604">
        <v>25923885</v>
      </c>
      <c r="BO604" t="s">
        <v>74</v>
      </c>
      <c r="BP604" t="s">
        <v>74</v>
      </c>
      <c r="BQ604" t="s">
        <v>74</v>
      </c>
      <c r="BR604" t="s">
        <v>105</v>
      </c>
      <c r="BS604" t="s">
        <v>11649</v>
      </c>
      <c r="BT604" t="str">
        <f>HYPERLINK("https%3A%2F%2Fwww.webofscience.com%2Fwos%2Fwoscc%2Ffull-record%2FWOS:000379926500002","View Full Record in Web of Science")</f>
        <v>View Full Record in Web of Science</v>
      </c>
    </row>
    <row r="605" spans="1:72" x14ac:dyDescent="0.15">
      <c r="A605" t="s">
        <v>72</v>
      </c>
      <c r="B605" t="s">
        <v>11650</v>
      </c>
      <c r="C605" t="s">
        <v>74</v>
      </c>
      <c r="D605" t="s">
        <v>74</v>
      </c>
      <c r="E605" t="s">
        <v>74</v>
      </c>
      <c r="F605" t="s">
        <v>11651</v>
      </c>
      <c r="G605" t="s">
        <v>74</v>
      </c>
      <c r="H605" t="s">
        <v>74</v>
      </c>
      <c r="I605" t="s">
        <v>11652</v>
      </c>
      <c r="J605" t="s">
        <v>11653</v>
      </c>
      <c r="K605" t="s">
        <v>74</v>
      </c>
      <c r="L605" t="s">
        <v>74</v>
      </c>
      <c r="M605" t="s">
        <v>78</v>
      </c>
      <c r="N605" t="s">
        <v>79</v>
      </c>
      <c r="O605" t="s">
        <v>74</v>
      </c>
      <c r="P605" t="s">
        <v>74</v>
      </c>
      <c r="Q605" t="s">
        <v>74</v>
      </c>
      <c r="R605" t="s">
        <v>74</v>
      </c>
      <c r="S605" t="s">
        <v>74</v>
      </c>
      <c r="T605" t="s">
        <v>11654</v>
      </c>
      <c r="U605" t="s">
        <v>11655</v>
      </c>
      <c r="V605" t="s">
        <v>11656</v>
      </c>
      <c r="W605" t="s">
        <v>11657</v>
      </c>
      <c r="X605" t="s">
        <v>11658</v>
      </c>
      <c r="Y605" t="s">
        <v>11659</v>
      </c>
      <c r="Z605" t="s">
        <v>11660</v>
      </c>
      <c r="AA605" t="s">
        <v>11661</v>
      </c>
      <c r="AB605" t="s">
        <v>11662</v>
      </c>
      <c r="AC605" t="s">
        <v>11663</v>
      </c>
      <c r="AD605" t="s">
        <v>11664</v>
      </c>
      <c r="AE605" t="s">
        <v>11665</v>
      </c>
      <c r="AF605" t="s">
        <v>74</v>
      </c>
      <c r="AG605">
        <v>56</v>
      </c>
      <c r="AH605">
        <v>45</v>
      </c>
      <c r="AI605">
        <v>48</v>
      </c>
      <c r="AJ605">
        <v>5</v>
      </c>
      <c r="AK605">
        <v>108</v>
      </c>
      <c r="AL605" t="s">
        <v>644</v>
      </c>
      <c r="AM605" t="s">
        <v>594</v>
      </c>
      <c r="AN605" t="s">
        <v>3025</v>
      </c>
      <c r="AO605" t="s">
        <v>11666</v>
      </c>
      <c r="AP605" t="s">
        <v>11667</v>
      </c>
      <c r="AQ605" t="s">
        <v>74</v>
      </c>
      <c r="AR605" t="s">
        <v>11668</v>
      </c>
      <c r="AS605" t="s">
        <v>11669</v>
      </c>
      <c r="AT605" t="s">
        <v>9902</v>
      </c>
      <c r="AU605">
        <v>2016</v>
      </c>
      <c r="AV605">
        <v>52</v>
      </c>
      <c r="AW605">
        <v>6</v>
      </c>
      <c r="AX605" t="s">
        <v>74</v>
      </c>
      <c r="AY605" t="s">
        <v>74</v>
      </c>
      <c r="AZ605" t="s">
        <v>74</v>
      </c>
      <c r="BA605" t="s">
        <v>74</v>
      </c>
      <c r="BB605">
        <v>763</v>
      </c>
      <c r="BC605">
        <v>773</v>
      </c>
      <c r="BD605" t="s">
        <v>74</v>
      </c>
      <c r="BE605" t="s">
        <v>11670</v>
      </c>
      <c r="BF605" t="str">
        <f>HYPERLINK("http://dx.doi.org/10.1007/s00374-016-1113-9","http://dx.doi.org/10.1007/s00374-016-1113-9")</f>
        <v>http://dx.doi.org/10.1007/s00374-016-1113-9</v>
      </c>
      <c r="BG605" t="s">
        <v>74</v>
      </c>
      <c r="BH605" t="s">
        <v>74</v>
      </c>
      <c r="BI605">
        <v>11</v>
      </c>
      <c r="BJ605" t="s">
        <v>9013</v>
      </c>
      <c r="BK605" t="s">
        <v>156</v>
      </c>
      <c r="BL605" t="s">
        <v>9014</v>
      </c>
      <c r="BM605" t="s">
        <v>11671</v>
      </c>
      <c r="BN605" t="s">
        <v>74</v>
      </c>
      <c r="BO605" t="s">
        <v>74</v>
      </c>
      <c r="BP605" t="s">
        <v>74</v>
      </c>
      <c r="BQ605" t="s">
        <v>74</v>
      </c>
      <c r="BR605" t="s">
        <v>105</v>
      </c>
      <c r="BS605" t="s">
        <v>11672</v>
      </c>
      <c r="BT605" t="str">
        <f>HYPERLINK("https%3A%2F%2Fwww.webofscience.com%2Fwos%2Fwoscc%2Ffull-record%2FWOS:000380126600002","View Full Record in Web of Science")</f>
        <v>View Full Record in Web of Science</v>
      </c>
    </row>
    <row r="606" spans="1:72" x14ac:dyDescent="0.15">
      <c r="A606" t="s">
        <v>72</v>
      </c>
      <c r="B606" t="s">
        <v>11673</v>
      </c>
      <c r="C606" t="s">
        <v>74</v>
      </c>
      <c r="D606" t="s">
        <v>74</v>
      </c>
      <c r="E606" t="s">
        <v>74</v>
      </c>
      <c r="F606" t="s">
        <v>11674</v>
      </c>
      <c r="G606" t="s">
        <v>74</v>
      </c>
      <c r="H606" t="s">
        <v>74</v>
      </c>
      <c r="I606" t="s">
        <v>11675</v>
      </c>
      <c r="J606" t="s">
        <v>11676</v>
      </c>
      <c r="K606" t="s">
        <v>74</v>
      </c>
      <c r="L606" t="s">
        <v>74</v>
      </c>
      <c r="M606" t="s">
        <v>78</v>
      </c>
      <c r="N606" t="s">
        <v>79</v>
      </c>
      <c r="O606" t="s">
        <v>74</v>
      </c>
      <c r="P606" t="s">
        <v>74</v>
      </c>
      <c r="Q606" t="s">
        <v>74</v>
      </c>
      <c r="R606" t="s">
        <v>74</v>
      </c>
      <c r="S606" t="s">
        <v>74</v>
      </c>
      <c r="T606" t="s">
        <v>74</v>
      </c>
      <c r="U606" t="s">
        <v>11677</v>
      </c>
      <c r="V606" t="s">
        <v>74</v>
      </c>
      <c r="W606" t="s">
        <v>11678</v>
      </c>
      <c r="X606" t="s">
        <v>11679</v>
      </c>
      <c r="Y606" t="s">
        <v>11680</v>
      </c>
      <c r="Z606" t="s">
        <v>74</v>
      </c>
      <c r="AA606" t="s">
        <v>11681</v>
      </c>
      <c r="AB606" t="s">
        <v>11682</v>
      </c>
      <c r="AC606" t="s">
        <v>74</v>
      </c>
      <c r="AD606" t="s">
        <v>74</v>
      </c>
      <c r="AE606" t="s">
        <v>74</v>
      </c>
      <c r="AF606" t="s">
        <v>74</v>
      </c>
      <c r="AG606">
        <v>794</v>
      </c>
      <c r="AH606">
        <v>68</v>
      </c>
      <c r="AI606">
        <v>79</v>
      </c>
      <c r="AJ606">
        <v>2</v>
      </c>
      <c r="AK606">
        <v>167</v>
      </c>
      <c r="AL606" t="s">
        <v>397</v>
      </c>
      <c r="AM606" t="s">
        <v>398</v>
      </c>
      <c r="AN606" t="s">
        <v>3379</v>
      </c>
      <c r="AO606" t="s">
        <v>11683</v>
      </c>
      <c r="AP606" t="s">
        <v>11684</v>
      </c>
      <c r="AQ606" t="s">
        <v>74</v>
      </c>
      <c r="AR606" t="s">
        <v>11685</v>
      </c>
      <c r="AS606" t="s">
        <v>11686</v>
      </c>
      <c r="AT606" t="s">
        <v>9902</v>
      </c>
      <c r="AU606">
        <v>2016</v>
      </c>
      <c r="AV606">
        <v>97</v>
      </c>
      <c r="AW606">
        <v>8</v>
      </c>
      <c r="AX606" t="s">
        <v>74</v>
      </c>
      <c r="AY606" t="s">
        <v>4928</v>
      </c>
      <c r="AZ606" t="s">
        <v>74</v>
      </c>
      <c r="BA606" t="s">
        <v>74</v>
      </c>
      <c r="BB606" t="s">
        <v>2546</v>
      </c>
      <c r="BC606" t="s">
        <v>11687</v>
      </c>
      <c r="BD606" t="s">
        <v>74</v>
      </c>
      <c r="BE606" t="s">
        <v>74</v>
      </c>
      <c r="BF606" t="s">
        <v>74</v>
      </c>
      <c r="BG606" t="s">
        <v>74</v>
      </c>
      <c r="BH606" t="s">
        <v>74</v>
      </c>
      <c r="BI606">
        <v>275</v>
      </c>
      <c r="BJ606" t="s">
        <v>2482</v>
      </c>
      <c r="BK606" t="s">
        <v>156</v>
      </c>
      <c r="BL606" t="s">
        <v>2482</v>
      </c>
      <c r="BM606" t="s">
        <v>11688</v>
      </c>
      <c r="BN606" t="s">
        <v>74</v>
      </c>
      <c r="BO606" t="s">
        <v>74</v>
      </c>
      <c r="BP606" t="s">
        <v>74</v>
      </c>
      <c r="BQ606" t="s">
        <v>74</v>
      </c>
      <c r="BR606" t="s">
        <v>105</v>
      </c>
      <c r="BS606" t="s">
        <v>11689</v>
      </c>
      <c r="BT606" t="str">
        <f>HYPERLINK("https%3A%2F%2Fwww.webofscience.com%2Fwos%2Fwoscc%2Ffull-record%2FWOS:000382430900001","View Full Record in Web of Science")</f>
        <v>View Full Record in Web of Science</v>
      </c>
    </row>
    <row r="607" spans="1:72" x14ac:dyDescent="0.15">
      <c r="A607" t="s">
        <v>72</v>
      </c>
      <c r="B607" t="s">
        <v>11690</v>
      </c>
      <c r="C607" t="s">
        <v>74</v>
      </c>
      <c r="D607" t="s">
        <v>74</v>
      </c>
      <c r="E607" t="s">
        <v>74</v>
      </c>
      <c r="F607" t="s">
        <v>11691</v>
      </c>
      <c r="G607" t="s">
        <v>74</v>
      </c>
      <c r="H607" t="s">
        <v>74</v>
      </c>
      <c r="I607" t="s">
        <v>11692</v>
      </c>
      <c r="J607" t="s">
        <v>3100</v>
      </c>
      <c r="K607" t="s">
        <v>74</v>
      </c>
      <c r="L607" t="s">
        <v>74</v>
      </c>
      <c r="M607" t="s">
        <v>78</v>
      </c>
      <c r="N607" t="s">
        <v>79</v>
      </c>
      <c r="O607" t="s">
        <v>74</v>
      </c>
      <c r="P607" t="s">
        <v>74</v>
      </c>
      <c r="Q607" t="s">
        <v>74</v>
      </c>
      <c r="R607" t="s">
        <v>74</v>
      </c>
      <c r="S607" t="s">
        <v>74</v>
      </c>
      <c r="T607" t="s">
        <v>11693</v>
      </c>
      <c r="U607" t="s">
        <v>11694</v>
      </c>
      <c r="V607" t="s">
        <v>11695</v>
      </c>
      <c r="W607" t="s">
        <v>11696</v>
      </c>
      <c r="X607" t="s">
        <v>11697</v>
      </c>
      <c r="Y607" t="s">
        <v>11698</v>
      </c>
      <c r="Z607" t="s">
        <v>11699</v>
      </c>
      <c r="AA607" t="s">
        <v>74</v>
      </c>
      <c r="AB607" t="s">
        <v>11700</v>
      </c>
      <c r="AC607" t="s">
        <v>11701</v>
      </c>
      <c r="AD607" t="s">
        <v>11701</v>
      </c>
      <c r="AE607" t="s">
        <v>11702</v>
      </c>
      <c r="AF607" t="s">
        <v>74</v>
      </c>
      <c r="AG607">
        <v>55</v>
      </c>
      <c r="AH607">
        <v>23</v>
      </c>
      <c r="AI607">
        <v>23</v>
      </c>
      <c r="AJ607">
        <v>1</v>
      </c>
      <c r="AK607">
        <v>13</v>
      </c>
      <c r="AL607" t="s">
        <v>644</v>
      </c>
      <c r="AM607" t="s">
        <v>594</v>
      </c>
      <c r="AN607" t="s">
        <v>645</v>
      </c>
      <c r="AO607" t="s">
        <v>3113</v>
      </c>
      <c r="AP607" t="s">
        <v>3114</v>
      </c>
      <c r="AQ607" t="s">
        <v>74</v>
      </c>
      <c r="AR607" t="s">
        <v>3115</v>
      </c>
      <c r="AS607" t="s">
        <v>3116</v>
      </c>
      <c r="AT607" t="s">
        <v>9902</v>
      </c>
      <c r="AU607">
        <v>2016</v>
      </c>
      <c r="AV607">
        <v>47</v>
      </c>
      <c r="AW607" t="s">
        <v>10541</v>
      </c>
      <c r="AX607" t="s">
        <v>74</v>
      </c>
      <c r="AY607" t="s">
        <v>74</v>
      </c>
      <c r="AZ607" t="s">
        <v>74</v>
      </c>
      <c r="BA607" t="s">
        <v>74</v>
      </c>
      <c r="BB607">
        <v>1161</v>
      </c>
      <c r="BC607">
        <v>1179</v>
      </c>
      <c r="BD607" t="s">
        <v>74</v>
      </c>
      <c r="BE607" t="s">
        <v>11703</v>
      </c>
      <c r="BF607" t="str">
        <f>HYPERLINK("http://dx.doi.org/10.1007/s00382-015-2894-5","http://dx.doi.org/10.1007/s00382-015-2894-5")</f>
        <v>http://dx.doi.org/10.1007/s00382-015-2894-5</v>
      </c>
      <c r="BG607" t="s">
        <v>74</v>
      </c>
      <c r="BH607" t="s">
        <v>74</v>
      </c>
      <c r="BI607">
        <v>19</v>
      </c>
      <c r="BJ607" t="s">
        <v>2482</v>
      </c>
      <c r="BK607" t="s">
        <v>156</v>
      </c>
      <c r="BL607" t="s">
        <v>2482</v>
      </c>
      <c r="BM607" t="s">
        <v>10543</v>
      </c>
      <c r="BN607" t="s">
        <v>74</v>
      </c>
      <c r="BO607" t="s">
        <v>74</v>
      </c>
      <c r="BP607" t="s">
        <v>74</v>
      </c>
      <c r="BQ607" t="s">
        <v>74</v>
      </c>
      <c r="BR607" t="s">
        <v>105</v>
      </c>
      <c r="BS607" t="s">
        <v>11704</v>
      </c>
      <c r="BT607" t="str">
        <f>HYPERLINK("https%3A%2F%2Fwww.webofscience.com%2Fwos%2Fwoscc%2Ffull-record%2FWOS:000382111300030","View Full Record in Web of Science")</f>
        <v>View Full Record in Web of Science</v>
      </c>
    </row>
    <row r="608" spans="1:72" x14ac:dyDescent="0.15">
      <c r="A608" t="s">
        <v>72</v>
      </c>
      <c r="B608" t="s">
        <v>11705</v>
      </c>
      <c r="C608" t="s">
        <v>74</v>
      </c>
      <c r="D608" t="s">
        <v>74</v>
      </c>
      <c r="E608" t="s">
        <v>74</v>
      </c>
      <c r="F608" t="s">
        <v>11706</v>
      </c>
      <c r="G608" t="s">
        <v>74</v>
      </c>
      <c r="H608" t="s">
        <v>74</v>
      </c>
      <c r="I608" t="s">
        <v>11707</v>
      </c>
      <c r="J608" t="s">
        <v>11708</v>
      </c>
      <c r="K608" t="s">
        <v>74</v>
      </c>
      <c r="L608" t="s">
        <v>74</v>
      </c>
      <c r="M608" t="s">
        <v>78</v>
      </c>
      <c r="N608" t="s">
        <v>79</v>
      </c>
      <c r="O608" t="s">
        <v>74</v>
      </c>
      <c r="P608" t="s">
        <v>74</v>
      </c>
      <c r="Q608" t="s">
        <v>74</v>
      </c>
      <c r="R608" t="s">
        <v>74</v>
      </c>
      <c r="S608" t="s">
        <v>74</v>
      </c>
      <c r="T608" t="s">
        <v>11709</v>
      </c>
      <c r="U608" t="s">
        <v>11710</v>
      </c>
      <c r="V608" t="s">
        <v>11711</v>
      </c>
      <c r="W608" t="s">
        <v>11712</v>
      </c>
      <c r="X608" t="s">
        <v>11713</v>
      </c>
      <c r="Y608" t="s">
        <v>11714</v>
      </c>
      <c r="Z608" t="s">
        <v>11715</v>
      </c>
      <c r="AA608" t="s">
        <v>11716</v>
      </c>
      <c r="AB608" t="s">
        <v>11717</v>
      </c>
      <c r="AC608" t="s">
        <v>74</v>
      </c>
      <c r="AD608" t="s">
        <v>74</v>
      </c>
      <c r="AE608" t="s">
        <v>74</v>
      </c>
      <c r="AF608" t="s">
        <v>74</v>
      </c>
      <c r="AG608">
        <v>17</v>
      </c>
      <c r="AH608">
        <v>97</v>
      </c>
      <c r="AI608">
        <v>106</v>
      </c>
      <c r="AJ608">
        <v>2</v>
      </c>
      <c r="AK608">
        <v>36</v>
      </c>
      <c r="AL608" t="s">
        <v>501</v>
      </c>
      <c r="AM608" t="s">
        <v>502</v>
      </c>
      <c r="AN608" t="s">
        <v>503</v>
      </c>
      <c r="AO608" t="s">
        <v>11718</v>
      </c>
      <c r="AP608" t="s">
        <v>11719</v>
      </c>
      <c r="AQ608" t="s">
        <v>74</v>
      </c>
      <c r="AR608" t="s">
        <v>11720</v>
      </c>
      <c r="AS608" t="s">
        <v>11721</v>
      </c>
      <c r="AT608" t="s">
        <v>9902</v>
      </c>
      <c r="AU608">
        <v>2016</v>
      </c>
      <c r="AV608">
        <v>22</v>
      </c>
      <c r="AW608">
        <v>8</v>
      </c>
      <c r="AX608" t="s">
        <v>74</v>
      </c>
      <c r="AY608" t="s">
        <v>74</v>
      </c>
      <c r="AZ608" t="s">
        <v>74</v>
      </c>
      <c r="BA608" t="s">
        <v>74</v>
      </c>
      <c r="BB608">
        <v>836</v>
      </c>
      <c r="BC608">
        <v>840</v>
      </c>
      <c r="BD608" t="s">
        <v>74</v>
      </c>
      <c r="BE608" t="s">
        <v>11722</v>
      </c>
      <c r="BF608" t="str">
        <f>HYPERLINK("http://dx.doi.org/10.1111/ddi.12453","http://dx.doi.org/10.1111/ddi.12453")</f>
        <v>http://dx.doi.org/10.1111/ddi.12453</v>
      </c>
      <c r="BG608" t="s">
        <v>74</v>
      </c>
      <c r="BH608" t="s">
        <v>74</v>
      </c>
      <c r="BI608">
        <v>5</v>
      </c>
      <c r="BJ608" t="s">
        <v>652</v>
      </c>
      <c r="BK608" t="s">
        <v>156</v>
      </c>
      <c r="BL608" t="s">
        <v>653</v>
      </c>
      <c r="BM608" t="s">
        <v>11723</v>
      </c>
      <c r="BN608" t="s">
        <v>74</v>
      </c>
      <c r="BO608" t="s">
        <v>258</v>
      </c>
      <c r="BP608" t="s">
        <v>74</v>
      </c>
      <c r="BQ608" t="s">
        <v>74</v>
      </c>
      <c r="BR608" t="s">
        <v>105</v>
      </c>
      <c r="BS608" t="s">
        <v>11724</v>
      </c>
      <c r="BT608" t="str">
        <f>HYPERLINK("https%3A%2F%2Fwww.webofscience.com%2Fwos%2Fwoscc%2Ffull-record%2FWOS:000379615800001","View Full Record in Web of Science")</f>
        <v>View Full Record in Web of Science</v>
      </c>
    </row>
    <row r="609" spans="1:72" x14ac:dyDescent="0.15">
      <c r="A609" t="s">
        <v>72</v>
      </c>
      <c r="B609" t="s">
        <v>11725</v>
      </c>
      <c r="C609" t="s">
        <v>74</v>
      </c>
      <c r="D609" t="s">
        <v>74</v>
      </c>
      <c r="E609" t="s">
        <v>74</v>
      </c>
      <c r="F609" t="s">
        <v>11726</v>
      </c>
      <c r="G609" t="s">
        <v>74</v>
      </c>
      <c r="H609" t="s">
        <v>74</v>
      </c>
      <c r="I609" t="s">
        <v>11727</v>
      </c>
      <c r="J609" t="s">
        <v>11728</v>
      </c>
      <c r="K609" t="s">
        <v>74</v>
      </c>
      <c r="L609" t="s">
        <v>74</v>
      </c>
      <c r="M609" t="s">
        <v>78</v>
      </c>
      <c r="N609" t="s">
        <v>317</v>
      </c>
      <c r="O609" t="s">
        <v>74</v>
      </c>
      <c r="P609" t="s">
        <v>74</v>
      </c>
      <c r="Q609" t="s">
        <v>74</v>
      </c>
      <c r="R609" t="s">
        <v>74</v>
      </c>
      <c r="S609" t="s">
        <v>74</v>
      </c>
      <c r="T609" t="s">
        <v>74</v>
      </c>
      <c r="U609" t="s">
        <v>11729</v>
      </c>
      <c r="V609" t="s">
        <v>11730</v>
      </c>
      <c r="W609" t="s">
        <v>11731</v>
      </c>
      <c r="X609" t="s">
        <v>11732</v>
      </c>
      <c r="Y609" t="s">
        <v>11733</v>
      </c>
      <c r="Z609" t="s">
        <v>11734</v>
      </c>
      <c r="AA609" t="s">
        <v>11735</v>
      </c>
      <c r="AB609" t="s">
        <v>11736</v>
      </c>
      <c r="AC609" t="s">
        <v>11737</v>
      </c>
      <c r="AD609" t="s">
        <v>11738</v>
      </c>
      <c r="AE609" t="s">
        <v>74</v>
      </c>
      <c r="AF609" t="s">
        <v>74</v>
      </c>
      <c r="AG609">
        <v>190</v>
      </c>
      <c r="AH609">
        <v>128</v>
      </c>
      <c r="AI609">
        <v>146</v>
      </c>
      <c r="AJ609">
        <v>6</v>
      </c>
      <c r="AK609">
        <v>130</v>
      </c>
      <c r="AL609" t="s">
        <v>149</v>
      </c>
      <c r="AM609" t="s">
        <v>123</v>
      </c>
      <c r="AN609" t="s">
        <v>150</v>
      </c>
      <c r="AO609" t="s">
        <v>74</v>
      </c>
      <c r="AP609" t="s">
        <v>11739</v>
      </c>
      <c r="AQ609" t="s">
        <v>74</v>
      </c>
      <c r="AR609" t="s">
        <v>11728</v>
      </c>
      <c r="AS609" t="s">
        <v>11740</v>
      </c>
      <c r="AT609" t="s">
        <v>9902</v>
      </c>
      <c r="AU609">
        <v>2016</v>
      </c>
      <c r="AV609">
        <v>4</v>
      </c>
      <c r="AW609">
        <v>8</v>
      </c>
      <c r="AX609" t="s">
        <v>74</v>
      </c>
      <c r="AY609" t="s">
        <v>74</v>
      </c>
      <c r="AZ609" t="s">
        <v>74</v>
      </c>
      <c r="BA609" t="s">
        <v>74</v>
      </c>
      <c r="BB609">
        <v>324</v>
      </c>
      <c r="BC609">
        <v>345</v>
      </c>
      <c r="BD609" t="s">
        <v>74</v>
      </c>
      <c r="BE609" t="s">
        <v>11741</v>
      </c>
      <c r="BF609" t="str">
        <f>HYPERLINK("http://dx.doi.org/10.1002/2016EF000379","http://dx.doi.org/10.1002/2016EF000379")</f>
        <v>http://dx.doi.org/10.1002/2016EF000379</v>
      </c>
      <c r="BG609" t="s">
        <v>74</v>
      </c>
      <c r="BH609" t="s">
        <v>74</v>
      </c>
      <c r="BI609">
        <v>22</v>
      </c>
      <c r="BJ609" t="s">
        <v>229</v>
      </c>
      <c r="BK609" t="s">
        <v>156</v>
      </c>
      <c r="BL609" t="s">
        <v>230</v>
      </c>
      <c r="BM609" t="s">
        <v>11742</v>
      </c>
      <c r="BN609" t="s">
        <v>74</v>
      </c>
      <c r="BO609" t="s">
        <v>1916</v>
      </c>
      <c r="BP609" t="s">
        <v>74</v>
      </c>
      <c r="BQ609" t="s">
        <v>74</v>
      </c>
      <c r="BR609" t="s">
        <v>105</v>
      </c>
      <c r="BS609" t="s">
        <v>11743</v>
      </c>
      <c r="BT609" t="str">
        <f>HYPERLINK("https%3A%2F%2Fwww.webofscience.com%2Fwos%2Fwoscc%2Ffull-record%2FWOS:000384625600001","View Full Record in Web of Science")</f>
        <v>View Full Record in Web of Science</v>
      </c>
    </row>
    <row r="610" spans="1:72" x14ac:dyDescent="0.15">
      <c r="A610" t="s">
        <v>72</v>
      </c>
      <c r="B610" t="s">
        <v>11744</v>
      </c>
      <c r="C610" t="s">
        <v>74</v>
      </c>
      <c r="D610" t="s">
        <v>74</v>
      </c>
      <c r="E610" t="s">
        <v>74</v>
      </c>
      <c r="F610" t="s">
        <v>11745</v>
      </c>
      <c r="G610" t="s">
        <v>74</v>
      </c>
      <c r="H610" t="s">
        <v>74</v>
      </c>
      <c r="I610" t="s">
        <v>11746</v>
      </c>
      <c r="J610" t="s">
        <v>11747</v>
      </c>
      <c r="K610" t="s">
        <v>74</v>
      </c>
      <c r="L610" t="s">
        <v>74</v>
      </c>
      <c r="M610" t="s">
        <v>78</v>
      </c>
      <c r="N610" t="s">
        <v>79</v>
      </c>
      <c r="O610" t="s">
        <v>74</v>
      </c>
      <c r="P610" t="s">
        <v>74</v>
      </c>
      <c r="Q610" t="s">
        <v>74</v>
      </c>
      <c r="R610" t="s">
        <v>74</v>
      </c>
      <c r="S610" t="s">
        <v>74</v>
      </c>
      <c r="T610" t="s">
        <v>11748</v>
      </c>
      <c r="U610" t="s">
        <v>11749</v>
      </c>
      <c r="V610" t="s">
        <v>11750</v>
      </c>
      <c r="W610" t="s">
        <v>11751</v>
      </c>
      <c r="X610" t="s">
        <v>11752</v>
      </c>
      <c r="Y610" t="s">
        <v>11753</v>
      </c>
      <c r="Z610" t="s">
        <v>11754</v>
      </c>
      <c r="AA610" t="s">
        <v>11755</v>
      </c>
      <c r="AB610" t="s">
        <v>11756</v>
      </c>
      <c r="AC610" t="s">
        <v>11757</v>
      </c>
      <c r="AD610" t="s">
        <v>11758</v>
      </c>
      <c r="AE610" t="s">
        <v>11759</v>
      </c>
      <c r="AF610" t="s">
        <v>74</v>
      </c>
      <c r="AG610">
        <v>63</v>
      </c>
      <c r="AH610">
        <v>31</v>
      </c>
      <c r="AI610">
        <v>32</v>
      </c>
      <c r="AJ610">
        <v>0</v>
      </c>
      <c r="AK610">
        <v>67</v>
      </c>
      <c r="AL610" t="s">
        <v>501</v>
      </c>
      <c r="AM610" t="s">
        <v>502</v>
      </c>
      <c r="AN610" t="s">
        <v>503</v>
      </c>
      <c r="AO610" t="s">
        <v>11760</v>
      </c>
      <c r="AP610" t="s">
        <v>11761</v>
      </c>
      <c r="AQ610" t="s">
        <v>74</v>
      </c>
      <c r="AR610" t="s">
        <v>11747</v>
      </c>
      <c r="AS610" t="s">
        <v>531</v>
      </c>
      <c r="AT610" t="s">
        <v>9902</v>
      </c>
      <c r="AU610">
        <v>2016</v>
      </c>
      <c r="AV610">
        <v>97</v>
      </c>
      <c r="AW610">
        <v>8</v>
      </c>
      <c r="AX610" t="s">
        <v>74</v>
      </c>
      <c r="AY610" t="s">
        <v>74</v>
      </c>
      <c r="AZ610" t="s">
        <v>74</v>
      </c>
      <c r="BA610" t="s">
        <v>74</v>
      </c>
      <c r="BB610">
        <v>1919</v>
      </c>
      <c r="BC610">
        <v>1928</v>
      </c>
      <c r="BD610" t="s">
        <v>74</v>
      </c>
      <c r="BE610" t="s">
        <v>11762</v>
      </c>
      <c r="BF610" t="str">
        <f>HYPERLINK("http://dx.doi.org/10.1002/ecy.1452","http://dx.doi.org/10.1002/ecy.1452")</f>
        <v>http://dx.doi.org/10.1002/ecy.1452</v>
      </c>
      <c r="BG610" t="s">
        <v>74</v>
      </c>
      <c r="BH610" t="s">
        <v>74</v>
      </c>
      <c r="BI610">
        <v>10</v>
      </c>
      <c r="BJ610" t="s">
        <v>531</v>
      </c>
      <c r="BK610" t="s">
        <v>156</v>
      </c>
      <c r="BL610" t="s">
        <v>532</v>
      </c>
      <c r="BM610" t="s">
        <v>11763</v>
      </c>
      <c r="BN610">
        <v>27859185</v>
      </c>
      <c r="BO610" t="s">
        <v>206</v>
      </c>
      <c r="BP610" t="s">
        <v>74</v>
      </c>
      <c r="BQ610" t="s">
        <v>74</v>
      </c>
      <c r="BR610" t="s">
        <v>105</v>
      </c>
      <c r="BS610" t="s">
        <v>11764</v>
      </c>
      <c r="BT610" t="str">
        <f>HYPERLINK("https%3A%2F%2Fwww.webofscience.com%2Fwos%2Fwoscc%2Ffull-record%2FWOS:000380749600004","View Full Record in Web of Science")</f>
        <v>View Full Record in Web of Science</v>
      </c>
    </row>
    <row r="611" spans="1:72" x14ac:dyDescent="0.15">
      <c r="A611" t="s">
        <v>72</v>
      </c>
      <c r="B611" t="s">
        <v>11765</v>
      </c>
      <c r="C611" t="s">
        <v>74</v>
      </c>
      <c r="D611" t="s">
        <v>74</v>
      </c>
      <c r="E611" t="s">
        <v>74</v>
      </c>
      <c r="F611" t="s">
        <v>11766</v>
      </c>
      <c r="G611" t="s">
        <v>74</v>
      </c>
      <c r="H611" t="s">
        <v>74</v>
      </c>
      <c r="I611" t="s">
        <v>11767</v>
      </c>
      <c r="J611" t="s">
        <v>3492</v>
      </c>
      <c r="K611" t="s">
        <v>74</v>
      </c>
      <c r="L611" t="s">
        <v>74</v>
      </c>
      <c r="M611" t="s">
        <v>78</v>
      </c>
      <c r="N611" t="s">
        <v>79</v>
      </c>
      <c r="O611" t="s">
        <v>74</v>
      </c>
      <c r="P611" t="s">
        <v>74</v>
      </c>
      <c r="Q611" t="s">
        <v>74</v>
      </c>
      <c r="R611" t="s">
        <v>74</v>
      </c>
      <c r="S611" t="s">
        <v>74</v>
      </c>
      <c r="T611" t="s">
        <v>11768</v>
      </c>
      <c r="U611" t="s">
        <v>11769</v>
      </c>
      <c r="V611" t="s">
        <v>11770</v>
      </c>
      <c r="W611" t="s">
        <v>11771</v>
      </c>
      <c r="X611" t="s">
        <v>11772</v>
      </c>
      <c r="Y611" t="s">
        <v>11773</v>
      </c>
      <c r="Z611" t="s">
        <v>11774</v>
      </c>
      <c r="AA611" t="s">
        <v>11775</v>
      </c>
      <c r="AB611" t="s">
        <v>11776</v>
      </c>
      <c r="AC611" t="s">
        <v>11777</v>
      </c>
      <c r="AD611" t="s">
        <v>11778</v>
      </c>
      <c r="AE611" t="s">
        <v>11779</v>
      </c>
      <c r="AF611" t="s">
        <v>74</v>
      </c>
      <c r="AG611">
        <v>96</v>
      </c>
      <c r="AH611">
        <v>14</v>
      </c>
      <c r="AI611">
        <v>15</v>
      </c>
      <c r="AJ611">
        <v>0</v>
      </c>
      <c r="AK611">
        <v>31</v>
      </c>
      <c r="AL611" t="s">
        <v>501</v>
      </c>
      <c r="AM611" t="s">
        <v>502</v>
      </c>
      <c r="AN611" t="s">
        <v>503</v>
      </c>
      <c r="AO611" t="s">
        <v>3502</v>
      </c>
      <c r="AP611" t="s">
        <v>74</v>
      </c>
      <c r="AQ611" t="s">
        <v>74</v>
      </c>
      <c r="AR611" t="s">
        <v>3503</v>
      </c>
      <c r="AS611" t="s">
        <v>3504</v>
      </c>
      <c r="AT611" t="s">
        <v>9902</v>
      </c>
      <c r="AU611">
        <v>2016</v>
      </c>
      <c r="AV611">
        <v>6</v>
      </c>
      <c r="AW611">
        <v>16</v>
      </c>
      <c r="AX611" t="s">
        <v>74</v>
      </c>
      <c r="AY611" t="s">
        <v>74</v>
      </c>
      <c r="AZ611" t="s">
        <v>74</v>
      </c>
      <c r="BA611" t="s">
        <v>74</v>
      </c>
      <c r="BB611">
        <v>5705</v>
      </c>
      <c r="BC611">
        <v>5717</v>
      </c>
      <c r="BD611" t="s">
        <v>74</v>
      </c>
      <c r="BE611" t="s">
        <v>11780</v>
      </c>
      <c r="BF611" t="str">
        <f>HYPERLINK("http://dx.doi.org/10.1002/ece3.2290","http://dx.doi.org/10.1002/ece3.2290")</f>
        <v>http://dx.doi.org/10.1002/ece3.2290</v>
      </c>
      <c r="BG611" t="s">
        <v>74</v>
      </c>
      <c r="BH611" t="s">
        <v>74</v>
      </c>
      <c r="BI611">
        <v>13</v>
      </c>
      <c r="BJ611" t="s">
        <v>3506</v>
      </c>
      <c r="BK611" t="s">
        <v>156</v>
      </c>
      <c r="BL611" t="s">
        <v>3507</v>
      </c>
      <c r="BM611" t="s">
        <v>11781</v>
      </c>
      <c r="BN611">
        <v>27547348</v>
      </c>
      <c r="BO611" t="s">
        <v>1916</v>
      </c>
      <c r="BP611" t="s">
        <v>74</v>
      </c>
      <c r="BQ611" t="s">
        <v>74</v>
      </c>
      <c r="BR611" t="s">
        <v>105</v>
      </c>
      <c r="BS611" t="s">
        <v>11782</v>
      </c>
      <c r="BT611" t="str">
        <f>HYPERLINK("https%3A%2F%2Fwww.webofscience.com%2Fwos%2Fwoscc%2Ffull-record%2FWOS:000381578400012","View Full Record in Web of Science")</f>
        <v>View Full Record in Web of Science</v>
      </c>
    </row>
    <row r="612" spans="1:72" x14ac:dyDescent="0.15">
      <c r="A612" t="s">
        <v>72</v>
      </c>
      <c r="B612" t="s">
        <v>11783</v>
      </c>
      <c r="C612" t="s">
        <v>74</v>
      </c>
      <c r="D612" t="s">
        <v>74</v>
      </c>
      <c r="E612" t="s">
        <v>74</v>
      </c>
      <c r="F612" t="s">
        <v>11784</v>
      </c>
      <c r="G612" t="s">
        <v>74</v>
      </c>
      <c r="H612" t="s">
        <v>74</v>
      </c>
      <c r="I612" t="s">
        <v>11785</v>
      </c>
      <c r="J612" t="s">
        <v>11786</v>
      </c>
      <c r="K612" t="s">
        <v>74</v>
      </c>
      <c r="L612" t="s">
        <v>74</v>
      </c>
      <c r="M612" t="s">
        <v>11787</v>
      </c>
      <c r="N612" t="s">
        <v>79</v>
      </c>
      <c r="O612" t="s">
        <v>74</v>
      </c>
      <c r="P612" t="s">
        <v>74</v>
      </c>
      <c r="Q612" t="s">
        <v>74</v>
      </c>
      <c r="R612" t="s">
        <v>74</v>
      </c>
      <c r="S612" t="s">
        <v>74</v>
      </c>
      <c r="T612" t="s">
        <v>11788</v>
      </c>
      <c r="U612" t="s">
        <v>11789</v>
      </c>
      <c r="V612" t="s">
        <v>11790</v>
      </c>
      <c r="W612" t="s">
        <v>11791</v>
      </c>
      <c r="X612" t="s">
        <v>11792</v>
      </c>
      <c r="Y612" t="s">
        <v>11793</v>
      </c>
      <c r="Z612" t="s">
        <v>11794</v>
      </c>
      <c r="AA612" t="s">
        <v>74</v>
      </c>
      <c r="AB612" t="s">
        <v>74</v>
      </c>
      <c r="AC612" t="s">
        <v>74</v>
      </c>
      <c r="AD612" t="s">
        <v>74</v>
      </c>
      <c r="AE612" t="s">
        <v>74</v>
      </c>
      <c r="AF612" t="s">
        <v>74</v>
      </c>
      <c r="AG612">
        <v>45</v>
      </c>
      <c r="AH612">
        <v>0</v>
      </c>
      <c r="AI612">
        <v>0</v>
      </c>
      <c r="AJ612">
        <v>0</v>
      </c>
      <c r="AK612">
        <v>1</v>
      </c>
      <c r="AL612" t="s">
        <v>11795</v>
      </c>
      <c r="AM612" t="s">
        <v>11796</v>
      </c>
      <c r="AN612" t="s">
        <v>11797</v>
      </c>
      <c r="AO612" t="s">
        <v>11798</v>
      </c>
      <c r="AP612" t="s">
        <v>11799</v>
      </c>
      <c r="AQ612" t="s">
        <v>74</v>
      </c>
      <c r="AR612" t="s">
        <v>11800</v>
      </c>
      <c r="AS612" t="s">
        <v>11801</v>
      </c>
      <c r="AT612" t="s">
        <v>9902</v>
      </c>
      <c r="AU612">
        <v>2016</v>
      </c>
      <c r="AV612">
        <v>49</v>
      </c>
      <c r="AW612">
        <v>4</v>
      </c>
      <c r="AX612" t="s">
        <v>74</v>
      </c>
      <c r="AY612" t="s">
        <v>74</v>
      </c>
      <c r="AZ612" t="s">
        <v>74</v>
      </c>
      <c r="BA612" t="s">
        <v>74</v>
      </c>
      <c r="BB612">
        <v>269</v>
      </c>
      <c r="BC612">
        <v>280</v>
      </c>
      <c r="BD612" t="s">
        <v>74</v>
      </c>
      <c r="BE612" t="s">
        <v>11802</v>
      </c>
      <c r="BF612" t="str">
        <f>HYPERLINK("http://dx.doi.org/10.9719/EEG.2016.49.4.269","http://dx.doi.org/10.9719/EEG.2016.49.4.269")</f>
        <v>http://dx.doi.org/10.9719/EEG.2016.49.4.269</v>
      </c>
      <c r="BG612" t="s">
        <v>74</v>
      </c>
      <c r="BH612" t="s">
        <v>74</v>
      </c>
      <c r="BI612">
        <v>12</v>
      </c>
      <c r="BJ612" t="s">
        <v>177</v>
      </c>
      <c r="BK612" t="s">
        <v>131</v>
      </c>
      <c r="BL612" t="s">
        <v>177</v>
      </c>
      <c r="BM612" t="s">
        <v>11803</v>
      </c>
      <c r="BN612" t="s">
        <v>74</v>
      </c>
      <c r="BO612" t="s">
        <v>258</v>
      </c>
      <c r="BP612" t="s">
        <v>74</v>
      </c>
      <c r="BQ612" t="s">
        <v>74</v>
      </c>
      <c r="BR612" t="s">
        <v>105</v>
      </c>
      <c r="BS612" t="s">
        <v>11804</v>
      </c>
      <c r="BT612" t="str">
        <f>HYPERLINK("https%3A%2F%2Fwww.webofscience.com%2Fwos%2Fwoscc%2Ffull-record%2FWOS:000411480800002","View Full Record in Web of Science")</f>
        <v>View Full Record in Web of Science</v>
      </c>
    </row>
    <row r="613" spans="1:72" x14ac:dyDescent="0.15">
      <c r="A613" t="s">
        <v>72</v>
      </c>
      <c r="B613" t="s">
        <v>11805</v>
      </c>
      <c r="C613" t="s">
        <v>74</v>
      </c>
      <c r="D613" t="s">
        <v>74</v>
      </c>
      <c r="E613" t="s">
        <v>74</v>
      </c>
      <c r="F613" t="s">
        <v>11806</v>
      </c>
      <c r="G613" t="s">
        <v>74</v>
      </c>
      <c r="H613" t="s">
        <v>74</v>
      </c>
      <c r="I613" t="s">
        <v>11807</v>
      </c>
      <c r="J613" t="s">
        <v>3536</v>
      </c>
      <c r="K613" t="s">
        <v>74</v>
      </c>
      <c r="L613" t="s">
        <v>74</v>
      </c>
      <c r="M613" t="s">
        <v>78</v>
      </c>
      <c r="N613" t="s">
        <v>79</v>
      </c>
      <c r="O613" t="s">
        <v>74</v>
      </c>
      <c r="P613" t="s">
        <v>74</v>
      </c>
      <c r="Q613" t="s">
        <v>74</v>
      </c>
      <c r="R613" t="s">
        <v>74</v>
      </c>
      <c r="S613" t="s">
        <v>74</v>
      </c>
      <c r="T613" t="s">
        <v>11808</v>
      </c>
      <c r="U613" t="s">
        <v>11809</v>
      </c>
      <c r="V613" t="s">
        <v>11810</v>
      </c>
      <c r="W613" t="s">
        <v>11811</v>
      </c>
      <c r="X613" t="s">
        <v>11812</v>
      </c>
      <c r="Y613" t="s">
        <v>11813</v>
      </c>
      <c r="Z613" t="s">
        <v>11814</v>
      </c>
      <c r="AA613" t="s">
        <v>11815</v>
      </c>
      <c r="AB613" t="s">
        <v>11816</v>
      </c>
      <c r="AC613" t="s">
        <v>11817</v>
      </c>
      <c r="AD613" t="s">
        <v>11818</v>
      </c>
      <c r="AE613" t="s">
        <v>11819</v>
      </c>
      <c r="AF613" t="s">
        <v>74</v>
      </c>
      <c r="AG613">
        <v>61</v>
      </c>
      <c r="AH613">
        <v>31</v>
      </c>
      <c r="AI613">
        <v>31</v>
      </c>
      <c r="AJ613">
        <v>0</v>
      </c>
      <c r="AK613">
        <v>49</v>
      </c>
      <c r="AL613" t="s">
        <v>474</v>
      </c>
      <c r="AM613" t="s">
        <v>304</v>
      </c>
      <c r="AN613" t="s">
        <v>475</v>
      </c>
      <c r="AO613" t="s">
        <v>3549</v>
      </c>
      <c r="AP613" t="s">
        <v>3550</v>
      </c>
      <c r="AQ613" t="s">
        <v>74</v>
      </c>
      <c r="AR613" t="s">
        <v>3551</v>
      </c>
      <c r="AS613" t="s">
        <v>3552</v>
      </c>
      <c r="AT613" t="s">
        <v>9902</v>
      </c>
      <c r="AU613">
        <v>2016</v>
      </c>
      <c r="AV613">
        <v>215</v>
      </c>
      <c r="AW613" t="s">
        <v>74</v>
      </c>
      <c r="AX613" t="s">
        <v>74</v>
      </c>
      <c r="AY613" t="s">
        <v>74</v>
      </c>
      <c r="AZ613" t="s">
        <v>74</v>
      </c>
      <c r="BA613" t="s">
        <v>74</v>
      </c>
      <c r="BB613">
        <v>58</v>
      </c>
      <c r="BC613">
        <v>65</v>
      </c>
      <c r="BD613" t="s">
        <v>74</v>
      </c>
      <c r="BE613" t="s">
        <v>11820</v>
      </c>
      <c r="BF613" t="str">
        <f>HYPERLINK("http://dx.doi.org/10.1016/j.envpol.2016.04.013","http://dx.doi.org/10.1016/j.envpol.2016.04.013")</f>
        <v>http://dx.doi.org/10.1016/j.envpol.2016.04.013</v>
      </c>
      <c r="BG613" t="s">
        <v>74</v>
      </c>
      <c r="BH613" t="s">
        <v>74</v>
      </c>
      <c r="BI613">
        <v>8</v>
      </c>
      <c r="BJ613" t="s">
        <v>846</v>
      </c>
      <c r="BK613" t="s">
        <v>156</v>
      </c>
      <c r="BL613" t="s">
        <v>532</v>
      </c>
      <c r="BM613" t="s">
        <v>11821</v>
      </c>
      <c r="BN613">
        <v>27179324</v>
      </c>
      <c r="BO613" t="s">
        <v>74</v>
      </c>
      <c r="BP613" t="s">
        <v>74</v>
      </c>
      <c r="BQ613" t="s">
        <v>74</v>
      </c>
      <c r="BR613" t="s">
        <v>105</v>
      </c>
      <c r="BS613" t="s">
        <v>11822</v>
      </c>
      <c r="BT613" t="str">
        <f>HYPERLINK("https%3A%2F%2Fwww.webofscience.com%2Fwos%2Fwoscc%2Ffull-record%2FWOS:000378961000007","View Full Record in Web of Science")</f>
        <v>View Full Record in Web of Science</v>
      </c>
    </row>
    <row r="614" spans="1:72" x14ac:dyDescent="0.15">
      <c r="A614" t="s">
        <v>72</v>
      </c>
      <c r="B614" t="s">
        <v>11823</v>
      </c>
      <c r="C614" t="s">
        <v>74</v>
      </c>
      <c r="D614" t="s">
        <v>74</v>
      </c>
      <c r="E614" t="s">
        <v>74</v>
      </c>
      <c r="F614" t="s">
        <v>11824</v>
      </c>
      <c r="G614" t="s">
        <v>74</v>
      </c>
      <c r="H614" t="s">
        <v>74</v>
      </c>
      <c r="I614" t="s">
        <v>11825</v>
      </c>
      <c r="J614" t="s">
        <v>876</v>
      </c>
      <c r="K614" t="s">
        <v>74</v>
      </c>
      <c r="L614" t="s">
        <v>74</v>
      </c>
      <c r="M614" t="s">
        <v>78</v>
      </c>
      <c r="N614" t="s">
        <v>79</v>
      </c>
      <c r="O614" t="s">
        <v>74</v>
      </c>
      <c r="P614" t="s">
        <v>74</v>
      </c>
      <c r="Q614" t="s">
        <v>74</v>
      </c>
      <c r="R614" t="s">
        <v>74</v>
      </c>
      <c r="S614" t="s">
        <v>74</v>
      </c>
      <c r="T614" t="s">
        <v>11826</v>
      </c>
      <c r="U614" t="s">
        <v>11827</v>
      </c>
      <c r="V614" t="s">
        <v>11828</v>
      </c>
      <c r="W614" t="s">
        <v>11829</v>
      </c>
      <c r="X614" t="s">
        <v>11830</v>
      </c>
      <c r="Y614" t="s">
        <v>11831</v>
      </c>
      <c r="Z614" t="s">
        <v>11832</v>
      </c>
      <c r="AA614" t="s">
        <v>11833</v>
      </c>
      <c r="AB614" t="s">
        <v>11834</v>
      </c>
      <c r="AC614" t="s">
        <v>11835</v>
      </c>
      <c r="AD614" t="s">
        <v>11836</v>
      </c>
      <c r="AE614" t="s">
        <v>11837</v>
      </c>
      <c r="AF614" t="s">
        <v>74</v>
      </c>
      <c r="AG614">
        <v>121</v>
      </c>
      <c r="AH614">
        <v>28</v>
      </c>
      <c r="AI614">
        <v>29</v>
      </c>
      <c r="AJ614">
        <v>4</v>
      </c>
      <c r="AK614">
        <v>48</v>
      </c>
      <c r="AL614" t="s">
        <v>303</v>
      </c>
      <c r="AM614" t="s">
        <v>304</v>
      </c>
      <c r="AN614" t="s">
        <v>305</v>
      </c>
      <c r="AO614" t="s">
        <v>889</v>
      </c>
      <c r="AP614" t="s">
        <v>890</v>
      </c>
      <c r="AQ614" t="s">
        <v>74</v>
      </c>
      <c r="AR614" t="s">
        <v>891</v>
      </c>
      <c r="AS614" t="s">
        <v>892</v>
      </c>
      <c r="AT614" t="s">
        <v>9946</v>
      </c>
      <c r="AU614">
        <v>2016</v>
      </c>
      <c r="AV614">
        <v>186</v>
      </c>
      <c r="AW614" t="s">
        <v>74</v>
      </c>
      <c r="AX614" t="s">
        <v>74</v>
      </c>
      <c r="AY614" t="s">
        <v>74</v>
      </c>
      <c r="AZ614" t="s">
        <v>74</v>
      </c>
      <c r="BA614" t="s">
        <v>74</v>
      </c>
      <c r="BB614">
        <v>168</v>
      </c>
      <c r="BC614">
        <v>188</v>
      </c>
      <c r="BD614" t="s">
        <v>74</v>
      </c>
      <c r="BE614" t="s">
        <v>11838</v>
      </c>
      <c r="BF614" t="str">
        <f>HYPERLINK("http://dx.doi.org/10.1016/j.gca.2016.04.050","http://dx.doi.org/10.1016/j.gca.2016.04.050")</f>
        <v>http://dx.doi.org/10.1016/j.gca.2016.04.050</v>
      </c>
      <c r="BG614" t="s">
        <v>74</v>
      </c>
      <c r="BH614" t="s">
        <v>74</v>
      </c>
      <c r="BI614">
        <v>21</v>
      </c>
      <c r="BJ614" t="s">
        <v>155</v>
      </c>
      <c r="BK614" t="s">
        <v>156</v>
      </c>
      <c r="BL614" t="s">
        <v>155</v>
      </c>
      <c r="BM614" t="s">
        <v>11839</v>
      </c>
      <c r="BN614" t="s">
        <v>74</v>
      </c>
      <c r="BO614" t="s">
        <v>104</v>
      </c>
      <c r="BP614" t="s">
        <v>74</v>
      </c>
      <c r="BQ614" t="s">
        <v>74</v>
      </c>
      <c r="BR614" t="s">
        <v>105</v>
      </c>
      <c r="BS614" t="s">
        <v>11840</v>
      </c>
      <c r="BT614" t="str">
        <f>HYPERLINK("https%3A%2F%2Fwww.webofscience.com%2Fwos%2Fwoscc%2Ffull-record%2FWOS:000378836600011","View Full Record in Web of Science")</f>
        <v>View Full Record in Web of Science</v>
      </c>
    </row>
    <row r="615" spans="1:72" x14ac:dyDescent="0.15">
      <c r="A615" t="s">
        <v>72</v>
      </c>
      <c r="B615" t="s">
        <v>11841</v>
      </c>
      <c r="C615" t="s">
        <v>74</v>
      </c>
      <c r="D615" t="s">
        <v>74</v>
      </c>
      <c r="E615" t="s">
        <v>74</v>
      </c>
      <c r="F615" t="s">
        <v>11842</v>
      </c>
      <c r="G615" t="s">
        <v>74</v>
      </c>
      <c r="H615" t="s">
        <v>74</v>
      </c>
      <c r="I615" t="s">
        <v>11843</v>
      </c>
      <c r="J615" t="s">
        <v>11257</v>
      </c>
      <c r="K615" t="s">
        <v>74</v>
      </c>
      <c r="L615" t="s">
        <v>74</v>
      </c>
      <c r="M615" t="s">
        <v>78</v>
      </c>
      <c r="N615" t="s">
        <v>79</v>
      </c>
      <c r="O615" t="s">
        <v>74</v>
      </c>
      <c r="P615" t="s">
        <v>74</v>
      </c>
      <c r="Q615" t="s">
        <v>74</v>
      </c>
      <c r="R615" t="s">
        <v>74</v>
      </c>
      <c r="S615" t="s">
        <v>74</v>
      </c>
      <c r="T615" t="s">
        <v>11844</v>
      </c>
      <c r="U615" t="s">
        <v>11845</v>
      </c>
      <c r="V615" t="s">
        <v>11846</v>
      </c>
      <c r="W615" t="s">
        <v>11847</v>
      </c>
      <c r="X615" t="s">
        <v>11848</v>
      </c>
      <c r="Y615" t="s">
        <v>11849</v>
      </c>
      <c r="Z615" t="s">
        <v>11850</v>
      </c>
      <c r="AA615" t="s">
        <v>11851</v>
      </c>
      <c r="AB615" t="s">
        <v>11852</v>
      </c>
      <c r="AC615" t="s">
        <v>11853</v>
      </c>
      <c r="AD615" t="s">
        <v>11854</v>
      </c>
      <c r="AE615" t="s">
        <v>11855</v>
      </c>
      <c r="AF615" t="s">
        <v>74</v>
      </c>
      <c r="AG615">
        <v>34</v>
      </c>
      <c r="AH615">
        <v>5</v>
      </c>
      <c r="AI615">
        <v>6</v>
      </c>
      <c r="AJ615">
        <v>1</v>
      </c>
      <c r="AK615">
        <v>8</v>
      </c>
      <c r="AL615" t="s">
        <v>2501</v>
      </c>
      <c r="AM615" t="s">
        <v>304</v>
      </c>
      <c r="AN615" t="s">
        <v>2502</v>
      </c>
      <c r="AO615" t="s">
        <v>11270</v>
      </c>
      <c r="AP615" t="s">
        <v>11271</v>
      </c>
      <c r="AQ615" t="s">
        <v>74</v>
      </c>
      <c r="AR615" t="s">
        <v>11272</v>
      </c>
      <c r="AS615" t="s">
        <v>11273</v>
      </c>
      <c r="AT615" t="s">
        <v>9902</v>
      </c>
      <c r="AU615">
        <v>2016</v>
      </c>
      <c r="AV615">
        <v>206</v>
      </c>
      <c r="AW615">
        <v>2</v>
      </c>
      <c r="AX615" t="s">
        <v>74</v>
      </c>
      <c r="AY615" t="s">
        <v>74</v>
      </c>
      <c r="AZ615" t="s">
        <v>74</v>
      </c>
      <c r="BA615" t="s">
        <v>74</v>
      </c>
      <c r="BB615">
        <v>1306</v>
      </c>
      <c r="BC615">
        <v>1314</v>
      </c>
      <c r="BD615" t="s">
        <v>74</v>
      </c>
      <c r="BE615" t="s">
        <v>11856</v>
      </c>
      <c r="BF615" t="str">
        <f>HYPERLINK("http://dx.doi.org/10.1093/gji/ggw211","http://dx.doi.org/10.1093/gji/ggw211")</f>
        <v>http://dx.doi.org/10.1093/gji/ggw211</v>
      </c>
      <c r="BG615" t="s">
        <v>74</v>
      </c>
      <c r="BH615" t="s">
        <v>74</v>
      </c>
      <c r="BI615">
        <v>9</v>
      </c>
      <c r="BJ615" t="s">
        <v>155</v>
      </c>
      <c r="BK615" t="s">
        <v>156</v>
      </c>
      <c r="BL615" t="s">
        <v>155</v>
      </c>
      <c r="BM615" t="s">
        <v>11275</v>
      </c>
      <c r="BN615" t="s">
        <v>74</v>
      </c>
      <c r="BO615" t="s">
        <v>258</v>
      </c>
      <c r="BP615" t="s">
        <v>74</v>
      </c>
      <c r="BQ615" t="s">
        <v>74</v>
      </c>
      <c r="BR615" t="s">
        <v>105</v>
      </c>
      <c r="BS615" t="s">
        <v>11857</v>
      </c>
      <c r="BT615" t="str">
        <f>HYPERLINK("https%3A%2F%2Fwww.webofscience.com%2Fwos%2Fwoscc%2Ffull-record%2FWOS:000379772500040","View Full Record in Web of Science")</f>
        <v>View Full Record in Web of Science</v>
      </c>
    </row>
    <row r="616" spans="1:72" x14ac:dyDescent="0.15">
      <c r="A616" t="s">
        <v>72</v>
      </c>
      <c r="B616" t="s">
        <v>11858</v>
      </c>
      <c r="C616" t="s">
        <v>74</v>
      </c>
      <c r="D616" t="s">
        <v>74</v>
      </c>
      <c r="E616" t="s">
        <v>74</v>
      </c>
      <c r="F616" t="s">
        <v>11859</v>
      </c>
      <c r="G616" t="s">
        <v>74</v>
      </c>
      <c r="H616" t="s">
        <v>74</v>
      </c>
      <c r="I616" t="s">
        <v>11860</v>
      </c>
      <c r="J616" t="s">
        <v>11861</v>
      </c>
      <c r="K616" t="s">
        <v>74</v>
      </c>
      <c r="L616" t="s">
        <v>74</v>
      </c>
      <c r="M616" t="s">
        <v>78</v>
      </c>
      <c r="N616" t="s">
        <v>317</v>
      </c>
      <c r="O616" t="s">
        <v>74</v>
      </c>
      <c r="P616" t="s">
        <v>74</v>
      </c>
      <c r="Q616" t="s">
        <v>74</v>
      </c>
      <c r="R616" t="s">
        <v>74</v>
      </c>
      <c r="S616" t="s">
        <v>74</v>
      </c>
      <c r="T616" t="s">
        <v>11862</v>
      </c>
      <c r="U616" t="s">
        <v>11863</v>
      </c>
      <c r="V616" t="s">
        <v>11864</v>
      </c>
      <c r="W616" t="s">
        <v>11865</v>
      </c>
      <c r="X616" t="s">
        <v>11866</v>
      </c>
      <c r="Y616" t="s">
        <v>11867</v>
      </c>
      <c r="Z616" t="s">
        <v>11868</v>
      </c>
      <c r="AA616" t="s">
        <v>11869</v>
      </c>
      <c r="AB616" t="s">
        <v>11870</v>
      </c>
      <c r="AC616" t="s">
        <v>11871</v>
      </c>
      <c r="AD616" t="s">
        <v>11872</v>
      </c>
      <c r="AE616" t="s">
        <v>11873</v>
      </c>
      <c r="AF616" t="s">
        <v>74</v>
      </c>
      <c r="AG616">
        <v>144</v>
      </c>
      <c r="AH616">
        <v>157</v>
      </c>
      <c r="AI616">
        <v>163</v>
      </c>
      <c r="AJ616">
        <v>5</v>
      </c>
      <c r="AK616">
        <v>174</v>
      </c>
      <c r="AL616" t="s">
        <v>501</v>
      </c>
      <c r="AM616" t="s">
        <v>502</v>
      </c>
      <c r="AN616" t="s">
        <v>503</v>
      </c>
      <c r="AO616" t="s">
        <v>11874</v>
      </c>
      <c r="AP616" t="s">
        <v>11875</v>
      </c>
      <c r="AQ616" t="s">
        <v>74</v>
      </c>
      <c r="AR616" t="s">
        <v>11876</v>
      </c>
      <c r="AS616" t="s">
        <v>11877</v>
      </c>
      <c r="AT616" t="s">
        <v>9902</v>
      </c>
      <c r="AU616">
        <v>2016</v>
      </c>
      <c r="AV616">
        <v>22</v>
      </c>
      <c r="AW616">
        <v>8</v>
      </c>
      <c r="AX616" t="s">
        <v>74</v>
      </c>
      <c r="AY616" t="s">
        <v>74</v>
      </c>
      <c r="AZ616" t="s">
        <v>74</v>
      </c>
      <c r="BA616" t="s">
        <v>74</v>
      </c>
      <c r="BB616">
        <v>2633</v>
      </c>
      <c r="BC616">
        <v>2650</v>
      </c>
      <c r="BD616" t="s">
        <v>74</v>
      </c>
      <c r="BE616" t="s">
        <v>11878</v>
      </c>
      <c r="BF616" t="str">
        <f>HYPERLINK("http://dx.doi.org/10.1111/gcb.13287","http://dx.doi.org/10.1111/gcb.13287")</f>
        <v>http://dx.doi.org/10.1111/gcb.13287</v>
      </c>
      <c r="BG616" t="s">
        <v>74</v>
      </c>
      <c r="BH616" t="s">
        <v>74</v>
      </c>
      <c r="BI616">
        <v>18</v>
      </c>
      <c r="BJ616" t="s">
        <v>3460</v>
      </c>
      <c r="BK616" t="s">
        <v>156</v>
      </c>
      <c r="BL616" t="s">
        <v>653</v>
      </c>
      <c r="BM616" t="s">
        <v>11879</v>
      </c>
      <c r="BN616">
        <v>27111095</v>
      </c>
      <c r="BO616" t="s">
        <v>258</v>
      </c>
      <c r="BP616" t="s">
        <v>74</v>
      </c>
      <c r="BQ616" t="s">
        <v>74</v>
      </c>
      <c r="BR616" t="s">
        <v>105</v>
      </c>
      <c r="BS616" t="s">
        <v>11880</v>
      </c>
      <c r="BT616" t="str">
        <f>HYPERLINK("https%3A%2F%2Fwww.webofscience.com%2Fwos%2Fwoscc%2Ffull-record%2FWOS:000380016800001","View Full Record in Web of Science")</f>
        <v>View Full Record in Web of Science</v>
      </c>
    </row>
    <row r="617" spans="1:72" x14ac:dyDescent="0.15">
      <c r="A617" t="s">
        <v>72</v>
      </c>
      <c r="B617" t="s">
        <v>11881</v>
      </c>
      <c r="C617" t="s">
        <v>74</v>
      </c>
      <c r="D617" t="s">
        <v>74</v>
      </c>
      <c r="E617" t="s">
        <v>74</v>
      </c>
      <c r="F617" t="s">
        <v>11882</v>
      </c>
      <c r="G617" t="s">
        <v>74</v>
      </c>
      <c r="H617" t="s">
        <v>74</v>
      </c>
      <c r="I617" t="s">
        <v>11883</v>
      </c>
      <c r="J617" t="s">
        <v>2357</v>
      </c>
      <c r="K617" t="s">
        <v>74</v>
      </c>
      <c r="L617" t="s">
        <v>74</v>
      </c>
      <c r="M617" t="s">
        <v>78</v>
      </c>
      <c r="N617" t="s">
        <v>79</v>
      </c>
      <c r="O617" t="s">
        <v>74</v>
      </c>
      <c r="P617" t="s">
        <v>74</v>
      </c>
      <c r="Q617" t="s">
        <v>74</v>
      </c>
      <c r="R617" t="s">
        <v>74</v>
      </c>
      <c r="S617" t="s">
        <v>74</v>
      </c>
      <c r="T617" t="s">
        <v>74</v>
      </c>
      <c r="U617" t="s">
        <v>11884</v>
      </c>
      <c r="V617" t="s">
        <v>11885</v>
      </c>
      <c r="W617" t="s">
        <v>11886</v>
      </c>
      <c r="X617" t="s">
        <v>11887</v>
      </c>
      <c r="Y617" t="s">
        <v>11888</v>
      </c>
      <c r="Z617" t="s">
        <v>11889</v>
      </c>
      <c r="AA617" t="s">
        <v>11890</v>
      </c>
      <c r="AB617" t="s">
        <v>11891</v>
      </c>
      <c r="AC617" t="s">
        <v>11892</v>
      </c>
      <c r="AD617" t="s">
        <v>11893</v>
      </c>
      <c r="AE617" t="s">
        <v>11894</v>
      </c>
      <c r="AF617" t="s">
        <v>74</v>
      </c>
      <c r="AG617">
        <v>82</v>
      </c>
      <c r="AH617">
        <v>22</v>
      </c>
      <c r="AI617">
        <v>24</v>
      </c>
      <c r="AJ617">
        <v>0</v>
      </c>
      <c r="AK617">
        <v>17</v>
      </c>
      <c r="AL617" t="s">
        <v>149</v>
      </c>
      <c r="AM617" t="s">
        <v>123</v>
      </c>
      <c r="AN617" t="s">
        <v>150</v>
      </c>
      <c r="AO617" t="s">
        <v>2370</v>
      </c>
      <c r="AP617" t="s">
        <v>2371</v>
      </c>
      <c r="AQ617" t="s">
        <v>74</v>
      </c>
      <c r="AR617" t="s">
        <v>2372</v>
      </c>
      <c r="AS617" t="s">
        <v>2373</v>
      </c>
      <c r="AT617" t="s">
        <v>9902</v>
      </c>
      <c r="AU617">
        <v>2016</v>
      </c>
      <c r="AV617">
        <v>121</v>
      </c>
      <c r="AW617">
        <v>8</v>
      </c>
      <c r="AX617" t="s">
        <v>74</v>
      </c>
      <c r="AY617" t="s">
        <v>74</v>
      </c>
      <c r="AZ617" t="s">
        <v>74</v>
      </c>
      <c r="BA617" t="s">
        <v>74</v>
      </c>
      <c r="BB617">
        <v>5959</v>
      </c>
      <c r="BC617">
        <v>5979</v>
      </c>
      <c r="BD617" t="s">
        <v>74</v>
      </c>
      <c r="BE617" t="s">
        <v>11895</v>
      </c>
      <c r="BF617" t="str">
        <f>HYPERLINK("http://dx.doi.org/10.1002/2016JC011809","http://dx.doi.org/10.1002/2016JC011809")</f>
        <v>http://dx.doi.org/10.1002/2016JC011809</v>
      </c>
      <c r="BG617" t="s">
        <v>74</v>
      </c>
      <c r="BH617" t="s">
        <v>74</v>
      </c>
      <c r="BI617">
        <v>21</v>
      </c>
      <c r="BJ617" t="s">
        <v>405</v>
      </c>
      <c r="BK617" t="s">
        <v>156</v>
      </c>
      <c r="BL617" t="s">
        <v>405</v>
      </c>
      <c r="BM617" t="s">
        <v>10099</v>
      </c>
      <c r="BN617" t="s">
        <v>74</v>
      </c>
      <c r="BO617" t="s">
        <v>626</v>
      </c>
      <c r="BP617" t="s">
        <v>74</v>
      </c>
      <c r="BQ617" t="s">
        <v>74</v>
      </c>
      <c r="BR617" t="s">
        <v>105</v>
      </c>
      <c r="BS617" t="s">
        <v>11896</v>
      </c>
      <c r="BT617" t="str">
        <f>HYPERLINK("https%3A%2F%2Fwww.webofscience.com%2Fwos%2Fwoscc%2Ffull-record%2FWOS:000386912700034","View Full Record in Web of Science")</f>
        <v>View Full Record in Web of Science</v>
      </c>
    </row>
    <row r="618" spans="1:72" x14ac:dyDescent="0.15">
      <c r="A618" t="s">
        <v>72</v>
      </c>
      <c r="B618" t="s">
        <v>11897</v>
      </c>
      <c r="C618" t="s">
        <v>74</v>
      </c>
      <c r="D618" t="s">
        <v>74</v>
      </c>
      <c r="E618" t="s">
        <v>74</v>
      </c>
      <c r="F618" t="s">
        <v>11898</v>
      </c>
      <c r="G618" t="s">
        <v>74</v>
      </c>
      <c r="H618" t="s">
        <v>74</v>
      </c>
      <c r="I618" t="s">
        <v>11899</v>
      </c>
      <c r="J618" t="s">
        <v>2357</v>
      </c>
      <c r="K618" t="s">
        <v>74</v>
      </c>
      <c r="L618" t="s">
        <v>74</v>
      </c>
      <c r="M618" t="s">
        <v>78</v>
      </c>
      <c r="N618" t="s">
        <v>79</v>
      </c>
      <c r="O618" t="s">
        <v>74</v>
      </c>
      <c r="P618" t="s">
        <v>74</v>
      </c>
      <c r="Q618" t="s">
        <v>74</v>
      </c>
      <c r="R618" t="s">
        <v>74</v>
      </c>
      <c r="S618" t="s">
        <v>74</v>
      </c>
      <c r="T618" t="s">
        <v>74</v>
      </c>
      <c r="U618" t="s">
        <v>11900</v>
      </c>
      <c r="V618" t="s">
        <v>11901</v>
      </c>
      <c r="W618" t="s">
        <v>11902</v>
      </c>
      <c r="X618" t="s">
        <v>11903</v>
      </c>
      <c r="Y618" t="s">
        <v>11904</v>
      </c>
      <c r="Z618" t="s">
        <v>11905</v>
      </c>
      <c r="AA618" t="s">
        <v>11906</v>
      </c>
      <c r="AB618" t="s">
        <v>11907</v>
      </c>
      <c r="AC618" t="s">
        <v>11908</v>
      </c>
      <c r="AD618" t="s">
        <v>11909</v>
      </c>
      <c r="AE618" t="s">
        <v>11910</v>
      </c>
      <c r="AF618" t="s">
        <v>74</v>
      </c>
      <c r="AG618">
        <v>54</v>
      </c>
      <c r="AH618">
        <v>25</v>
      </c>
      <c r="AI618">
        <v>28</v>
      </c>
      <c r="AJ618">
        <v>0</v>
      </c>
      <c r="AK618">
        <v>8</v>
      </c>
      <c r="AL618" t="s">
        <v>149</v>
      </c>
      <c r="AM618" t="s">
        <v>123</v>
      </c>
      <c r="AN618" t="s">
        <v>150</v>
      </c>
      <c r="AO618" t="s">
        <v>2370</v>
      </c>
      <c r="AP618" t="s">
        <v>2371</v>
      </c>
      <c r="AQ618" t="s">
        <v>74</v>
      </c>
      <c r="AR618" t="s">
        <v>2372</v>
      </c>
      <c r="AS618" t="s">
        <v>2373</v>
      </c>
      <c r="AT618" t="s">
        <v>9902</v>
      </c>
      <c r="AU618">
        <v>2016</v>
      </c>
      <c r="AV618">
        <v>121</v>
      </c>
      <c r="AW618">
        <v>8</v>
      </c>
      <c r="AX618" t="s">
        <v>74</v>
      </c>
      <c r="AY618" t="s">
        <v>74</v>
      </c>
      <c r="AZ618" t="s">
        <v>74</v>
      </c>
      <c r="BA618" t="s">
        <v>74</v>
      </c>
      <c r="BB618">
        <v>6223</v>
      </c>
      <c r="BC618">
        <v>6250</v>
      </c>
      <c r="BD618" t="s">
        <v>74</v>
      </c>
      <c r="BE618" t="s">
        <v>11911</v>
      </c>
      <c r="BF618" t="str">
        <f>HYPERLINK("http://dx.doi.org/10.1002/2016JC011778","http://dx.doi.org/10.1002/2016JC011778")</f>
        <v>http://dx.doi.org/10.1002/2016JC011778</v>
      </c>
      <c r="BG618" t="s">
        <v>74</v>
      </c>
      <c r="BH618" t="s">
        <v>74</v>
      </c>
      <c r="BI618">
        <v>28</v>
      </c>
      <c r="BJ618" t="s">
        <v>405</v>
      </c>
      <c r="BK618" t="s">
        <v>156</v>
      </c>
      <c r="BL618" t="s">
        <v>405</v>
      </c>
      <c r="BM618" t="s">
        <v>10099</v>
      </c>
      <c r="BN618" t="s">
        <v>74</v>
      </c>
      <c r="BO618" t="s">
        <v>11912</v>
      </c>
      <c r="BP618" t="s">
        <v>74</v>
      </c>
      <c r="BQ618" t="s">
        <v>74</v>
      </c>
      <c r="BR618" t="s">
        <v>105</v>
      </c>
      <c r="BS618" t="s">
        <v>11913</v>
      </c>
      <c r="BT618" t="str">
        <f>HYPERLINK("https%3A%2F%2Fwww.webofscience.com%2Fwos%2Fwoscc%2Ffull-record%2FWOS:000386912700049","View Full Record in Web of Science")</f>
        <v>View Full Record in Web of Science</v>
      </c>
    </row>
    <row r="619" spans="1:72" x14ac:dyDescent="0.15">
      <c r="A619" t="s">
        <v>72</v>
      </c>
      <c r="B619" t="s">
        <v>11914</v>
      </c>
      <c r="C619" t="s">
        <v>74</v>
      </c>
      <c r="D619" t="s">
        <v>74</v>
      </c>
      <c r="E619" t="s">
        <v>74</v>
      </c>
      <c r="F619" t="s">
        <v>11915</v>
      </c>
      <c r="G619" t="s">
        <v>74</v>
      </c>
      <c r="H619" t="s">
        <v>74</v>
      </c>
      <c r="I619" t="s">
        <v>11916</v>
      </c>
      <c r="J619" t="s">
        <v>2357</v>
      </c>
      <c r="K619" t="s">
        <v>74</v>
      </c>
      <c r="L619" t="s">
        <v>74</v>
      </c>
      <c r="M619" t="s">
        <v>78</v>
      </c>
      <c r="N619" t="s">
        <v>79</v>
      </c>
      <c r="O619" t="s">
        <v>74</v>
      </c>
      <c r="P619" t="s">
        <v>74</v>
      </c>
      <c r="Q619" t="s">
        <v>74</v>
      </c>
      <c r="R619" t="s">
        <v>74</v>
      </c>
      <c r="S619" t="s">
        <v>74</v>
      </c>
      <c r="T619" t="s">
        <v>74</v>
      </c>
      <c r="U619" t="s">
        <v>11917</v>
      </c>
      <c r="V619" t="s">
        <v>11918</v>
      </c>
      <c r="W619" t="s">
        <v>11919</v>
      </c>
      <c r="X619" t="s">
        <v>11920</v>
      </c>
      <c r="Y619" t="s">
        <v>11921</v>
      </c>
      <c r="Z619" t="s">
        <v>11922</v>
      </c>
      <c r="AA619" t="s">
        <v>11923</v>
      </c>
      <c r="AB619" t="s">
        <v>11924</v>
      </c>
      <c r="AC619" t="s">
        <v>11925</v>
      </c>
      <c r="AD619" t="s">
        <v>11926</v>
      </c>
      <c r="AE619" t="s">
        <v>11927</v>
      </c>
      <c r="AF619" t="s">
        <v>74</v>
      </c>
      <c r="AG619">
        <v>41</v>
      </c>
      <c r="AH619">
        <v>12</v>
      </c>
      <c r="AI619">
        <v>13</v>
      </c>
      <c r="AJ619">
        <v>0</v>
      </c>
      <c r="AK619">
        <v>17</v>
      </c>
      <c r="AL619" t="s">
        <v>149</v>
      </c>
      <c r="AM619" t="s">
        <v>123</v>
      </c>
      <c r="AN619" t="s">
        <v>150</v>
      </c>
      <c r="AO619" t="s">
        <v>2370</v>
      </c>
      <c r="AP619" t="s">
        <v>2371</v>
      </c>
      <c r="AQ619" t="s">
        <v>74</v>
      </c>
      <c r="AR619" t="s">
        <v>2372</v>
      </c>
      <c r="AS619" t="s">
        <v>2373</v>
      </c>
      <c r="AT619" t="s">
        <v>9902</v>
      </c>
      <c r="AU619">
        <v>2016</v>
      </c>
      <c r="AV619">
        <v>121</v>
      </c>
      <c r="AW619">
        <v>8</v>
      </c>
      <c r="AX619" t="s">
        <v>74</v>
      </c>
      <c r="AY619" t="s">
        <v>74</v>
      </c>
      <c r="AZ619" t="s">
        <v>74</v>
      </c>
      <c r="BA619" t="s">
        <v>74</v>
      </c>
      <c r="BB619">
        <v>6367</v>
      </c>
      <c r="BC619">
        <v>6388</v>
      </c>
      <c r="BD619" t="s">
        <v>74</v>
      </c>
      <c r="BE619" t="s">
        <v>11928</v>
      </c>
      <c r="BF619" t="str">
        <f>HYPERLINK("http://dx.doi.org/10.1002/2016JC011821","http://dx.doi.org/10.1002/2016JC011821")</f>
        <v>http://dx.doi.org/10.1002/2016JC011821</v>
      </c>
      <c r="BG619" t="s">
        <v>74</v>
      </c>
      <c r="BH619" t="s">
        <v>74</v>
      </c>
      <c r="BI619">
        <v>22</v>
      </c>
      <c r="BJ619" t="s">
        <v>405</v>
      </c>
      <c r="BK619" t="s">
        <v>156</v>
      </c>
      <c r="BL619" t="s">
        <v>405</v>
      </c>
      <c r="BM619" t="s">
        <v>10099</v>
      </c>
      <c r="BN619" t="s">
        <v>74</v>
      </c>
      <c r="BO619" t="s">
        <v>258</v>
      </c>
      <c r="BP619" t="s">
        <v>74</v>
      </c>
      <c r="BQ619" t="s">
        <v>74</v>
      </c>
      <c r="BR619" t="s">
        <v>105</v>
      </c>
      <c r="BS619" t="s">
        <v>11929</v>
      </c>
      <c r="BT619" t="str">
        <f>HYPERLINK("https%3A%2F%2Fwww.webofscience.com%2Fwos%2Fwoscc%2Ffull-record%2FWOS:000386912700057","View Full Record in Web of Science")</f>
        <v>View Full Record in Web of Science</v>
      </c>
    </row>
    <row r="620" spans="1:72" x14ac:dyDescent="0.15">
      <c r="A620" t="s">
        <v>72</v>
      </c>
      <c r="B620" t="s">
        <v>11930</v>
      </c>
      <c r="C620" t="s">
        <v>74</v>
      </c>
      <c r="D620" t="s">
        <v>74</v>
      </c>
      <c r="E620" t="s">
        <v>74</v>
      </c>
      <c r="F620" t="s">
        <v>11931</v>
      </c>
      <c r="G620" t="s">
        <v>74</v>
      </c>
      <c r="H620" t="s">
        <v>74</v>
      </c>
      <c r="I620" t="s">
        <v>11932</v>
      </c>
      <c r="J620" t="s">
        <v>2292</v>
      </c>
      <c r="K620" t="s">
        <v>74</v>
      </c>
      <c r="L620" t="s">
        <v>74</v>
      </c>
      <c r="M620" t="s">
        <v>78</v>
      </c>
      <c r="N620" t="s">
        <v>79</v>
      </c>
      <c r="O620" t="s">
        <v>74</v>
      </c>
      <c r="P620" t="s">
        <v>74</v>
      </c>
      <c r="Q620" t="s">
        <v>74</v>
      </c>
      <c r="R620" t="s">
        <v>74</v>
      </c>
      <c r="S620" t="s">
        <v>74</v>
      </c>
      <c r="T620" t="s">
        <v>74</v>
      </c>
      <c r="U620" t="s">
        <v>11933</v>
      </c>
      <c r="V620" t="s">
        <v>11934</v>
      </c>
      <c r="W620" t="s">
        <v>11935</v>
      </c>
      <c r="X620" t="s">
        <v>11936</v>
      </c>
      <c r="Y620" t="s">
        <v>8338</v>
      </c>
      <c r="Z620" t="s">
        <v>8339</v>
      </c>
      <c r="AA620" t="s">
        <v>11937</v>
      </c>
      <c r="AB620" t="s">
        <v>11938</v>
      </c>
      <c r="AC620" t="s">
        <v>11939</v>
      </c>
      <c r="AD620" t="s">
        <v>11940</v>
      </c>
      <c r="AE620" t="s">
        <v>11941</v>
      </c>
      <c r="AF620" t="s">
        <v>74</v>
      </c>
      <c r="AG620">
        <v>55</v>
      </c>
      <c r="AH620">
        <v>8</v>
      </c>
      <c r="AI620">
        <v>8</v>
      </c>
      <c r="AJ620">
        <v>1</v>
      </c>
      <c r="AK620">
        <v>2</v>
      </c>
      <c r="AL620" t="s">
        <v>149</v>
      </c>
      <c r="AM620" t="s">
        <v>123</v>
      </c>
      <c r="AN620" t="s">
        <v>150</v>
      </c>
      <c r="AO620" t="s">
        <v>2303</v>
      </c>
      <c r="AP620" t="s">
        <v>2304</v>
      </c>
      <c r="AQ620" t="s">
        <v>74</v>
      </c>
      <c r="AR620" t="s">
        <v>2305</v>
      </c>
      <c r="AS620" t="s">
        <v>2306</v>
      </c>
      <c r="AT620" t="s">
        <v>9902</v>
      </c>
      <c r="AU620">
        <v>2016</v>
      </c>
      <c r="AV620">
        <v>121</v>
      </c>
      <c r="AW620">
        <v>8</v>
      </c>
      <c r="AX620" t="s">
        <v>74</v>
      </c>
      <c r="AY620" t="s">
        <v>74</v>
      </c>
      <c r="AZ620" t="s">
        <v>74</v>
      </c>
      <c r="BA620" t="s">
        <v>74</v>
      </c>
      <c r="BB620">
        <v>7647</v>
      </c>
      <c r="BC620">
        <v>7663</v>
      </c>
      <c r="BD620" t="s">
        <v>74</v>
      </c>
      <c r="BE620" t="s">
        <v>11942</v>
      </c>
      <c r="BF620" t="str">
        <f>HYPERLINK("http://dx.doi.org/10.1002/2016JA022774","http://dx.doi.org/10.1002/2016JA022774")</f>
        <v>http://dx.doi.org/10.1002/2016JA022774</v>
      </c>
      <c r="BG620" t="s">
        <v>74</v>
      </c>
      <c r="BH620" t="s">
        <v>74</v>
      </c>
      <c r="BI620">
        <v>17</v>
      </c>
      <c r="BJ620" t="s">
        <v>748</v>
      </c>
      <c r="BK620" t="s">
        <v>156</v>
      </c>
      <c r="BL620" t="s">
        <v>748</v>
      </c>
      <c r="BM620" t="s">
        <v>10269</v>
      </c>
      <c r="BN620" t="s">
        <v>74</v>
      </c>
      <c r="BO620" t="s">
        <v>258</v>
      </c>
      <c r="BP620" t="s">
        <v>74</v>
      </c>
      <c r="BQ620" t="s">
        <v>74</v>
      </c>
      <c r="BR620" t="s">
        <v>105</v>
      </c>
      <c r="BS620" t="s">
        <v>11943</v>
      </c>
      <c r="BT620" t="str">
        <f>HYPERLINK("https%3A%2F%2Fwww.webofscience.com%2Fwos%2Fwoscc%2Ffull-record%2FWOS:000385811500024","View Full Record in Web of Science")</f>
        <v>View Full Record in Web of Science</v>
      </c>
    </row>
    <row r="621" spans="1:72" x14ac:dyDescent="0.15">
      <c r="A621" t="s">
        <v>72</v>
      </c>
      <c r="B621" t="s">
        <v>11944</v>
      </c>
      <c r="C621" t="s">
        <v>74</v>
      </c>
      <c r="D621" t="s">
        <v>74</v>
      </c>
      <c r="E621" t="s">
        <v>74</v>
      </c>
      <c r="F621" t="s">
        <v>11945</v>
      </c>
      <c r="G621" t="s">
        <v>74</v>
      </c>
      <c r="H621" t="s">
        <v>74</v>
      </c>
      <c r="I621" t="s">
        <v>11946</v>
      </c>
      <c r="J621" t="s">
        <v>11947</v>
      </c>
      <c r="K621" t="s">
        <v>74</v>
      </c>
      <c r="L621" t="s">
        <v>74</v>
      </c>
      <c r="M621" t="s">
        <v>78</v>
      </c>
      <c r="N621" t="s">
        <v>79</v>
      </c>
      <c r="O621" t="s">
        <v>74</v>
      </c>
      <c r="P621" t="s">
        <v>74</v>
      </c>
      <c r="Q621" t="s">
        <v>74</v>
      </c>
      <c r="R621" t="s">
        <v>74</v>
      </c>
      <c r="S621" t="s">
        <v>74</v>
      </c>
      <c r="T621" t="s">
        <v>11948</v>
      </c>
      <c r="U621" t="s">
        <v>74</v>
      </c>
      <c r="V621" t="s">
        <v>11949</v>
      </c>
      <c r="W621" t="s">
        <v>11950</v>
      </c>
      <c r="X621" t="s">
        <v>11951</v>
      </c>
      <c r="Y621" t="s">
        <v>11952</v>
      </c>
      <c r="Z621" t="s">
        <v>11953</v>
      </c>
      <c r="AA621" t="s">
        <v>11954</v>
      </c>
      <c r="AB621" t="s">
        <v>11955</v>
      </c>
      <c r="AC621" t="s">
        <v>11956</v>
      </c>
      <c r="AD621" t="s">
        <v>11957</v>
      </c>
      <c r="AE621" t="s">
        <v>11958</v>
      </c>
      <c r="AF621" t="s">
        <v>74</v>
      </c>
      <c r="AG621">
        <v>9</v>
      </c>
      <c r="AH621">
        <v>8</v>
      </c>
      <c r="AI621">
        <v>12</v>
      </c>
      <c r="AJ621">
        <v>1</v>
      </c>
      <c r="AK621">
        <v>9</v>
      </c>
      <c r="AL621" t="s">
        <v>11959</v>
      </c>
      <c r="AM621" t="s">
        <v>594</v>
      </c>
      <c r="AN621" t="s">
        <v>3025</v>
      </c>
      <c r="AO621" t="s">
        <v>11960</v>
      </c>
      <c r="AP621" t="s">
        <v>11961</v>
      </c>
      <c r="AQ621" t="s">
        <v>74</v>
      </c>
      <c r="AR621" t="s">
        <v>11962</v>
      </c>
      <c r="AS621" t="s">
        <v>11963</v>
      </c>
      <c r="AT621" t="s">
        <v>9902</v>
      </c>
      <c r="AU621">
        <v>2016</v>
      </c>
      <c r="AV621">
        <v>184</v>
      </c>
      <c r="AW621" t="s">
        <v>10541</v>
      </c>
      <c r="AX621" t="s">
        <v>74</v>
      </c>
      <c r="AY621" t="s">
        <v>74</v>
      </c>
      <c r="AZ621" t="s">
        <v>74</v>
      </c>
      <c r="BA621" t="s">
        <v>74</v>
      </c>
      <c r="BB621">
        <v>739</v>
      </c>
      <c r="BC621">
        <v>745</v>
      </c>
      <c r="BD621" t="s">
        <v>74</v>
      </c>
      <c r="BE621" t="s">
        <v>11964</v>
      </c>
      <c r="BF621" t="str">
        <f>HYPERLINK("http://dx.doi.org/10.1007/s10909-015-1398-3","http://dx.doi.org/10.1007/s10909-015-1398-3")</f>
        <v>http://dx.doi.org/10.1007/s10909-015-1398-3</v>
      </c>
      <c r="BG621" t="s">
        <v>74</v>
      </c>
      <c r="BH621" t="s">
        <v>74</v>
      </c>
      <c r="BI621">
        <v>7</v>
      </c>
      <c r="BJ621" t="s">
        <v>11965</v>
      </c>
      <c r="BK621" t="s">
        <v>156</v>
      </c>
      <c r="BL621" t="s">
        <v>9776</v>
      </c>
      <c r="BM621" t="s">
        <v>11966</v>
      </c>
      <c r="BN621" t="s">
        <v>74</v>
      </c>
      <c r="BO621" t="s">
        <v>74</v>
      </c>
      <c r="BP621" t="s">
        <v>74</v>
      </c>
      <c r="BQ621" t="s">
        <v>74</v>
      </c>
      <c r="BR621" t="s">
        <v>105</v>
      </c>
      <c r="BS621" t="s">
        <v>11967</v>
      </c>
      <c r="BT621" t="str">
        <f>HYPERLINK("https%3A%2F%2Fwww.webofscience.com%2Fwos%2Fwoscc%2Ffull-record%2FWOS:000379022700033","View Full Record in Web of Science")</f>
        <v>View Full Record in Web of Science</v>
      </c>
    </row>
    <row r="622" spans="1:72" x14ac:dyDescent="0.15">
      <c r="A622" t="s">
        <v>72</v>
      </c>
      <c r="B622" t="s">
        <v>11968</v>
      </c>
      <c r="C622" t="s">
        <v>74</v>
      </c>
      <c r="D622" t="s">
        <v>74</v>
      </c>
      <c r="E622" t="s">
        <v>74</v>
      </c>
      <c r="F622" t="s">
        <v>11969</v>
      </c>
      <c r="G622" t="s">
        <v>74</v>
      </c>
      <c r="H622" t="s">
        <v>74</v>
      </c>
      <c r="I622" t="s">
        <v>11970</v>
      </c>
      <c r="J622" t="s">
        <v>11971</v>
      </c>
      <c r="K622" t="s">
        <v>74</v>
      </c>
      <c r="L622" t="s">
        <v>74</v>
      </c>
      <c r="M622" t="s">
        <v>78</v>
      </c>
      <c r="N622" t="s">
        <v>79</v>
      </c>
      <c r="O622" t="s">
        <v>74</v>
      </c>
      <c r="P622" t="s">
        <v>74</v>
      </c>
      <c r="Q622" t="s">
        <v>74</v>
      </c>
      <c r="R622" t="s">
        <v>74</v>
      </c>
      <c r="S622" t="s">
        <v>74</v>
      </c>
      <c r="T622" t="s">
        <v>11972</v>
      </c>
      <c r="U622" t="s">
        <v>74</v>
      </c>
      <c r="V622" t="s">
        <v>11973</v>
      </c>
      <c r="W622" t="s">
        <v>11974</v>
      </c>
      <c r="X622" t="s">
        <v>11975</v>
      </c>
      <c r="Y622" t="s">
        <v>11976</v>
      </c>
      <c r="Z622" t="s">
        <v>11977</v>
      </c>
      <c r="AA622" t="s">
        <v>74</v>
      </c>
      <c r="AB622" t="s">
        <v>11978</v>
      </c>
      <c r="AC622" t="s">
        <v>11979</v>
      </c>
      <c r="AD622" t="s">
        <v>3645</v>
      </c>
      <c r="AE622" t="s">
        <v>74</v>
      </c>
      <c r="AF622" t="s">
        <v>74</v>
      </c>
      <c r="AG622">
        <v>15</v>
      </c>
      <c r="AH622">
        <v>0</v>
      </c>
      <c r="AI622">
        <v>0</v>
      </c>
      <c r="AJ622">
        <v>0</v>
      </c>
      <c r="AK622">
        <v>0</v>
      </c>
      <c r="AL622" t="s">
        <v>11980</v>
      </c>
      <c r="AM622" t="s">
        <v>11981</v>
      </c>
      <c r="AN622" t="s">
        <v>11982</v>
      </c>
      <c r="AO622" t="s">
        <v>11983</v>
      </c>
      <c r="AP622" t="s">
        <v>11984</v>
      </c>
      <c r="AQ622" t="s">
        <v>74</v>
      </c>
      <c r="AR622" t="s">
        <v>11985</v>
      </c>
      <c r="AS622" t="s">
        <v>11986</v>
      </c>
      <c r="AT622" t="s">
        <v>9902</v>
      </c>
      <c r="AU622">
        <v>2016</v>
      </c>
      <c r="AV622">
        <v>24</v>
      </c>
      <c r="AW622">
        <v>3</v>
      </c>
      <c r="AX622" t="s">
        <v>74</v>
      </c>
      <c r="AY622" t="s">
        <v>74</v>
      </c>
      <c r="AZ622" t="s">
        <v>74</v>
      </c>
      <c r="BA622" t="s">
        <v>74</v>
      </c>
      <c r="BB622">
        <v>408</v>
      </c>
      <c r="BC622">
        <v>412</v>
      </c>
      <c r="BD622" t="s">
        <v>74</v>
      </c>
      <c r="BE622" t="s">
        <v>11987</v>
      </c>
      <c r="BF622" t="str">
        <f>HYPERLINK("http://dx.doi.org/10.1177/0967772014532897","http://dx.doi.org/10.1177/0967772014532897")</f>
        <v>http://dx.doi.org/10.1177/0967772014532897</v>
      </c>
      <c r="BG622" t="s">
        <v>74</v>
      </c>
      <c r="BH622" t="s">
        <v>74</v>
      </c>
      <c r="BI622">
        <v>5</v>
      </c>
      <c r="BJ622" t="s">
        <v>11988</v>
      </c>
      <c r="BK622" t="s">
        <v>11989</v>
      </c>
      <c r="BL622" t="s">
        <v>11990</v>
      </c>
      <c r="BM622" t="s">
        <v>11991</v>
      </c>
      <c r="BN622">
        <v>24944048</v>
      </c>
      <c r="BO622" t="s">
        <v>74</v>
      </c>
      <c r="BP622" t="s">
        <v>74</v>
      </c>
      <c r="BQ622" t="s">
        <v>74</v>
      </c>
      <c r="BR622" t="s">
        <v>105</v>
      </c>
      <c r="BS622" t="s">
        <v>11992</v>
      </c>
      <c r="BT622" t="str">
        <f>HYPERLINK("https%3A%2F%2Fwww.webofscience.com%2Fwos%2Fwoscc%2Ffull-record%2FWOS:000382449400020","View Full Record in Web of Science")</f>
        <v>View Full Record in Web of Science</v>
      </c>
    </row>
    <row r="623" spans="1:72" x14ac:dyDescent="0.15">
      <c r="A623" t="s">
        <v>72</v>
      </c>
      <c r="B623" t="s">
        <v>11993</v>
      </c>
      <c r="C623" t="s">
        <v>74</v>
      </c>
      <c r="D623" t="s">
        <v>74</v>
      </c>
      <c r="E623" t="s">
        <v>74</v>
      </c>
      <c r="F623" t="s">
        <v>11994</v>
      </c>
      <c r="G623" t="s">
        <v>74</v>
      </c>
      <c r="H623" t="s">
        <v>74</v>
      </c>
      <c r="I623" t="s">
        <v>11995</v>
      </c>
      <c r="J623" t="s">
        <v>11996</v>
      </c>
      <c r="K623" t="s">
        <v>74</v>
      </c>
      <c r="L623" t="s">
        <v>74</v>
      </c>
      <c r="M623" t="s">
        <v>78</v>
      </c>
      <c r="N623" t="s">
        <v>79</v>
      </c>
      <c r="O623" t="s">
        <v>74</v>
      </c>
      <c r="P623" t="s">
        <v>74</v>
      </c>
      <c r="Q623" t="s">
        <v>74</v>
      </c>
      <c r="R623" t="s">
        <v>74</v>
      </c>
      <c r="S623" t="s">
        <v>74</v>
      </c>
      <c r="T623" t="s">
        <v>11997</v>
      </c>
      <c r="U623" t="s">
        <v>11998</v>
      </c>
      <c r="V623" t="s">
        <v>11999</v>
      </c>
      <c r="W623" t="s">
        <v>12000</v>
      </c>
      <c r="X623" t="s">
        <v>74</v>
      </c>
      <c r="Y623" t="s">
        <v>12001</v>
      </c>
      <c r="Z623" t="s">
        <v>12002</v>
      </c>
      <c r="AA623" t="s">
        <v>74</v>
      </c>
      <c r="AB623" t="s">
        <v>12003</v>
      </c>
      <c r="AC623" t="s">
        <v>12004</v>
      </c>
      <c r="AD623" t="s">
        <v>12004</v>
      </c>
      <c r="AE623" t="s">
        <v>12005</v>
      </c>
      <c r="AF623" t="s">
        <v>74</v>
      </c>
      <c r="AG623">
        <v>38</v>
      </c>
      <c r="AH623">
        <v>30</v>
      </c>
      <c r="AI623">
        <v>35</v>
      </c>
      <c r="AJ623">
        <v>7</v>
      </c>
      <c r="AK623">
        <v>55</v>
      </c>
      <c r="AL623" t="s">
        <v>644</v>
      </c>
      <c r="AM623" t="s">
        <v>594</v>
      </c>
      <c r="AN623" t="s">
        <v>3025</v>
      </c>
      <c r="AO623" t="s">
        <v>12006</v>
      </c>
      <c r="AP623" t="s">
        <v>12007</v>
      </c>
      <c r="AQ623" t="s">
        <v>74</v>
      </c>
      <c r="AR623" t="s">
        <v>12008</v>
      </c>
      <c r="AS623" t="s">
        <v>12009</v>
      </c>
      <c r="AT623" t="s">
        <v>9902</v>
      </c>
      <c r="AU623">
        <v>2016</v>
      </c>
      <c r="AV623">
        <v>93</v>
      </c>
      <c r="AW623">
        <v>8</v>
      </c>
      <c r="AX623" t="s">
        <v>74</v>
      </c>
      <c r="AY623" t="s">
        <v>74</v>
      </c>
      <c r="AZ623" t="s">
        <v>74</v>
      </c>
      <c r="BA623" t="s">
        <v>74</v>
      </c>
      <c r="BB623">
        <v>1037</v>
      </c>
      <c r="BC623">
        <v>1049</v>
      </c>
      <c r="BD623" t="s">
        <v>74</v>
      </c>
      <c r="BE623" t="s">
        <v>12010</v>
      </c>
      <c r="BF623" t="str">
        <f>HYPERLINK("http://dx.doi.org/10.1007/s11746-016-2836-3","http://dx.doi.org/10.1007/s11746-016-2836-3")</f>
        <v>http://dx.doi.org/10.1007/s11746-016-2836-3</v>
      </c>
      <c r="BG623" t="s">
        <v>74</v>
      </c>
      <c r="BH623" t="s">
        <v>74</v>
      </c>
      <c r="BI623">
        <v>13</v>
      </c>
      <c r="BJ623" t="s">
        <v>2802</v>
      </c>
      <c r="BK623" t="s">
        <v>156</v>
      </c>
      <c r="BL623" t="s">
        <v>2803</v>
      </c>
      <c r="BM623" t="s">
        <v>12011</v>
      </c>
      <c r="BN623" t="s">
        <v>74</v>
      </c>
      <c r="BO623" t="s">
        <v>74</v>
      </c>
      <c r="BP623" t="s">
        <v>74</v>
      </c>
      <c r="BQ623" t="s">
        <v>74</v>
      </c>
      <c r="BR623" t="s">
        <v>105</v>
      </c>
      <c r="BS623" t="s">
        <v>12012</v>
      </c>
      <c r="BT623" t="str">
        <f>HYPERLINK("https%3A%2F%2Fwww.webofscience.com%2Fwos%2Fwoscc%2Ffull-record%2FWOS:000380274200003","View Full Record in Web of Science")</f>
        <v>View Full Record in Web of Science</v>
      </c>
    </row>
    <row r="624" spans="1:72" x14ac:dyDescent="0.15">
      <c r="A624" t="s">
        <v>72</v>
      </c>
      <c r="B624" t="s">
        <v>12013</v>
      </c>
      <c r="C624" t="s">
        <v>74</v>
      </c>
      <c r="D624" t="s">
        <v>74</v>
      </c>
      <c r="E624" t="s">
        <v>74</v>
      </c>
      <c r="F624" t="s">
        <v>12014</v>
      </c>
      <c r="G624" t="s">
        <v>74</v>
      </c>
      <c r="H624" t="s">
        <v>74</v>
      </c>
      <c r="I624" t="s">
        <v>12015</v>
      </c>
      <c r="J624" t="s">
        <v>4082</v>
      </c>
      <c r="K624" t="s">
        <v>74</v>
      </c>
      <c r="L624" t="s">
        <v>74</v>
      </c>
      <c r="M624" t="s">
        <v>78</v>
      </c>
      <c r="N624" t="s">
        <v>79</v>
      </c>
      <c r="O624" t="s">
        <v>74</v>
      </c>
      <c r="P624" t="s">
        <v>74</v>
      </c>
      <c r="Q624" t="s">
        <v>74</v>
      </c>
      <c r="R624" t="s">
        <v>74</v>
      </c>
      <c r="S624" t="s">
        <v>74</v>
      </c>
      <c r="T624" t="s">
        <v>12016</v>
      </c>
      <c r="U624" t="s">
        <v>12017</v>
      </c>
      <c r="V624" t="s">
        <v>12018</v>
      </c>
      <c r="W624" t="s">
        <v>12019</v>
      </c>
      <c r="X624" t="s">
        <v>12020</v>
      </c>
      <c r="Y624" t="s">
        <v>12021</v>
      </c>
      <c r="Z624" t="s">
        <v>12022</v>
      </c>
      <c r="AA624" t="s">
        <v>12023</v>
      </c>
      <c r="AB624" t="s">
        <v>12024</v>
      </c>
      <c r="AC624" t="s">
        <v>12025</v>
      </c>
      <c r="AD624" t="s">
        <v>12026</v>
      </c>
      <c r="AE624" t="s">
        <v>12027</v>
      </c>
      <c r="AF624" t="s">
        <v>74</v>
      </c>
      <c r="AG624">
        <v>21</v>
      </c>
      <c r="AH624">
        <v>21</v>
      </c>
      <c r="AI624">
        <v>22</v>
      </c>
      <c r="AJ624">
        <v>1</v>
      </c>
      <c r="AK624">
        <v>20</v>
      </c>
      <c r="AL624" t="s">
        <v>92</v>
      </c>
      <c r="AM624" t="s">
        <v>93</v>
      </c>
      <c r="AN624" t="s">
        <v>94</v>
      </c>
      <c r="AO624" t="s">
        <v>4095</v>
      </c>
      <c r="AP624" t="s">
        <v>4096</v>
      </c>
      <c r="AQ624" t="s">
        <v>74</v>
      </c>
      <c r="AR624" t="s">
        <v>4097</v>
      </c>
      <c r="AS624" t="s">
        <v>4098</v>
      </c>
      <c r="AT624" t="s">
        <v>9902</v>
      </c>
      <c r="AU624">
        <v>2016</v>
      </c>
      <c r="AV624">
        <v>28</v>
      </c>
      <c r="AW624" t="s">
        <v>74</v>
      </c>
      <c r="AX624" t="s">
        <v>74</v>
      </c>
      <c r="AY624" t="s">
        <v>74</v>
      </c>
      <c r="AZ624" t="s">
        <v>74</v>
      </c>
      <c r="BA624" t="s">
        <v>74</v>
      </c>
      <c r="BB624">
        <v>25</v>
      </c>
      <c r="BC624">
        <v>28</v>
      </c>
      <c r="BD624" t="s">
        <v>74</v>
      </c>
      <c r="BE624" t="s">
        <v>12028</v>
      </c>
      <c r="BF624" t="str">
        <f>HYPERLINK("http://dx.doi.org/10.1016/j.margen.2016.04.002","http://dx.doi.org/10.1016/j.margen.2016.04.002")</f>
        <v>http://dx.doi.org/10.1016/j.margen.2016.04.002</v>
      </c>
      <c r="BG624" t="s">
        <v>74</v>
      </c>
      <c r="BH624" t="s">
        <v>74</v>
      </c>
      <c r="BI624">
        <v>4</v>
      </c>
      <c r="BJ624" t="s">
        <v>4100</v>
      </c>
      <c r="BK624" t="s">
        <v>156</v>
      </c>
      <c r="BL624" t="s">
        <v>4100</v>
      </c>
      <c r="BM624" t="s">
        <v>11025</v>
      </c>
      <c r="BN624">
        <v>27157132</v>
      </c>
      <c r="BO624" t="s">
        <v>104</v>
      </c>
      <c r="BP624" t="s">
        <v>74</v>
      </c>
      <c r="BQ624" t="s">
        <v>74</v>
      </c>
      <c r="BR624" t="s">
        <v>105</v>
      </c>
      <c r="BS624" t="s">
        <v>12029</v>
      </c>
      <c r="BT624" t="str">
        <f>HYPERLINK("https%3A%2F%2Fwww.webofscience.com%2Fwos%2Fwoscc%2Ffull-record%2FWOS:000382271800007","View Full Record in Web of Science")</f>
        <v>View Full Record in Web of Science</v>
      </c>
    </row>
    <row r="625" spans="1:72" x14ac:dyDescent="0.15">
      <c r="A625" t="s">
        <v>72</v>
      </c>
      <c r="B625" t="s">
        <v>12030</v>
      </c>
      <c r="C625" t="s">
        <v>74</v>
      </c>
      <c r="D625" t="s">
        <v>74</v>
      </c>
      <c r="E625" t="s">
        <v>74</v>
      </c>
      <c r="F625" t="s">
        <v>12031</v>
      </c>
      <c r="G625" t="s">
        <v>74</v>
      </c>
      <c r="H625" t="s">
        <v>74</v>
      </c>
      <c r="I625" t="s">
        <v>12032</v>
      </c>
      <c r="J625" t="s">
        <v>4082</v>
      </c>
      <c r="K625" t="s">
        <v>74</v>
      </c>
      <c r="L625" t="s">
        <v>74</v>
      </c>
      <c r="M625" t="s">
        <v>78</v>
      </c>
      <c r="N625" t="s">
        <v>79</v>
      </c>
      <c r="O625" t="s">
        <v>74</v>
      </c>
      <c r="P625" t="s">
        <v>74</v>
      </c>
      <c r="Q625" t="s">
        <v>74</v>
      </c>
      <c r="R625" t="s">
        <v>74</v>
      </c>
      <c r="S625" t="s">
        <v>74</v>
      </c>
      <c r="T625" t="s">
        <v>12033</v>
      </c>
      <c r="U625" t="s">
        <v>12034</v>
      </c>
      <c r="V625" t="s">
        <v>12035</v>
      </c>
      <c r="W625" t="s">
        <v>12036</v>
      </c>
      <c r="X625" t="s">
        <v>12037</v>
      </c>
      <c r="Y625" t="s">
        <v>12038</v>
      </c>
      <c r="Z625" t="s">
        <v>12039</v>
      </c>
      <c r="AA625" t="s">
        <v>12040</v>
      </c>
      <c r="AB625" t="s">
        <v>12041</v>
      </c>
      <c r="AC625" t="s">
        <v>12042</v>
      </c>
      <c r="AD625" t="s">
        <v>12043</v>
      </c>
      <c r="AE625" t="s">
        <v>12044</v>
      </c>
      <c r="AF625" t="s">
        <v>74</v>
      </c>
      <c r="AG625">
        <v>13</v>
      </c>
      <c r="AH625">
        <v>5</v>
      </c>
      <c r="AI625">
        <v>7</v>
      </c>
      <c r="AJ625">
        <v>0</v>
      </c>
      <c r="AK625">
        <v>7</v>
      </c>
      <c r="AL625" t="s">
        <v>92</v>
      </c>
      <c r="AM625" t="s">
        <v>93</v>
      </c>
      <c r="AN625" t="s">
        <v>94</v>
      </c>
      <c r="AO625" t="s">
        <v>4095</v>
      </c>
      <c r="AP625" t="s">
        <v>4096</v>
      </c>
      <c r="AQ625" t="s">
        <v>74</v>
      </c>
      <c r="AR625" t="s">
        <v>4097</v>
      </c>
      <c r="AS625" t="s">
        <v>4098</v>
      </c>
      <c r="AT625" t="s">
        <v>9902</v>
      </c>
      <c r="AU625">
        <v>2016</v>
      </c>
      <c r="AV625">
        <v>28</v>
      </c>
      <c r="AW625" t="s">
        <v>74</v>
      </c>
      <c r="AX625" t="s">
        <v>74</v>
      </c>
      <c r="AY625" t="s">
        <v>74</v>
      </c>
      <c r="AZ625" t="s">
        <v>74</v>
      </c>
      <c r="BA625" t="s">
        <v>74</v>
      </c>
      <c r="BB625">
        <v>33</v>
      </c>
      <c r="BC625">
        <v>35</v>
      </c>
      <c r="BD625" t="s">
        <v>74</v>
      </c>
      <c r="BE625" t="s">
        <v>12045</v>
      </c>
      <c r="BF625" t="str">
        <f>HYPERLINK("http://dx.doi.org/10.1016/j.margen.2016.04.007","http://dx.doi.org/10.1016/j.margen.2016.04.007")</f>
        <v>http://dx.doi.org/10.1016/j.margen.2016.04.007</v>
      </c>
      <c r="BG625" t="s">
        <v>74</v>
      </c>
      <c r="BH625" t="s">
        <v>74</v>
      </c>
      <c r="BI625">
        <v>3</v>
      </c>
      <c r="BJ625" t="s">
        <v>4100</v>
      </c>
      <c r="BK625" t="s">
        <v>156</v>
      </c>
      <c r="BL625" t="s">
        <v>4100</v>
      </c>
      <c r="BM625" t="s">
        <v>11025</v>
      </c>
      <c r="BN625">
        <v>27117861</v>
      </c>
      <c r="BO625" t="s">
        <v>459</v>
      </c>
      <c r="BP625" t="s">
        <v>74</v>
      </c>
      <c r="BQ625" t="s">
        <v>74</v>
      </c>
      <c r="BR625" t="s">
        <v>105</v>
      </c>
      <c r="BS625" t="s">
        <v>12046</v>
      </c>
      <c r="BT625" t="str">
        <f>HYPERLINK("https%3A%2F%2Fwww.webofscience.com%2Fwos%2Fwoscc%2Ffull-record%2FWOS:000382271800009","View Full Record in Web of Science")</f>
        <v>View Full Record in Web of Science</v>
      </c>
    </row>
    <row r="626" spans="1:72" x14ac:dyDescent="0.15">
      <c r="A626" t="s">
        <v>72</v>
      </c>
      <c r="B626" t="s">
        <v>12047</v>
      </c>
      <c r="C626" t="s">
        <v>74</v>
      </c>
      <c r="D626" t="s">
        <v>74</v>
      </c>
      <c r="E626" t="s">
        <v>74</v>
      </c>
      <c r="F626" t="s">
        <v>12048</v>
      </c>
      <c r="G626" t="s">
        <v>74</v>
      </c>
      <c r="H626" t="s">
        <v>74</v>
      </c>
      <c r="I626" t="s">
        <v>12049</v>
      </c>
      <c r="J626" t="s">
        <v>4082</v>
      </c>
      <c r="K626" t="s">
        <v>74</v>
      </c>
      <c r="L626" t="s">
        <v>74</v>
      </c>
      <c r="M626" t="s">
        <v>78</v>
      </c>
      <c r="N626" t="s">
        <v>79</v>
      </c>
      <c r="O626" t="s">
        <v>74</v>
      </c>
      <c r="P626" t="s">
        <v>74</v>
      </c>
      <c r="Q626" t="s">
        <v>74</v>
      </c>
      <c r="R626" t="s">
        <v>74</v>
      </c>
      <c r="S626" t="s">
        <v>74</v>
      </c>
      <c r="T626" t="s">
        <v>12050</v>
      </c>
      <c r="U626" t="s">
        <v>12051</v>
      </c>
      <c r="V626" t="s">
        <v>12052</v>
      </c>
      <c r="W626" t="s">
        <v>12053</v>
      </c>
      <c r="X626" t="s">
        <v>12054</v>
      </c>
      <c r="Y626" t="s">
        <v>12055</v>
      </c>
      <c r="Z626" t="s">
        <v>12056</v>
      </c>
      <c r="AA626" t="s">
        <v>12057</v>
      </c>
      <c r="AB626" t="s">
        <v>12058</v>
      </c>
      <c r="AC626" t="s">
        <v>12059</v>
      </c>
      <c r="AD626" t="s">
        <v>12060</v>
      </c>
      <c r="AE626" t="s">
        <v>12061</v>
      </c>
      <c r="AF626" t="s">
        <v>74</v>
      </c>
      <c r="AG626">
        <v>11</v>
      </c>
      <c r="AH626">
        <v>20</v>
      </c>
      <c r="AI626">
        <v>21</v>
      </c>
      <c r="AJ626">
        <v>5</v>
      </c>
      <c r="AK626">
        <v>29</v>
      </c>
      <c r="AL626" t="s">
        <v>92</v>
      </c>
      <c r="AM626" t="s">
        <v>93</v>
      </c>
      <c r="AN626" t="s">
        <v>94</v>
      </c>
      <c r="AO626" t="s">
        <v>4095</v>
      </c>
      <c r="AP626" t="s">
        <v>4096</v>
      </c>
      <c r="AQ626" t="s">
        <v>74</v>
      </c>
      <c r="AR626" t="s">
        <v>4097</v>
      </c>
      <c r="AS626" t="s">
        <v>4098</v>
      </c>
      <c r="AT626" t="s">
        <v>9902</v>
      </c>
      <c r="AU626">
        <v>2016</v>
      </c>
      <c r="AV626">
        <v>28</v>
      </c>
      <c r="AW626" t="s">
        <v>74</v>
      </c>
      <c r="AX626" t="s">
        <v>74</v>
      </c>
      <c r="AY626" t="s">
        <v>74</v>
      </c>
      <c r="AZ626" t="s">
        <v>74</v>
      </c>
      <c r="BA626" t="s">
        <v>74</v>
      </c>
      <c r="BB626">
        <v>37</v>
      </c>
      <c r="BC626">
        <v>39</v>
      </c>
      <c r="BD626" t="s">
        <v>74</v>
      </c>
      <c r="BE626" t="s">
        <v>12062</v>
      </c>
      <c r="BF626" t="str">
        <f>HYPERLINK("http://dx.doi.org/10.1016/j.margen.2016.04.009","http://dx.doi.org/10.1016/j.margen.2016.04.009")</f>
        <v>http://dx.doi.org/10.1016/j.margen.2016.04.009</v>
      </c>
      <c r="BG626" t="s">
        <v>74</v>
      </c>
      <c r="BH626" t="s">
        <v>74</v>
      </c>
      <c r="BI626">
        <v>3</v>
      </c>
      <c r="BJ626" t="s">
        <v>4100</v>
      </c>
      <c r="BK626" t="s">
        <v>156</v>
      </c>
      <c r="BL626" t="s">
        <v>4100</v>
      </c>
      <c r="BM626" t="s">
        <v>11025</v>
      </c>
      <c r="BN626">
        <v>27157881</v>
      </c>
      <c r="BO626" t="s">
        <v>74</v>
      </c>
      <c r="BP626" t="s">
        <v>74</v>
      </c>
      <c r="BQ626" t="s">
        <v>74</v>
      </c>
      <c r="BR626" t="s">
        <v>105</v>
      </c>
      <c r="BS626" t="s">
        <v>12063</v>
      </c>
      <c r="BT626" t="str">
        <f>HYPERLINK("https%3A%2F%2Fwww.webofscience.com%2Fwos%2Fwoscc%2Ffull-record%2FWOS:000382271800010","View Full Record in Web of Science")</f>
        <v>View Full Record in Web of Science</v>
      </c>
    </row>
    <row r="627" spans="1:72" x14ac:dyDescent="0.15">
      <c r="A627" t="s">
        <v>72</v>
      </c>
      <c r="B627" t="s">
        <v>12064</v>
      </c>
      <c r="C627" t="s">
        <v>74</v>
      </c>
      <c r="D627" t="s">
        <v>74</v>
      </c>
      <c r="E627" t="s">
        <v>74</v>
      </c>
      <c r="F627" t="s">
        <v>12065</v>
      </c>
      <c r="G627" t="s">
        <v>74</v>
      </c>
      <c r="H627" t="s">
        <v>74</v>
      </c>
      <c r="I627" t="s">
        <v>12066</v>
      </c>
      <c r="J627" t="s">
        <v>12067</v>
      </c>
      <c r="K627" t="s">
        <v>74</v>
      </c>
      <c r="L627" t="s">
        <v>74</v>
      </c>
      <c r="M627" t="s">
        <v>78</v>
      </c>
      <c r="N627" t="s">
        <v>79</v>
      </c>
      <c r="O627" t="s">
        <v>74</v>
      </c>
      <c r="P627" t="s">
        <v>74</v>
      </c>
      <c r="Q627" t="s">
        <v>74</v>
      </c>
      <c r="R627" t="s">
        <v>74</v>
      </c>
      <c r="S627" t="s">
        <v>74</v>
      </c>
      <c r="T627" t="s">
        <v>12068</v>
      </c>
      <c r="U627" t="s">
        <v>12069</v>
      </c>
      <c r="V627" t="s">
        <v>12070</v>
      </c>
      <c r="W627" t="s">
        <v>12071</v>
      </c>
      <c r="X627" t="s">
        <v>12072</v>
      </c>
      <c r="Y627" t="s">
        <v>12073</v>
      </c>
      <c r="Z627" t="s">
        <v>12074</v>
      </c>
      <c r="AA627" t="s">
        <v>12075</v>
      </c>
      <c r="AB627" t="s">
        <v>12076</v>
      </c>
      <c r="AC627" t="s">
        <v>12077</v>
      </c>
      <c r="AD627" t="s">
        <v>12078</v>
      </c>
      <c r="AE627" t="s">
        <v>12079</v>
      </c>
      <c r="AF627" t="s">
        <v>74</v>
      </c>
      <c r="AG627">
        <v>71</v>
      </c>
      <c r="AH627">
        <v>12</v>
      </c>
      <c r="AI627">
        <v>14</v>
      </c>
      <c r="AJ627">
        <v>1</v>
      </c>
      <c r="AK627">
        <v>17</v>
      </c>
      <c r="AL627" t="s">
        <v>860</v>
      </c>
      <c r="AM627" t="s">
        <v>861</v>
      </c>
      <c r="AN627" t="s">
        <v>862</v>
      </c>
      <c r="AO627" t="s">
        <v>12080</v>
      </c>
      <c r="AP627" t="s">
        <v>12081</v>
      </c>
      <c r="AQ627" t="s">
        <v>74</v>
      </c>
      <c r="AR627" t="s">
        <v>12082</v>
      </c>
      <c r="AS627" t="s">
        <v>12083</v>
      </c>
      <c r="AT627" t="s">
        <v>9902</v>
      </c>
      <c r="AU627">
        <v>2016</v>
      </c>
      <c r="AV627">
        <v>36</v>
      </c>
      <c r="AW627">
        <v>3</v>
      </c>
      <c r="AX627" t="s">
        <v>74</v>
      </c>
      <c r="AY627" t="s">
        <v>74</v>
      </c>
      <c r="AZ627" t="s">
        <v>74</v>
      </c>
      <c r="BA627" t="s">
        <v>74</v>
      </c>
      <c r="BB627">
        <v>153</v>
      </c>
      <c r="BC627">
        <v>206</v>
      </c>
      <c r="BD627" t="s">
        <v>74</v>
      </c>
      <c r="BE627" t="s">
        <v>12084</v>
      </c>
      <c r="BF627" t="str">
        <f>HYPERLINK("http://dx.doi.org/10.1080/13235818.2015.1128523","http://dx.doi.org/10.1080/13235818.2015.1128523")</f>
        <v>http://dx.doi.org/10.1080/13235818.2015.1128523</v>
      </c>
      <c r="BG627" t="s">
        <v>74</v>
      </c>
      <c r="BH627" t="s">
        <v>74</v>
      </c>
      <c r="BI627">
        <v>54</v>
      </c>
      <c r="BJ627" t="s">
        <v>4122</v>
      </c>
      <c r="BK627" t="s">
        <v>156</v>
      </c>
      <c r="BL627" t="s">
        <v>4122</v>
      </c>
      <c r="BM627" t="s">
        <v>12085</v>
      </c>
      <c r="BN627" t="s">
        <v>74</v>
      </c>
      <c r="BO627" t="s">
        <v>805</v>
      </c>
      <c r="BP627" t="s">
        <v>74</v>
      </c>
      <c r="BQ627" t="s">
        <v>74</v>
      </c>
      <c r="BR627" t="s">
        <v>105</v>
      </c>
      <c r="BS627" t="s">
        <v>12086</v>
      </c>
      <c r="BT627" t="str">
        <f>HYPERLINK("https%3A%2F%2Fwww.webofscience.com%2Fwos%2Fwoscc%2Ffull-record%2FWOS:000382923500001","View Full Record in Web of Science")</f>
        <v>View Full Record in Web of Science</v>
      </c>
    </row>
    <row r="628" spans="1:72" x14ac:dyDescent="0.15">
      <c r="A628" t="s">
        <v>72</v>
      </c>
      <c r="B628" t="s">
        <v>12087</v>
      </c>
      <c r="C628" t="s">
        <v>74</v>
      </c>
      <c r="D628" t="s">
        <v>74</v>
      </c>
      <c r="E628" t="s">
        <v>74</v>
      </c>
      <c r="F628" t="s">
        <v>12088</v>
      </c>
      <c r="G628" t="s">
        <v>74</v>
      </c>
      <c r="H628" t="s">
        <v>74</v>
      </c>
      <c r="I628" t="s">
        <v>12089</v>
      </c>
      <c r="J628" t="s">
        <v>2126</v>
      </c>
      <c r="K628" t="s">
        <v>74</v>
      </c>
      <c r="L628" t="s">
        <v>74</v>
      </c>
      <c r="M628" t="s">
        <v>78</v>
      </c>
      <c r="N628" t="s">
        <v>79</v>
      </c>
      <c r="O628" t="s">
        <v>74</v>
      </c>
      <c r="P628" t="s">
        <v>74</v>
      </c>
      <c r="Q628" t="s">
        <v>74</v>
      </c>
      <c r="R628" t="s">
        <v>74</v>
      </c>
      <c r="S628" t="s">
        <v>74</v>
      </c>
      <c r="T628" t="s">
        <v>74</v>
      </c>
      <c r="U628" t="s">
        <v>12090</v>
      </c>
      <c r="V628" t="s">
        <v>12091</v>
      </c>
      <c r="W628" t="s">
        <v>12092</v>
      </c>
      <c r="X628" t="s">
        <v>12093</v>
      </c>
      <c r="Y628" t="s">
        <v>12094</v>
      </c>
      <c r="Z628" t="s">
        <v>12095</v>
      </c>
      <c r="AA628" t="s">
        <v>12096</v>
      </c>
      <c r="AB628" t="s">
        <v>12097</v>
      </c>
      <c r="AC628" t="s">
        <v>12098</v>
      </c>
      <c r="AD628" t="s">
        <v>12099</v>
      </c>
      <c r="AE628" t="s">
        <v>12100</v>
      </c>
      <c r="AF628" t="s">
        <v>74</v>
      </c>
      <c r="AG628">
        <v>74</v>
      </c>
      <c r="AH628">
        <v>48</v>
      </c>
      <c r="AI628">
        <v>56</v>
      </c>
      <c r="AJ628">
        <v>5</v>
      </c>
      <c r="AK628">
        <v>34</v>
      </c>
      <c r="AL628" t="s">
        <v>574</v>
      </c>
      <c r="AM628" t="s">
        <v>575</v>
      </c>
      <c r="AN628" t="s">
        <v>576</v>
      </c>
      <c r="AO628" t="s">
        <v>74</v>
      </c>
      <c r="AP628" t="s">
        <v>2138</v>
      </c>
      <c r="AQ628" t="s">
        <v>74</v>
      </c>
      <c r="AR628" t="s">
        <v>2139</v>
      </c>
      <c r="AS628" t="s">
        <v>2140</v>
      </c>
      <c r="AT628" t="s">
        <v>9902</v>
      </c>
      <c r="AU628">
        <v>2016</v>
      </c>
      <c r="AV628">
        <v>7</v>
      </c>
      <c r="AW628" t="s">
        <v>74</v>
      </c>
      <c r="AX628" t="s">
        <v>74</v>
      </c>
      <c r="AY628" t="s">
        <v>74</v>
      </c>
      <c r="AZ628" t="s">
        <v>74</v>
      </c>
      <c r="BA628" t="s">
        <v>74</v>
      </c>
      <c r="BB628" t="s">
        <v>74</v>
      </c>
      <c r="BC628" t="s">
        <v>74</v>
      </c>
      <c r="BD628">
        <v>12655</v>
      </c>
      <c r="BE628" t="s">
        <v>12101</v>
      </c>
      <c r="BF628" t="str">
        <f>HYPERLINK("http://dx.doi.org/10.1038/ncomms12655","http://dx.doi.org/10.1038/ncomms12655")</f>
        <v>http://dx.doi.org/10.1038/ncomms12655</v>
      </c>
      <c r="BG628" t="s">
        <v>74</v>
      </c>
      <c r="BH628" t="s">
        <v>74</v>
      </c>
      <c r="BI628">
        <v>10</v>
      </c>
      <c r="BJ628" t="s">
        <v>719</v>
      </c>
      <c r="BK628" t="s">
        <v>156</v>
      </c>
      <c r="BL628" t="s">
        <v>720</v>
      </c>
      <c r="BM628" t="s">
        <v>12102</v>
      </c>
      <c r="BN628">
        <v>27573030</v>
      </c>
      <c r="BO628" t="s">
        <v>4551</v>
      </c>
      <c r="BP628" t="s">
        <v>74</v>
      </c>
      <c r="BQ628" t="s">
        <v>74</v>
      </c>
      <c r="BR628" t="s">
        <v>105</v>
      </c>
      <c r="BS628" t="s">
        <v>12103</v>
      </c>
      <c r="BT628" t="str">
        <f>HYPERLINK("https%3A%2F%2Fwww.webofscience.com%2Fwos%2Fwoscc%2Ffull-record%2FWOS:000384688300001","View Full Record in Web of Science")</f>
        <v>View Full Record in Web of Science</v>
      </c>
    </row>
    <row r="629" spans="1:72" x14ac:dyDescent="0.15">
      <c r="A629" t="s">
        <v>72</v>
      </c>
      <c r="B629" t="s">
        <v>12104</v>
      </c>
      <c r="C629" t="s">
        <v>74</v>
      </c>
      <c r="D629" t="s">
        <v>74</v>
      </c>
      <c r="E629" t="s">
        <v>74</v>
      </c>
      <c r="F629" t="s">
        <v>12105</v>
      </c>
      <c r="G629" t="s">
        <v>74</v>
      </c>
      <c r="H629" t="s">
        <v>74</v>
      </c>
      <c r="I629" t="s">
        <v>12106</v>
      </c>
      <c r="J629" t="s">
        <v>2126</v>
      </c>
      <c r="K629" t="s">
        <v>74</v>
      </c>
      <c r="L629" t="s">
        <v>74</v>
      </c>
      <c r="M629" t="s">
        <v>78</v>
      </c>
      <c r="N629" t="s">
        <v>79</v>
      </c>
      <c r="O629" t="s">
        <v>74</v>
      </c>
      <c r="P629" t="s">
        <v>74</v>
      </c>
      <c r="Q629" t="s">
        <v>74</v>
      </c>
      <c r="R629" t="s">
        <v>74</v>
      </c>
      <c r="S629" t="s">
        <v>74</v>
      </c>
      <c r="T629" t="s">
        <v>74</v>
      </c>
      <c r="U629" t="s">
        <v>12107</v>
      </c>
      <c r="V629" t="s">
        <v>12108</v>
      </c>
      <c r="W629" t="s">
        <v>12109</v>
      </c>
      <c r="X629" t="s">
        <v>12110</v>
      </c>
      <c r="Y629" t="s">
        <v>12111</v>
      </c>
      <c r="Z629" t="s">
        <v>12112</v>
      </c>
      <c r="AA629" t="s">
        <v>12113</v>
      </c>
      <c r="AB629" t="s">
        <v>12114</v>
      </c>
      <c r="AC629" t="s">
        <v>12115</v>
      </c>
      <c r="AD629" t="s">
        <v>12116</v>
      </c>
      <c r="AE629" t="s">
        <v>12117</v>
      </c>
      <c r="AF629" t="s">
        <v>74</v>
      </c>
      <c r="AG629">
        <v>37</v>
      </c>
      <c r="AH629">
        <v>51</v>
      </c>
      <c r="AI629">
        <v>53</v>
      </c>
      <c r="AJ629">
        <v>0</v>
      </c>
      <c r="AK629">
        <v>17</v>
      </c>
      <c r="AL629" t="s">
        <v>275</v>
      </c>
      <c r="AM629" t="s">
        <v>250</v>
      </c>
      <c r="AN629" t="s">
        <v>276</v>
      </c>
      <c r="AO629" t="s">
        <v>2138</v>
      </c>
      <c r="AP629" t="s">
        <v>74</v>
      </c>
      <c r="AQ629" t="s">
        <v>74</v>
      </c>
      <c r="AR629" t="s">
        <v>2139</v>
      </c>
      <c r="AS629" t="s">
        <v>2140</v>
      </c>
      <c r="AT629" t="s">
        <v>9902</v>
      </c>
      <c r="AU629">
        <v>2016</v>
      </c>
      <c r="AV629">
        <v>7</v>
      </c>
      <c r="AW629" t="s">
        <v>74</v>
      </c>
      <c r="AX629" t="s">
        <v>74</v>
      </c>
      <c r="AY629" t="s">
        <v>74</v>
      </c>
      <c r="AZ629" t="s">
        <v>74</v>
      </c>
      <c r="BA629" t="s">
        <v>74</v>
      </c>
      <c r="BB629" t="s">
        <v>74</v>
      </c>
      <c r="BC629" t="s">
        <v>74</v>
      </c>
      <c r="BD629">
        <v>12300</v>
      </c>
      <c r="BE629" t="s">
        <v>12118</v>
      </c>
      <c r="BF629" t="str">
        <f>HYPERLINK("http://dx.doi.org/10.1038/ncomms12300","http://dx.doi.org/10.1038/ncomms12300")</f>
        <v>http://dx.doi.org/10.1038/ncomms12300</v>
      </c>
      <c r="BG629" t="s">
        <v>74</v>
      </c>
      <c r="BH629" t="s">
        <v>74</v>
      </c>
      <c r="BI629">
        <v>7</v>
      </c>
      <c r="BJ629" t="s">
        <v>719</v>
      </c>
      <c r="BK629" t="s">
        <v>156</v>
      </c>
      <c r="BL629" t="s">
        <v>720</v>
      </c>
      <c r="BM629" t="s">
        <v>12119</v>
      </c>
      <c r="BN629">
        <v>27481659</v>
      </c>
      <c r="BO629" t="s">
        <v>3509</v>
      </c>
      <c r="BP629" t="s">
        <v>74</v>
      </c>
      <c r="BQ629" t="s">
        <v>74</v>
      </c>
      <c r="BR629" t="s">
        <v>105</v>
      </c>
      <c r="BS629" t="s">
        <v>12120</v>
      </c>
      <c r="BT629" t="str">
        <f>HYPERLINK("https%3A%2F%2Fwww.webofscience.com%2Fwos%2Fwoscc%2Ffull-record%2FWOS:000380856500001","View Full Record in Web of Science")</f>
        <v>View Full Record in Web of Science</v>
      </c>
    </row>
    <row r="630" spans="1:72" x14ac:dyDescent="0.15">
      <c r="A630" t="s">
        <v>72</v>
      </c>
      <c r="B630" t="s">
        <v>12121</v>
      </c>
      <c r="C630" t="s">
        <v>74</v>
      </c>
      <c r="D630" t="s">
        <v>74</v>
      </c>
      <c r="E630" t="s">
        <v>74</v>
      </c>
      <c r="F630" t="s">
        <v>12122</v>
      </c>
      <c r="G630" t="s">
        <v>74</v>
      </c>
      <c r="H630" t="s">
        <v>74</v>
      </c>
      <c r="I630" t="s">
        <v>12123</v>
      </c>
      <c r="J630" t="s">
        <v>2126</v>
      </c>
      <c r="K630" t="s">
        <v>74</v>
      </c>
      <c r="L630" t="s">
        <v>74</v>
      </c>
      <c r="M630" t="s">
        <v>78</v>
      </c>
      <c r="N630" t="s">
        <v>79</v>
      </c>
      <c r="O630" t="s">
        <v>74</v>
      </c>
      <c r="P630" t="s">
        <v>74</v>
      </c>
      <c r="Q630" t="s">
        <v>74</v>
      </c>
      <c r="R630" t="s">
        <v>74</v>
      </c>
      <c r="S630" t="s">
        <v>74</v>
      </c>
      <c r="T630" t="s">
        <v>74</v>
      </c>
      <c r="U630" t="s">
        <v>12124</v>
      </c>
      <c r="V630" t="s">
        <v>12125</v>
      </c>
      <c r="W630" t="s">
        <v>12126</v>
      </c>
      <c r="X630" t="s">
        <v>12127</v>
      </c>
      <c r="Y630" t="s">
        <v>12128</v>
      </c>
      <c r="Z630" t="s">
        <v>12129</v>
      </c>
      <c r="AA630" t="s">
        <v>12130</v>
      </c>
      <c r="AB630" t="s">
        <v>12131</v>
      </c>
      <c r="AC630" t="s">
        <v>12132</v>
      </c>
      <c r="AD630" t="s">
        <v>12133</v>
      </c>
      <c r="AE630" t="s">
        <v>12134</v>
      </c>
      <c r="AF630" t="s">
        <v>74</v>
      </c>
      <c r="AG630">
        <v>55</v>
      </c>
      <c r="AH630">
        <v>35</v>
      </c>
      <c r="AI630">
        <v>39</v>
      </c>
      <c r="AJ630">
        <v>2</v>
      </c>
      <c r="AK630">
        <v>17</v>
      </c>
      <c r="AL630" t="s">
        <v>275</v>
      </c>
      <c r="AM630" t="s">
        <v>250</v>
      </c>
      <c r="AN630" t="s">
        <v>276</v>
      </c>
      <c r="AO630" t="s">
        <v>2138</v>
      </c>
      <c r="AP630" t="s">
        <v>74</v>
      </c>
      <c r="AQ630" t="s">
        <v>74</v>
      </c>
      <c r="AR630" t="s">
        <v>2139</v>
      </c>
      <c r="AS630" t="s">
        <v>2140</v>
      </c>
      <c r="AT630" t="s">
        <v>9902</v>
      </c>
      <c r="AU630">
        <v>2016</v>
      </c>
      <c r="AV630">
        <v>7</v>
      </c>
      <c r="AW630" t="s">
        <v>74</v>
      </c>
      <c r="AX630" t="s">
        <v>74</v>
      </c>
      <c r="AY630" t="s">
        <v>74</v>
      </c>
      <c r="AZ630" t="s">
        <v>74</v>
      </c>
      <c r="BA630" t="s">
        <v>74</v>
      </c>
      <c r="BB630" t="s">
        <v>74</v>
      </c>
      <c r="BC630" t="s">
        <v>74</v>
      </c>
      <c r="BD630">
        <v>12511</v>
      </c>
      <c r="BE630" t="s">
        <v>12135</v>
      </c>
      <c r="BF630" t="str">
        <f>HYPERLINK("http://dx.doi.org/10.1038/ncomms12511","http://dx.doi.org/10.1038/ncomms12511")</f>
        <v>http://dx.doi.org/10.1038/ncomms12511</v>
      </c>
      <c r="BG630" t="s">
        <v>74</v>
      </c>
      <c r="BH630" t="s">
        <v>74</v>
      </c>
      <c r="BI630">
        <v>8</v>
      </c>
      <c r="BJ630" t="s">
        <v>719</v>
      </c>
      <c r="BK630" t="s">
        <v>156</v>
      </c>
      <c r="BL630" t="s">
        <v>720</v>
      </c>
      <c r="BM630" t="s">
        <v>12136</v>
      </c>
      <c r="BN630">
        <v>27545202</v>
      </c>
      <c r="BO630" t="s">
        <v>12137</v>
      </c>
      <c r="BP630" t="s">
        <v>74</v>
      </c>
      <c r="BQ630" t="s">
        <v>74</v>
      </c>
      <c r="BR630" t="s">
        <v>105</v>
      </c>
      <c r="BS630" t="s">
        <v>12138</v>
      </c>
      <c r="BT630" t="str">
        <f>HYPERLINK("https%3A%2F%2Fwww.webofscience.com%2Fwos%2Fwoscc%2Ffull-record%2FWOS:000381905100001","View Full Record in Web of Science")</f>
        <v>View Full Record in Web of Science</v>
      </c>
    </row>
    <row r="631" spans="1:72" x14ac:dyDescent="0.15">
      <c r="A631" t="s">
        <v>72</v>
      </c>
      <c r="B631" t="s">
        <v>12139</v>
      </c>
      <c r="C631" t="s">
        <v>74</v>
      </c>
      <c r="D631" t="s">
        <v>74</v>
      </c>
      <c r="E631" t="s">
        <v>74</v>
      </c>
      <c r="F631" t="s">
        <v>12140</v>
      </c>
      <c r="G631" t="s">
        <v>74</v>
      </c>
      <c r="H631" t="s">
        <v>74</v>
      </c>
      <c r="I631" t="s">
        <v>12141</v>
      </c>
      <c r="J631" t="s">
        <v>2126</v>
      </c>
      <c r="K631" t="s">
        <v>74</v>
      </c>
      <c r="L631" t="s">
        <v>74</v>
      </c>
      <c r="M631" t="s">
        <v>78</v>
      </c>
      <c r="N631" t="s">
        <v>79</v>
      </c>
      <c r="O631" t="s">
        <v>74</v>
      </c>
      <c r="P631" t="s">
        <v>74</v>
      </c>
      <c r="Q631" t="s">
        <v>74</v>
      </c>
      <c r="R631" t="s">
        <v>74</v>
      </c>
      <c r="S631" t="s">
        <v>74</v>
      </c>
      <c r="T631" t="s">
        <v>74</v>
      </c>
      <c r="U631" t="s">
        <v>12142</v>
      </c>
      <c r="V631" t="s">
        <v>12143</v>
      </c>
      <c r="W631" t="s">
        <v>12144</v>
      </c>
      <c r="X631" t="s">
        <v>12145</v>
      </c>
      <c r="Y631" t="s">
        <v>12146</v>
      </c>
      <c r="Z631" t="s">
        <v>12147</v>
      </c>
      <c r="AA631" t="s">
        <v>12148</v>
      </c>
      <c r="AB631" t="s">
        <v>12149</v>
      </c>
      <c r="AC631" t="s">
        <v>12150</v>
      </c>
      <c r="AD631" t="s">
        <v>12151</v>
      </c>
      <c r="AE631" t="s">
        <v>12152</v>
      </c>
      <c r="AF631" t="s">
        <v>74</v>
      </c>
      <c r="AG631">
        <v>53</v>
      </c>
      <c r="AH631">
        <v>45</v>
      </c>
      <c r="AI631">
        <v>47</v>
      </c>
      <c r="AJ631">
        <v>2</v>
      </c>
      <c r="AK631">
        <v>20</v>
      </c>
      <c r="AL631" t="s">
        <v>574</v>
      </c>
      <c r="AM631" t="s">
        <v>575</v>
      </c>
      <c r="AN631" t="s">
        <v>576</v>
      </c>
      <c r="AO631" t="s">
        <v>74</v>
      </c>
      <c r="AP631" t="s">
        <v>2138</v>
      </c>
      <c r="AQ631" t="s">
        <v>74</v>
      </c>
      <c r="AR631" t="s">
        <v>2139</v>
      </c>
      <c r="AS631" t="s">
        <v>2140</v>
      </c>
      <c r="AT631" t="s">
        <v>9902</v>
      </c>
      <c r="AU631">
        <v>2016</v>
      </c>
      <c r="AV631">
        <v>7</v>
      </c>
      <c r="AW631" t="s">
        <v>74</v>
      </c>
      <c r="AX631" t="s">
        <v>74</v>
      </c>
      <c r="AY631" t="s">
        <v>74</v>
      </c>
      <c r="AZ631" t="s">
        <v>74</v>
      </c>
      <c r="BA631" t="s">
        <v>74</v>
      </c>
      <c r="BB631" t="s">
        <v>74</v>
      </c>
      <c r="BC631" t="s">
        <v>74</v>
      </c>
      <c r="BD631">
        <v>12293</v>
      </c>
      <c r="BE631" t="s">
        <v>12153</v>
      </c>
      <c r="BF631" t="str">
        <f>HYPERLINK("http://dx.doi.org/10.1038/ncomms12293","http://dx.doi.org/10.1038/ncomms12293")</f>
        <v>http://dx.doi.org/10.1038/ncomms12293</v>
      </c>
      <c r="BG631" t="s">
        <v>74</v>
      </c>
      <c r="BH631" t="s">
        <v>74</v>
      </c>
      <c r="BI631">
        <v>9</v>
      </c>
      <c r="BJ631" t="s">
        <v>719</v>
      </c>
      <c r="BK631" t="s">
        <v>156</v>
      </c>
      <c r="BL631" t="s">
        <v>720</v>
      </c>
      <c r="BM631" t="s">
        <v>12154</v>
      </c>
      <c r="BN631">
        <v>27526639</v>
      </c>
      <c r="BO631" t="s">
        <v>12155</v>
      </c>
      <c r="BP631" t="s">
        <v>74</v>
      </c>
      <c r="BQ631" t="s">
        <v>74</v>
      </c>
      <c r="BR631" t="s">
        <v>105</v>
      </c>
      <c r="BS631" t="s">
        <v>12156</v>
      </c>
      <c r="BT631" t="str">
        <f>HYPERLINK("https%3A%2F%2Fwww.webofscience.com%2Fwos%2Fwoscc%2Ffull-record%2FWOS:000381690200001","View Full Record in Web of Science")</f>
        <v>View Full Record in Web of Science</v>
      </c>
    </row>
    <row r="632" spans="1:72" x14ac:dyDescent="0.15">
      <c r="A632" t="s">
        <v>72</v>
      </c>
      <c r="B632" t="s">
        <v>12157</v>
      </c>
      <c r="C632" t="s">
        <v>74</v>
      </c>
      <c r="D632" t="s">
        <v>74</v>
      </c>
      <c r="E632" t="s">
        <v>74</v>
      </c>
      <c r="F632" t="s">
        <v>12158</v>
      </c>
      <c r="G632" t="s">
        <v>74</v>
      </c>
      <c r="H632" t="s">
        <v>74</v>
      </c>
      <c r="I632" t="s">
        <v>12159</v>
      </c>
      <c r="J632" t="s">
        <v>2126</v>
      </c>
      <c r="K632" t="s">
        <v>74</v>
      </c>
      <c r="L632" t="s">
        <v>74</v>
      </c>
      <c r="M632" t="s">
        <v>78</v>
      </c>
      <c r="N632" t="s">
        <v>79</v>
      </c>
      <c r="O632" t="s">
        <v>74</v>
      </c>
      <c r="P632" t="s">
        <v>74</v>
      </c>
      <c r="Q632" t="s">
        <v>74</v>
      </c>
      <c r="R632" t="s">
        <v>74</v>
      </c>
      <c r="S632" t="s">
        <v>74</v>
      </c>
      <c r="T632" t="s">
        <v>74</v>
      </c>
      <c r="U632" t="s">
        <v>12160</v>
      </c>
      <c r="V632" t="s">
        <v>12161</v>
      </c>
      <c r="W632" t="s">
        <v>12162</v>
      </c>
      <c r="X632" t="s">
        <v>12163</v>
      </c>
      <c r="Y632" t="s">
        <v>12164</v>
      </c>
      <c r="Z632" t="s">
        <v>12165</v>
      </c>
      <c r="AA632" t="s">
        <v>12166</v>
      </c>
      <c r="AB632" t="s">
        <v>12167</v>
      </c>
      <c r="AC632" t="s">
        <v>12168</v>
      </c>
      <c r="AD632" t="s">
        <v>12169</v>
      </c>
      <c r="AE632" t="s">
        <v>12170</v>
      </c>
      <c r="AF632" t="s">
        <v>74</v>
      </c>
      <c r="AG632">
        <v>41</v>
      </c>
      <c r="AH632">
        <v>119</v>
      </c>
      <c r="AI632">
        <v>132</v>
      </c>
      <c r="AJ632">
        <v>2</v>
      </c>
      <c r="AK632">
        <v>36</v>
      </c>
      <c r="AL632" t="s">
        <v>275</v>
      </c>
      <c r="AM632" t="s">
        <v>250</v>
      </c>
      <c r="AN632" t="s">
        <v>276</v>
      </c>
      <c r="AO632" t="s">
        <v>2138</v>
      </c>
      <c r="AP632" t="s">
        <v>74</v>
      </c>
      <c r="AQ632" t="s">
        <v>74</v>
      </c>
      <c r="AR632" t="s">
        <v>2139</v>
      </c>
      <c r="AS632" t="s">
        <v>2140</v>
      </c>
      <c r="AT632" t="s">
        <v>9902</v>
      </c>
      <c r="AU632">
        <v>2016</v>
      </c>
      <c r="AV632">
        <v>7</v>
      </c>
      <c r="AW632" t="s">
        <v>74</v>
      </c>
      <c r="AX632" t="s">
        <v>74</v>
      </c>
      <c r="AY632" t="s">
        <v>74</v>
      </c>
      <c r="AZ632" t="s">
        <v>74</v>
      </c>
      <c r="BA632" t="s">
        <v>74</v>
      </c>
      <c r="BB632" t="s">
        <v>74</v>
      </c>
      <c r="BC632" t="s">
        <v>74</v>
      </c>
      <c r="BD632">
        <v>12577</v>
      </c>
      <c r="BE632" t="s">
        <v>12171</v>
      </c>
      <c r="BF632" t="str">
        <f>HYPERLINK("http://dx.doi.org/10.1038/ncomms12577","http://dx.doi.org/10.1038/ncomms12577")</f>
        <v>http://dx.doi.org/10.1038/ncomms12577</v>
      </c>
      <c r="BG632" t="s">
        <v>74</v>
      </c>
      <c r="BH632" t="s">
        <v>74</v>
      </c>
      <c r="BI632">
        <v>9</v>
      </c>
      <c r="BJ632" t="s">
        <v>719</v>
      </c>
      <c r="BK632" t="s">
        <v>156</v>
      </c>
      <c r="BL632" t="s">
        <v>720</v>
      </c>
      <c r="BM632" t="s">
        <v>12172</v>
      </c>
      <c r="BN632">
        <v>27552365</v>
      </c>
      <c r="BO632" t="s">
        <v>12173</v>
      </c>
      <c r="BP632" t="s">
        <v>74</v>
      </c>
      <c r="BQ632" t="s">
        <v>74</v>
      </c>
      <c r="BR632" t="s">
        <v>105</v>
      </c>
      <c r="BS632" t="s">
        <v>12174</v>
      </c>
      <c r="BT632" t="str">
        <f>HYPERLINK("https%3A%2F%2Fwww.webofscience.com%2Fwos%2Fwoscc%2Ffull-record%2FWOS:000381949000001","View Full Record in Web of Science")</f>
        <v>View Full Record in Web of Science</v>
      </c>
    </row>
    <row r="633" spans="1:72" x14ac:dyDescent="0.15">
      <c r="A633" t="s">
        <v>72</v>
      </c>
      <c r="B633" t="s">
        <v>12175</v>
      </c>
      <c r="C633" t="s">
        <v>74</v>
      </c>
      <c r="D633" t="s">
        <v>74</v>
      </c>
      <c r="E633" t="s">
        <v>74</v>
      </c>
      <c r="F633" t="s">
        <v>12176</v>
      </c>
      <c r="G633" t="s">
        <v>74</v>
      </c>
      <c r="H633" t="s">
        <v>74</v>
      </c>
      <c r="I633" t="s">
        <v>12177</v>
      </c>
      <c r="J633" t="s">
        <v>8631</v>
      </c>
      <c r="K633" t="s">
        <v>74</v>
      </c>
      <c r="L633" t="s">
        <v>74</v>
      </c>
      <c r="M633" t="s">
        <v>78</v>
      </c>
      <c r="N633" t="s">
        <v>587</v>
      </c>
      <c r="O633" t="s">
        <v>74</v>
      </c>
      <c r="P633" t="s">
        <v>74</v>
      </c>
      <c r="Q633" t="s">
        <v>74</v>
      </c>
      <c r="R633" t="s">
        <v>74</v>
      </c>
      <c r="S633" t="s">
        <v>74</v>
      </c>
      <c r="T633" t="s">
        <v>74</v>
      </c>
      <c r="U633" t="s">
        <v>12178</v>
      </c>
      <c r="V633" t="s">
        <v>74</v>
      </c>
      <c r="W633" t="s">
        <v>12179</v>
      </c>
      <c r="X633" t="s">
        <v>12180</v>
      </c>
      <c r="Y633" t="s">
        <v>12181</v>
      </c>
      <c r="Z633" t="s">
        <v>12182</v>
      </c>
      <c r="AA633" t="s">
        <v>12183</v>
      </c>
      <c r="AB633" t="s">
        <v>12184</v>
      </c>
      <c r="AC633" t="s">
        <v>74</v>
      </c>
      <c r="AD633" t="s">
        <v>74</v>
      </c>
      <c r="AE633" t="s">
        <v>74</v>
      </c>
      <c r="AF633" t="s">
        <v>74</v>
      </c>
      <c r="AG633">
        <v>8</v>
      </c>
      <c r="AH633">
        <v>3</v>
      </c>
      <c r="AI633">
        <v>3</v>
      </c>
      <c r="AJ633">
        <v>0</v>
      </c>
      <c r="AK633">
        <v>8</v>
      </c>
      <c r="AL633" t="s">
        <v>275</v>
      </c>
      <c r="AM633" t="s">
        <v>594</v>
      </c>
      <c r="AN633" t="s">
        <v>595</v>
      </c>
      <c r="AO633" t="s">
        <v>8643</v>
      </c>
      <c r="AP633" t="s">
        <v>8644</v>
      </c>
      <c r="AQ633" t="s">
        <v>74</v>
      </c>
      <c r="AR633" t="s">
        <v>8645</v>
      </c>
      <c r="AS633" t="s">
        <v>8646</v>
      </c>
      <c r="AT633" t="s">
        <v>9902</v>
      </c>
      <c r="AU633">
        <v>2016</v>
      </c>
      <c r="AV633">
        <v>9</v>
      </c>
      <c r="AW633">
        <v>8</v>
      </c>
      <c r="AX633" t="s">
        <v>74</v>
      </c>
      <c r="AY633" t="s">
        <v>74</v>
      </c>
      <c r="AZ633" t="s">
        <v>74</v>
      </c>
      <c r="BA633" t="s">
        <v>74</v>
      </c>
      <c r="BB633">
        <v>569</v>
      </c>
      <c r="BC633">
        <v>570</v>
      </c>
      <c r="BD633" t="s">
        <v>74</v>
      </c>
      <c r="BE633" t="s">
        <v>12185</v>
      </c>
      <c r="BF633" t="str">
        <f>HYPERLINK("http://dx.doi.org/10.1038/ngeo2766","http://dx.doi.org/10.1038/ngeo2766")</f>
        <v>http://dx.doi.org/10.1038/ngeo2766</v>
      </c>
      <c r="BG633" t="s">
        <v>74</v>
      </c>
      <c r="BH633" t="s">
        <v>74</v>
      </c>
      <c r="BI633">
        <v>3</v>
      </c>
      <c r="BJ633" t="s">
        <v>352</v>
      </c>
      <c r="BK633" t="s">
        <v>156</v>
      </c>
      <c r="BL633" t="s">
        <v>177</v>
      </c>
      <c r="BM633" t="s">
        <v>12186</v>
      </c>
      <c r="BN633" t="s">
        <v>74</v>
      </c>
      <c r="BO633" t="s">
        <v>74</v>
      </c>
      <c r="BP633" t="s">
        <v>74</v>
      </c>
      <c r="BQ633" t="s">
        <v>74</v>
      </c>
      <c r="BR633" t="s">
        <v>105</v>
      </c>
      <c r="BS633" t="s">
        <v>12187</v>
      </c>
      <c r="BT633" t="str">
        <f>HYPERLINK("https%3A%2F%2Fwww.webofscience.com%2Fwos%2Fwoscc%2Ffull-record%2FWOS:000382137900006","View Full Record in Web of Science")</f>
        <v>View Full Record in Web of Science</v>
      </c>
    </row>
    <row r="634" spans="1:72" x14ac:dyDescent="0.15">
      <c r="A634" t="s">
        <v>72</v>
      </c>
      <c r="B634" t="s">
        <v>12188</v>
      </c>
      <c r="C634" t="s">
        <v>74</v>
      </c>
      <c r="D634" t="s">
        <v>74</v>
      </c>
      <c r="E634" t="s">
        <v>74</v>
      </c>
      <c r="F634" t="s">
        <v>12189</v>
      </c>
      <c r="G634" t="s">
        <v>74</v>
      </c>
      <c r="H634" t="s">
        <v>74</v>
      </c>
      <c r="I634" t="s">
        <v>12190</v>
      </c>
      <c r="J634" t="s">
        <v>8631</v>
      </c>
      <c r="K634" t="s">
        <v>74</v>
      </c>
      <c r="L634" t="s">
        <v>74</v>
      </c>
      <c r="M634" t="s">
        <v>78</v>
      </c>
      <c r="N634" t="s">
        <v>79</v>
      </c>
      <c r="O634" t="s">
        <v>74</v>
      </c>
      <c r="P634" t="s">
        <v>74</v>
      </c>
      <c r="Q634" t="s">
        <v>74</v>
      </c>
      <c r="R634" t="s">
        <v>74</v>
      </c>
      <c r="S634" t="s">
        <v>74</v>
      </c>
      <c r="T634" t="s">
        <v>74</v>
      </c>
      <c r="U634" t="s">
        <v>12191</v>
      </c>
      <c r="V634" t="s">
        <v>12192</v>
      </c>
      <c r="W634" t="s">
        <v>12193</v>
      </c>
      <c r="X634" t="s">
        <v>12194</v>
      </c>
      <c r="Y634" t="s">
        <v>12195</v>
      </c>
      <c r="Z634" t="s">
        <v>12196</v>
      </c>
      <c r="AA634" t="s">
        <v>12197</v>
      </c>
      <c r="AB634" t="s">
        <v>12198</v>
      </c>
      <c r="AC634" t="s">
        <v>12199</v>
      </c>
      <c r="AD634" t="s">
        <v>12200</v>
      </c>
      <c r="AE634" t="s">
        <v>12201</v>
      </c>
      <c r="AF634" t="s">
        <v>74</v>
      </c>
      <c r="AG634">
        <v>32</v>
      </c>
      <c r="AH634">
        <v>183</v>
      </c>
      <c r="AI634">
        <v>200</v>
      </c>
      <c r="AJ634">
        <v>4</v>
      </c>
      <c r="AK634">
        <v>95</v>
      </c>
      <c r="AL634" t="s">
        <v>275</v>
      </c>
      <c r="AM634" t="s">
        <v>594</v>
      </c>
      <c r="AN634" t="s">
        <v>595</v>
      </c>
      <c r="AO634" t="s">
        <v>8643</v>
      </c>
      <c r="AP634" t="s">
        <v>8644</v>
      </c>
      <c r="AQ634" t="s">
        <v>74</v>
      </c>
      <c r="AR634" t="s">
        <v>8645</v>
      </c>
      <c r="AS634" t="s">
        <v>8646</v>
      </c>
      <c r="AT634" t="s">
        <v>9902</v>
      </c>
      <c r="AU634">
        <v>2016</v>
      </c>
      <c r="AV634">
        <v>9</v>
      </c>
      <c r="AW634">
        <v>8</v>
      </c>
      <c r="AX634" t="s">
        <v>74</v>
      </c>
      <c r="AY634" t="s">
        <v>74</v>
      </c>
      <c r="AZ634" t="s">
        <v>74</v>
      </c>
      <c r="BA634" t="s">
        <v>74</v>
      </c>
      <c r="BB634">
        <v>590</v>
      </c>
      <c r="BC634" t="s">
        <v>5030</v>
      </c>
      <c r="BD634" t="s">
        <v>74</v>
      </c>
      <c r="BE634" t="s">
        <v>12202</v>
      </c>
      <c r="BF634" t="str">
        <f>HYPERLINK("http://dx.doi.org/10.1038/NGEO2751","http://dx.doi.org/10.1038/NGEO2751")</f>
        <v>http://dx.doi.org/10.1038/NGEO2751</v>
      </c>
      <c r="BG634" t="s">
        <v>74</v>
      </c>
      <c r="BH634" t="s">
        <v>74</v>
      </c>
      <c r="BI634">
        <v>7</v>
      </c>
      <c r="BJ634" t="s">
        <v>352</v>
      </c>
      <c r="BK634" t="s">
        <v>156</v>
      </c>
      <c r="BL634" t="s">
        <v>177</v>
      </c>
      <c r="BM634" t="s">
        <v>12186</v>
      </c>
      <c r="BN634" t="s">
        <v>74</v>
      </c>
      <c r="BO634" t="s">
        <v>74</v>
      </c>
      <c r="BP634" t="s">
        <v>74</v>
      </c>
      <c r="BQ634" t="s">
        <v>74</v>
      </c>
      <c r="BR634" t="s">
        <v>105</v>
      </c>
      <c r="BS634" t="s">
        <v>12203</v>
      </c>
      <c r="BT634" t="str">
        <f>HYPERLINK("https%3A%2F%2Fwww.webofscience.com%2Fwos%2Fwoscc%2Ffull-record%2FWOS:000382137900014","View Full Record in Web of Science")</f>
        <v>View Full Record in Web of Science</v>
      </c>
    </row>
    <row r="635" spans="1:72" x14ac:dyDescent="0.15">
      <c r="A635" t="s">
        <v>72</v>
      </c>
      <c r="B635" t="s">
        <v>12204</v>
      </c>
      <c r="C635" t="s">
        <v>74</v>
      </c>
      <c r="D635" t="s">
        <v>74</v>
      </c>
      <c r="E635" t="s">
        <v>74</v>
      </c>
      <c r="F635" t="s">
        <v>12205</v>
      </c>
      <c r="G635" t="s">
        <v>74</v>
      </c>
      <c r="H635" t="s">
        <v>74</v>
      </c>
      <c r="I635" t="s">
        <v>12206</v>
      </c>
      <c r="J635" t="s">
        <v>8631</v>
      </c>
      <c r="K635" t="s">
        <v>74</v>
      </c>
      <c r="L635" t="s">
        <v>74</v>
      </c>
      <c r="M635" t="s">
        <v>78</v>
      </c>
      <c r="N635" t="s">
        <v>79</v>
      </c>
      <c r="O635" t="s">
        <v>74</v>
      </c>
      <c r="P635" t="s">
        <v>74</v>
      </c>
      <c r="Q635" t="s">
        <v>74</v>
      </c>
      <c r="R635" t="s">
        <v>74</v>
      </c>
      <c r="S635" t="s">
        <v>74</v>
      </c>
      <c r="T635" t="s">
        <v>74</v>
      </c>
      <c r="U635" t="s">
        <v>12207</v>
      </c>
      <c r="V635" t="s">
        <v>12208</v>
      </c>
      <c r="W635" t="s">
        <v>12209</v>
      </c>
      <c r="X635" t="s">
        <v>12210</v>
      </c>
      <c r="Y635" t="s">
        <v>12211</v>
      </c>
      <c r="Z635" t="s">
        <v>12212</v>
      </c>
      <c r="AA635" t="s">
        <v>12213</v>
      </c>
      <c r="AB635" t="s">
        <v>12214</v>
      </c>
      <c r="AC635" t="s">
        <v>12215</v>
      </c>
      <c r="AD635" t="s">
        <v>12216</v>
      </c>
      <c r="AE635" t="s">
        <v>12217</v>
      </c>
      <c r="AF635" t="s">
        <v>74</v>
      </c>
      <c r="AG635">
        <v>56</v>
      </c>
      <c r="AH635">
        <v>187</v>
      </c>
      <c r="AI635">
        <v>198</v>
      </c>
      <c r="AJ635">
        <v>6</v>
      </c>
      <c r="AK635">
        <v>60</v>
      </c>
      <c r="AL635" t="s">
        <v>275</v>
      </c>
      <c r="AM635" t="s">
        <v>594</v>
      </c>
      <c r="AN635" t="s">
        <v>595</v>
      </c>
      <c r="AO635" t="s">
        <v>8643</v>
      </c>
      <c r="AP635" t="s">
        <v>8644</v>
      </c>
      <c r="AQ635" t="s">
        <v>74</v>
      </c>
      <c r="AR635" t="s">
        <v>8645</v>
      </c>
      <c r="AS635" t="s">
        <v>8646</v>
      </c>
      <c r="AT635" t="s">
        <v>9902</v>
      </c>
      <c r="AU635">
        <v>2016</v>
      </c>
      <c r="AV635">
        <v>9</v>
      </c>
      <c r="AW635">
        <v>8</v>
      </c>
      <c r="AX635" t="s">
        <v>74</v>
      </c>
      <c r="AY635" t="s">
        <v>74</v>
      </c>
      <c r="AZ635" t="s">
        <v>74</v>
      </c>
      <c r="BA635" t="s">
        <v>74</v>
      </c>
      <c r="BB635">
        <v>596</v>
      </c>
      <c r="BC635" t="s">
        <v>5030</v>
      </c>
      <c r="BD635" t="s">
        <v>74</v>
      </c>
      <c r="BE635" t="s">
        <v>12218</v>
      </c>
      <c r="BF635" t="str">
        <f>HYPERLINK("http://dx.doi.org/10.1038/NGEO2749","http://dx.doi.org/10.1038/NGEO2749")</f>
        <v>http://dx.doi.org/10.1038/NGEO2749</v>
      </c>
      <c r="BG635" t="s">
        <v>74</v>
      </c>
      <c r="BH635" t="s">
        <v>74</v>
      </c>
      <c r="BI635">
        <v>8</v>
      </c>
      <c r="BJ635" t="s">
        <v>352</v>
      </c>
      <c r="BK635" t="s">
        <v>156</v>
      </c>
      <c r="BL635" t="s">
        <v>177</v>
      </c>
      <c r="BM635" t="s">
        <v>12186</v>
      </c>
      <c r="BN635" t="s">
        <v>74</v>
      </c>
      <c r="BO635" t="s">
        <v>74</v>
      </c>
      <c r="BP635" t="s">
        <v>1447</v>
      </c>
      <c r="BQ635" t="s">
        <v>1448</v>
      </c>
      <c r="BR635" t="s">
        <v>105</v>
      </c>
      <c r="BS635" t="s">
        <v>12219</v>
      </c>
      <c r="BT635" t="str">
        <f>HYPERLINK("https%3A%2F%2Fwww.webofscience.com%2Fwos%2Fwoscc%2Ffull-record%2FWOS:000382137900015","View Full Record in Web of Science")</f>
        <v>View Full Record in Web of Science</v>
      </c>
    </row>
    <row r="636" spans="1:72" x14ac:dyDescent="0.15">
      <c r="A636" t="s">
        <v>72</v>
      </c>
      <c r="B636" t="s">
        <v>12220</v>
      </c>
      <c r="C636" t="s">
        <v>74</v>
      </c>
      <c r="D636" t="s">
        <v>74</v>
      </c>
      <c r="E636" t="s">
        <v>74</v>
      </c>
      <c r="F636" t="s">
        <v>12221</v>
      </c>
      <c r="G636" t="s">
        <v>74</v>
      </c>
      <c r="H636" t="s">
        <v>74</v>
      </c>
      <c r="I636" t="s">
        <v>12222</v>
      </c>
      <c r="J636" t="s">
        <v>8675</v>
      </c>
      <c r="K636" t="s">
        <v>74</v>
      </c>
      <c r="L636" t="s">
        <v>74</v>
      </c>
      <c r="M636" t="s">
        <v>78</v>
      </c>
      <c r="N636" t="s">
        <v>79</v>
      </c>
      <c r="O636" t="s">
        <v>74</v>
      </c>
      <c r="P636" t="s">
        <v>74</v>
      </c>
      <c r="Q636" t="s">
        <v>74</v>
      </c>
      <c r="R636" t="s">
        <v>74</v>
      </c>
      <c r="S636" t="s">
        <v>74</v>
      </c>
      <c r="T636" t="s">
        <v>12223</v>
      </c>
      <c r="U636" t="s">
        <v>12224</v>
      </c>
      <c r="V636" t="s">
        <v>12225</v>
      </c>
      <c r="W636" t="s">
        <v>12226</v>
      </c>
      <c r="X636" t="s">
        <v>12227</v>
      </c>
      <c r="Y636" t="s">
        <v>12228</v>
      </c>
      <c r="Z636" t="s">
        <v>12229</v>
      </c>
      <c r="AA636" t="s">
        <v>12230</v>
      </c>
      <c r="AB636" t="s">
        <v>12231</v>
      </c>
      <c r="AC636" t="s">
        <v>12232</v>
      </c>
      <c r="AD636" t="s">
        <v>12233</v>
      </c>
      <c r="AE636" t="s">
        <v>12234</v>
      </c>
      <c r="AF636" t="s">
        <v>74</v>
      </c>
      <c r="AG636">
        <v>54</v>
      </c>
      <c r="AH636">
        <v>4</v>
      </c>
      <c r="AI636">
        <v>4</v>
      </c>
      <c r="AJ636">
        <v>0</v>
      </c>
      <c r="AK636">
        <v>16</v>
      </c>
      <c r="AL636" t="s">
        <v>474</v>
      </c>
      <c r="AM636" t="s">
        <v>304</v>
      </c>
      <c r="AN636" t="s">
        <v>475</v>
      </c>
      <c r="AO636" t="s">
        <v>8687</v>
      </c>
      <c r="AP636" t="s">
        <v>8688</v>
      </c>
      <c r="AQ636" t="s">
        <v>74</v>
      </c>
      <c r="AR636" t="s">
        <v>8689</v>
      </c>
      <c r="AS636" t="s">
        <v>8690</v>
      </c>
      <c r="AT636" t="s">
        <v>9902</v>
      </c>
      <c r="AU636">
        <v>2016</v>
      </c>
      <c r="AV636">
        <v>104</v>
      </c>
      <c r="AW636" t="s">
        <v>74</v>
      </c>
      <c r="AX636" t="s">
        <v>74</v>
      </c>
      <c r="AY636" t="s">
        <v>74</v>
      </c>
      <c r="AZ636" t="s">
        <v>74</v>
      </c>
      <c r="BA636" t="s">
        <v>74</v>
      </c>
      <c r="BB636">
        <v>28</v>
      </c>
      <c r="BC636">
        <v>44</v>
      </c>
      <c r="BD636" t="s">
        <v>74</v>
      </c>
      <c r="BE636" t="s">
        <v>12235</v>
      </c>
      <c r="BF636" t="str">
        <f>HYPERLINK("http://dx.doi.org/10.1016/j.ocemod.2016.05.005","http://dx.doi.org/10.1016/j.ocemod.2016.05.005")</f>
        <v>http://dx.doi.org/10.1016/j.ocemod.2016.05.005</v>
      </c>
      <c r="BG636" t="s">
        <v>74</v>
      </c>
      <c r="BH636" t="s">
        <v>74</v>
      </c>
      <c r="BI636">
        <v>17</v>
      </c>
      <c r="BJ636" t="s">
        <v>8464</v>
      </c>
      <c r="BK636" t="s">
        <v>156</v>
      </c>
      <c r="BL636" t="s">
        <v>8464</v>
      </c>
      <c r="BM636" t="s">
        <v>12236</v>
      </c>
      <c r="BN636" t="s">
        <v>74</v>
      </c>
      <c r="BO636" t="s">
        <v>74</v>
      </c>
      <c r="BP636" t="s">
        <v>74</v>
      </c>
      <c r="BQ636" t="s">
        <v>74</v>
      </c>
      <c r="BR636" t="s">
        <v>105</v>
      </c>
      <c r="BS636" t="s">
        <v>12237</v>
      </c>
      <c r="BT636" t="str">
        <f>HYPERLINK("https%3A%2F%2Fwww.webofscience.com%2Fwos%2Fwoscc%2Ffull-record%2FWOS:000380673200003","View Full Record in Web of Science")</f>
        <v>View Full Record in Web of Science</v>
      </c>
    </row>
    <row r="637" spans="1:72" x14ac:dyDescent="0.15">
      <c r="A637" t="s">
        <v>72</v>
      </c>
      <c r="B637" t="s">
        <v>12238</v>
      </c>
      <c r="C637" t="s">
        <v>74</v>
      </c>
      <c r="D637" t="s">
        <v>74</v>
      </c>
      <c r="E637" t="s">
        <v>74</v>
      </c>
      <c r="F637" t="s">
        <v>12239</v>
      </c>
      <c r="G637" t="s">
        <v>74</v>
      </c>
      <c r="H637" t="s">
        <v>74</v>
      </c>
      <c r="I637" t="s">
        <v>12240</v>
      </c>
      <c r="J637" t="s">
        <v>8675</v>
      </c>
      <c r="K637" t="s">
        <v>74</v>
      </c>
      <c r="L637" t="s">
        <v>74</v>
      </c>
      <c r="M637" t="s">
        <v>78</v>
      </c>
      <c r="N637" t="s">
        <v>317</v>
      </c>
      <c r="O637" t="s">
        <v>74</v>
      </c>
      <c r="P637" t="s">
        <v>74</v>
      </c>
      <c r="Q637" t="s">
        <v>74</v>
      </c>
      <c r="R637" t="s">
        <v>74</v>
      </c>
      <c r="S637" t="s">
        <v>74</v>
      </c>
      <c r="T637" t="s">
        <v>12241</v>
      </c>
      <c r="U637" t="s">
        <v>12242</v>
      </c>
      <c r="V637" t="s">
        <v>12243</v>
      </c>
      <c r="W637" t="s">
        <v>12244</v>
      </c>
      <c r="X637" t="s">
        <v>12245</v>
      </c>
      <c r="Y637" t="s">
        <v>12246</v>
      </c>
      <c r="Z637" t="s">
        <v>12247</v>
      </c>
      <c r="AA637" t="s">
        <v>12248</v>
      </c>
      <c r="AB637" t="s">
        <v>12249</v>
      </c>
      <c r="AC637" t="s">
        <v>12250</v>
      </c>
      <c r="AD637" t="s">
        <v>12251</v>
      </c>
      <c r="AE637" t="s">
        <v>12252</v>
      </c>
      <c r="AF637" t="s">
        <v>74</v>
      </c>
      <c r="AG637">
        <v>48</v>
      </c>
      <c r="AH637">
        <v>94</v>
      </c>
      <c r="AI637">
        <v>96</v>
      </c>
      <c r="AJ637">
        <v>4</v>
      </c>
      <c r="AK637">
        <v>60</v>
      </c>
      <c r="AL637" t="s">
        <v>474</v>
      </c>
      <c r="AM637" t="s">
        <v>304</v>
      </c>
      <c r="AN637" t="s">
        <v>475</v>
      </c>
      <c r="AO637" t="s">
        <v>8687</v>
      </c>
      <c r="AP637" t="s">
        <v>8688</v>
      </c>
      <c r="AQ637" t="s">
        <v>74</v>
      </c>
      <c r="AR637" t="s">
        <v>8689</v>
      </c>
      <c r="AS637" t="s">
        <v>8690</v>
      </c>
      <c r="AT637" t="s">
        <v>9902</v>
      </c>
      <c r="AU637">
        <v>2016</v>
      </c>
      <c r="AV637">
        <v>104</v>
      </c>
      <c r="AW637" t="s">
        <v>74</v>
      </c>
      <c r="AX637" t="s">
        <v>74</v>
      </c>
      <c r="AY637" t="s">
        <v>74</v>
      </c>
      <c r="AZ637" t="s">
        <v>74</v>
      </c>
      <c r="BA637" t="s">
        <v>74</v>
      </c>
      <c r="BB637">
        <v>99</v>
      </c>
      <c r="BC637">
        <v>110</v>
      </c>
      <c r="BD637" t="s">
        <v>74</v>
      </c>
      <c r="BE637" t="s">
        <v>12253</v>
      </c>
      <c r="BF637" t="str">
        <f>HYPERLINK("http://dx.doi.org/10.1016/j.ocemod.2016.05.001","http://dx.doi.org/10.1016/j.ocemod.2016.05.001")</f>
        <v>http://dx.doi.org/10.1016/j.ocemod.2016.05.001</v>
      </c>
      <c r="BG637" t="s">
        <v>74</v>
      </c>
      <c r="BH637" t="s">
        <v>74</v>
      </c>
      <c r="BI637">
        <v>12</v>
      </c>
      <c r="BJ637" t="s">
        <v>8464</v>
      </c>
      <c r="BK637" t="s">
        <v>156</v>
      </c>
      <c r="BL637" t="s">
        <v>8464</v>
      </c>
      <c r="BM637" t="s">
        <v>12236</v>
      </c>
      <c r="BN637" t="s">
        <v>74</v>
      </c>
      <c r="BO637" t="s">
        <v>2392</v>
      </c>
      <c r="BP637" t="s">
        <v>74</v>
      </c>
      <c r="BQ637" t="s">
        <v>74</v>
      </c>
      <c r="BR637" t="s">
        <v>105</v>
      </c>
      <c r="BS637" t="s">
        <v>12254</v>
      </c>
      <c r="BT637" t="str">
        <f>HYPERLINK("https%3A%2F%2Fwww.webofscience.com%2Fwos%2Fwoscc%2Ffull-record%2FWOS:000380673200008","View Full Record in Web of Science")</f>
        <v>View Full Record in Web of Science</v>
      </c>
    </row>
    <row r="638" spans="1:72" x14ac:dyDescent="0.15">
      <c r="A638" t="s">
        <v>72</v>
      </c>
      <c r="B638" t="s">
        <v>12255</v>
      </c>
      <c r="C638" t="s">
        <v>74</v>
      </c>
      <c r="D638" t="s">
        <v>74</v>
      </c>
      <c r="E638" t="s">
        <v>74</v>
      </c>
      <c r="F638" t="s">
        <v>12256</v>
      </c>
      <c r="G638" t="s">
        <v>74</v>
      </c>
      <c r="H638" t="s">
        <v>74</v>
      </c>
      <c r="I638" t="s">
        <v>12257</v>
      </c>
      <c r="J638" t="s">
        <v>4215</v>
      </c>
      <c r="K638" t="s">
        <v>74</v>
      </c>
      <c r="L638" t="s">
        <v>74</v>
      </c>
      <c r="M638" t="s">
        <v>78</v>
      </c>
      <c r="N638" t="s">
        <v>79</v>
      </c>
      <c r="O638" t="s">
        <v>74</v>
      </c>
      <c r="P638" t="s">
        <v>74</v>
      </c>
      <c r="Q638" t="s">
        <v>74</v>
      </c>
      <c r="R638" t="s">
        <v>74</v>
      </c>
      <c r="S638" t="s">
        <v>74</v>
      </c>
      <c r="T638" t="s">
        <v>12258</v>
      </c>
      <c r="U638" t="s">
        <v>12259</v>
      </c>
      <c r="V638" t="s">
        <v>12260</v>
      </c>
      <c r="W638" t="s">
        <v>12261</v>
      </c>
      <c r="X638" t="s">
        <v>12262</v>
      </c>
      <c r="Y638" t="s">
        <v>12263</v>
      </c>
      <c r="Z638" t="s">
        <v>12264</v>
      </c>
      <c r="AA638" t="s">
        <v>12265</v>
      </c>
      <c r="AB638" t="s">
        <v>12266</v>
      </c>
      <c r="AC638" t="s">
        <v>12267</v>
      </c>
      <c r="AD638" t="s">
        <v>5755</v>
      </c>
      <c r="AE638" t="s">
        <v>12268</v>
      </c>
      <c r="AF638" t="s">
        <v>74</v>
      </c>
      <c r="AG638">
        <v>57</v>
      </c>
      <c r="AH638">
        <v>18</v>
      </c>
      <c r="AI638">
        <v>20</v>
      </c>
      <c r="AJ638">
        <v>1</v>
      </c>
      <c r="AK638">
        <v>14</v>
      </c>
      <c r="AL638" t="s">
        <v>149</v>
      </c>
      <c r="AM638" t="s">
        <v>123</v>
      </c>
      <c r="AN638" t="s">
        <v>150</v>
      </c>
      <c r="AO638" t="s">
        <v>4228</v>
      </c>
      <c r="AP638" t="s">
        <v>4229</v>
      </c>
      <c r="AQ638" t="s">
        <v>74</v>
      </c>
      <c r="AR638" t="s">
        <v>4215</v>
      </c>
      <c r="AS638" t="s">
        <v>4230</v>
      </c>
      <c r="AT638" t="s">
        <v>9902</v>
      </c>
      <c r="AU638">
        <v>2016</v>
      </c>
      <c r="AV638">
        <v>31</v>
      </c>
      <c r="AW638">
        <v>8</v>
      </c>
      <c r="AX638" t="s">
        <v>74</v>
      </c>
      <c r="AY638" t="s">
        <v>74</v>
      </c>
      <c r="AZ638" t="s">
        <v>74</v>
      </c>
      <c r="BA638" t="s">
        <v>74</v>
      </c>
      <c r="BB638">
        <v>1030</v>
      </c>
      <c r="BC638">
        <v>1040</v>
      </c>
      <c r="BD638" t="s">
        <v>74</v>
      </c>
      <c r="BE638" t="s">
        <v>12269</v>
      </c>
      <c r="BF638" t="str">
        <f>HYPERLINK("http://dx.doi.org/10.1002/2016PA002953","http://dx.doi.org/10.1002/2016PA002953")</f>
        <v>http://dx.doi.org/10.1002/2016PA002953</v>
      </c>
      <c r="BG638" t="s">
        <v>74</v>
      </c>
      <c r="BH638" t="s">
        <v>74</v>
      </c>
      <c r="BI638">
        <v>11</v>
      </c>
      <c r="BJ638" t="s">
        <v>4232</v>
      </c>
      <c r="BK638" t="s">
        <v>156</v>
      </c>
      <c r="BL638" t="s">
        <v>4233</v>
      </c>
      <c r="BM638" t="s">
        <v>12270</v>
      </c>
      <c r="BN638" t="s">
        <v>74</v>
      </c>
      <c r="BO638" t="s">
        <v>4859</v>
      </c>
      <c r="BP638" t="s">
        <v>74</v>
      </c>
      <c r="BQ638" t="s">
        <v>74</v>
      </c>
      <c r="BR638" t="s">
        <v>105</v>
      </c>
      <c r="BS638" t="s">
        <v>12271</v>
      </c>
      <c r="BT638" t="str">
        <f>HYPERLINK("https%3A%2F%2Fwww.webofscience.com%2Fwos%2Fwoscc%2Ffull-record%2FWOS:000383616500001","View Full Record in Web of Science")</f>
        <v>View Full Record in Web of Science</v>
      </c>
    </row>
    <row r="639" spans="1:72" x14ac:dyDescent="0.15">
      <c r="A639" t="s">
        <v>72</v>
      </c>
      <c r="B639" t="s">
        <v>12272</v>
      </c>
      <c r="C639" t="s">
        <v>74</v>
      </c>
      <c r="D639" t="s">
        <v>74</v>
      </c>
      <c r="E639" t="s">
        <v>74</v>
      </c>
      <c r="F639" t="s">
        <v>12273</v>
      </c>
      <c r="G639" t="s">
        <v>74</v>
      </c>
      <c r="H639" t="s">
        <v>74</v>
      </c>
      <c r="I639" t="s">
        <v>12274</v>
      </c>
      <c r="J639" t="s">
        <v>631</v>
      </c>
      <c r="K639" t="s">
        <v>74</v>
      </c>
      <c r="L639" t="s">
        <v>74</v>
      </c>
      <c r="M639" t="s">
        <v>78</v>
      </c>
      <c r="N639" t="s">
        <v>79</v>
      </c>
      <c r="O639" t="s">
        <v>74</v>
      </c>
      <c r="P639" t="s">
        <v>74</v>
      </c>
      <c r="Q639" t="s">
        <v>74</v>
      </c>
      <c r="R639" t="s">
        <v>74</v>
      </c>
      <c r="S639" t="s">
        <v>74</v>
      </c>
      <c r="T639" t="s">
        <v>12275</v>
      </c>
      <c r="U639" t="s">
        <v>12276</v>
      </c>
      <c r="V639" t="s">
        <v>12277</v>
      </c>
      <c r="W639" t="s">
        <v>12278</v>
      </c>
      <c r="X639" t="s">
        <v>12279</v>
      </c>
      <c r="Y639" t="s">
        <v>12280</v>
      </c>
      <c r="Z639" t="s">
        <v>12281</v>
      </c>
      <c r="AA639" t="s">
        <v>12282</v>
      </c>
      <c r="AB639" t="s">
        <v>12283</v>
      </c>
      <c r="AC639" t="s">
        <v>12284</v>
      </c>
      <c r="AD639" t="s">
        <v>12285</v>
      </c>
      <c r="AE639" t="s">
        <v>12286</v>
      </c>
      <c r="AF639" t="s">
        <v>74</v>
      </c>
      <c r="AG639">
        <v>52</v>
      </c>
      <c r="AH639">
        <v>6</v>
      </c>
      <c r="AI639">
        <v>6</v>
      </c>
      <c r="AJ639">
        <v>1</v>
      </c>
      <c r="AK639">
        <v>21</v>
      </c>
      <c r="AL639" t="s">
        <v>644</v>
      </c>
      <c r="AM639" t="s">
        <v>594</v>
      </c>
      <c r="AN639" t="s">
        <v>3025</v>
      </c>
      <c r="AO639" t="s">
        <v>646</v>
      </c>
      <c r="AP639" t="s">
        <v>647</v>
      </c>
      <c r="AQ639" t="s">
        <v>74</v>
      </c>
      <c r="AR639" t="s">
        <v>648</v>
      </c>
      <c r="AS639" t="s">
        <v>649</v>
      </c>
      <c r="AT639" t="s">
        <v>9902</v>
      </c>
      <c r="AU639">
        <v>2016</v>
      </c>
      <c r="AV639">
        <v>39</v>
      </c>
      <c r="AW639">
        <v>8</v>
      </c>
      <c r="AX639" t="s">
        <v>74</v>
      </c>
      <c r="AY639" t="s">
        <v>74</v>
      </c>
      <c r="AZ639" t="s">
        <v>74</v>
      </c>
      <c r="BA639" t="s">
        <v>74</v>
      </c>
      <c r="BB639">
        <v>1381</v>
      </c>
      <c r="BC639">
        <v>1397</v>
      </c>
      <c r="BD639" t="s">
        <v>74</v>
      </c>
      <c r="BE639" t="s">
        <v>12287</v>
      </c>
      <c r="BF639" t="str">
        <f>HYPERLINK("http://dx.doi.org/10.1007/s00300-015-1860-3","http://dx.doi.org/10.1007/s00300-015-1860-3")</f>
        <v>http://dx.doi.org/10.1007/s00300-015-1860-3</v>
      </c>
      <c r="BG639" t="s">
        <v>74</v>
      </c>
      <c r="BH639" t="s">
        <v>74</v>
      </c>
      <c r="BI639">
        <v>17</v>
      </c>
      <c r="BJ639" t="s">
        <v>652</v>
      </c>
      <c r="BK639" t="s">
        <v>156</v>
      </c>
      <c r="BL639" t="s">
        <v>653</v>
      </c>
      <c r="BM639" t="s">
        <v>9904</v>
      </c>
      <c r="BN639" t="s">
        <v>74</v>
      </c>
      <c r="BO639" t="s">
        <v>74</v>
      </c>
      <c r="BP639" t="s">
        <v>74</v>
      </c>
      <c r="BQ639" t="s">
        <v>74</v>
      </c>
      <c r="BR639" t="s">
        <v>105</v>
      </c>
      <c r="BS639" t="s">
        <v>12288</v>
      </c>
      <c r="BT639" t="str">
        <f>HYPERLINK("https%3A%2F%2Fwww.webofscience.com%2Fwos%2Fwoscc%2Ffull-record%2FWOS:000381405400003","View Full Record in Web of Science")</f>
        <v>View Full Record in Web of Science</v>
      </c>
    </row>
    <row r="640" spans="1:72" x14ac:dyDescent="0.15">
      <c r="A640" t="s">
        <v>72</v>
      </c>
      <c r="B640" t="s">
        <v>12289</v>
      </c>
      <c r="C640" t="s">
        <v>74</v>
      </c>
      <c r="D640" t="s">
        <v>74</v>
      </c>
      <c r="E640" t="s">
        <v>74</v>
      </c>
      <c r="F640" t="s">
        <v>12290</v>
      </c>
      <c r="G640" t="s">
        <v>74</v>
      </c>
      <c r="H640" t="s">
        <v>74</v>
      </c>
      <c r="I640" t="s">
        <v>12291</v>
      </c>
      <c r="J640" t="s">
        <v>12292</v>
      </c>
      <c r="K640" t="s">
        <v>74</v>
      </c>
      <c r="L640" t="s">
        <v>74</v>
      </c>
      <c r="M640" t="s">
        <v>78</v>
      </c>
      <c r="N640" t="s">
        <v>587</v>
      </c>
      <c r="O640" t="s">
        <v>74</v>
      </c>
      <c r="P640" t="s">
        <v>74</v>
      </c>
      <c r="Q640" t="s">
        <v>74</v>
      </c>
      <c r="R640" t="s">
        <v>74</v>
      </c>
      <c r="S640" t="s">
        <v>74</v>
      </c>
      <c r="T640" t="s">
        <v>74</v>
      </c>
      <c r="U640" t="s">
        <v>12293</v>
      </c>
      <c r="V640" t="s">
        <v>74</v>
      </c>
      <c r="W640" t="s">
        <v>12294</v>
      </c>
      <c r="X640" t="s">
        <v>12295</v>
      </c>
      <c r="Y640" t="s">
        <v>12296</v>
      </c>
      <c r="Z640" t="s">
        <v>12297</v>
      </c>
      <c r="AA640" t="s">
        <v>74</v>
      </c>
      <c r="AB640" t="s">
        <v>12298</v>
      </c>
      <c r="AC640" t="s">
        <v>74</v>
      </c>
      <c r="AD640" t="s">
        <v>74</v>
      </c>
      <c r="AE640" t="s">
        <v>74</v>
      </c>
      <c r="AF640" t="s">
        <v>74</v>
      </c>
      <c r="AG640">
        <v>8</v>
      </c>
      <c r="AH640">
        <v>8</v>
      </c>
      <c r="AI640">
        <v>10</v>
      </c>
      <c r="AJ640">
        <v>1</v>
      </c>
      <c r="AK640">
        <v>31</v>
      </c>
      <c r="AL640" t="s">
        <v>7119</v>
      </c>
      <c r="AM640" t="s">
        <v>7120</v>
      </c>
      <c r="AN640" t="s">
        <v>7121</v>
      </c>
      <c r="AO640" t="s">
        <v>12299</v>
      </c>
      <c r="AP640" t="s">
        <v>12300</v>
      </c>
      <c r="AQ640" t="s">
        <v>74</v>
      </c>
      <c r="AR640" t="s">
        <v>12301</v>
      </c>
      <c r="AS640" t="s">
        <v>12302</v>
      </c>
      <c r="AT640" t="s">
        <v>9902</v>
      </c>
      <c r="AU640">
        <v>2016</v>
      </c>
      <c r="AV640">
        <v>61</v>
      </c>
      <c r="AW640">
        <v>15</v>
      </c>
      <c r="AX640" t="s">
        <v>74</v>
      </c>
      <c r="AY640" t="s">
        <v>74</v>
      </c>
      <c r="AZ640" t="s">
        <v>74</v>
      </c>
      <c r="BA640" t="s">
        <v>74</v>
      </c>
      <c r="BB640">
        <v>1157</v>
      </c>
      <c r="BC640">
        <v>1159</v>
      </c>
      <c r="BD640" t="s">
        <v>74</v>
      </c>
      <c r="BE640" t="s">
        <v>12303</v>
      </c>
      <c r="BF640" t="str">
        <f>HYPERLINK("http://dx.doi.org/10.1007/s11434-016-1124-9","http://dx.doi.org/10.1007/s11434-016-1124-9")</f>
        <v>http://dx.doi.org/10.1007/s11434-016-1124-9</v>
      </c>
      <c r="BG640" t="s">
        <v>74</v>
      </c>
      <c r="BH640" t="s">
        <v>74</v>
      </c>
      <c r="BI640">
        <v>3</v>
      </c>
      <c r="BJ640" t="s">
        <v>719</v>
      </c>
      <c r="BK640" t="s">
        <v>156</v>
      </c>
      <c r="BL640" t="s">
        <v>720</v>
      </c>
      <c r="BM640" t="s">
        <v>12304</v>
      </c>
      <c r="BN640" t="s">
        <v>74</v>
      </c>
      <c r="BO640" t="s">
        <v>74</v>
      </c>
      <c r="BP640" t="s">
        <v>74</v>
      </c>
      <c r="BQ640" t="s">
        <v>74</v>
      </c>
      <c r="BR640" t="s">
        <v>105</v>
      </c>
      <c r="BS640" t="s">
        <v>12305</v>
      </c>
      <c r="BT640" t="str">
        <f>HYPERLINK("https%3A%2F%2Fwww.webofscience.com%2Fwos%2Fwoscc%2Ffull-record%2FWOS:000381095100003","View Full Record in Web of Science")</f>
        <v>View Full Record in Web of Science</v>
      </c>
    </row>
    <row r="641" spans="1:72" x14ac:dyDescent="0.15">
      <c r="A641" t="s">
        <v>72</v>
      </c>
      <c r="B641" t="s">
        <v>12306</v>
      </c>
      <c r="C641" t="s">
        <v>74</v>
      </c>
      <c r="D641" t="s">
        <v>74</v>
      </c>
      <c r="E641" t="s">
        <v>74</v>
      </c>
      <c r="F641" t="s">
        <v>12307</v>
      </c>
      <c r="G641" t="s">
        <v>74</v>
      </c>
      <c r="H641" t="s">
        <v>74</v>
      </c>
      <c r="I641" t="s">
        <v>12308</v>
      </c>
      <c r="J641" t="s">
        <v>2336</v>
      </c>
      <c r="K641" t="s">
        <v>74</v>
      </c>
      <c r="L641" t="s">
        <v>74</v>
      </c>
      <c r="M641" t="s">
        <v>78</v>
      </c>
      <c r="N641" t="s">
        <v>79</v>
      </c>
      <c r="O641" t="s">
        <v>74</v>
      </c>
      <c r="P641" t="s">
        <v>74</v>
      </c>
      <c r="Q641" t="s">
        <v>74</v>
      </c>
      <c r="R641" t="s">
        <v>74</v>
      </c>
      <c r="S641" t="s">
        <v>74</v>
      </c>
      <c r="T641" t="s">
        <v>74</v>
      </c>
      <c r="U641" t="s">
        <v>12309</v>
      </c>
      <c r="V641" t="s">
        <v>12310</v>
      </c>
      <c r="W641" t="s">
        <v>12311</v>
      </c>
      <c r="X641" t="s">
        <v>12312</v>
      </c>
      <c r="Y641" t="s">
        <v>12313</v>
      </c>
      <c r="Z641" t="s">
        <v>12314</v>
      </c>
      <c r="AA641" t="s">
        <v>12315</v>
      </c>
      <c r="AB641" t="s">
        <v>12316</v>
      </c>
      <c r="AC641" t="s">
        <v>12317</v>
      </c>
      <c r="AD641" t="s">
        <v>12318</v>
      </c>
      <c r="AE641" t="s">
        <v>12319</v>
      </c>
      <c r="AF641" t="s">
        <v>74</v>
      </c>
      <c r="AG641">
        <v>35</v>
      </c>
      <c r="AH641">
        <v>12</v>
      </c>
      <c r="AI641">
        <v>12</v>
      </c>
      <c r="AJ641">
        <v>0</v>
      </c>
      <c r="AK641">
        <v>2</v>
      </c>
      <c r="AL641" t="s">
        <v>149</v>
      </c>
      <c r="AM641" t="s">
        <v>123</v>
      </c>
      <c r="AN641" t="s">
        <v>150</v>
      </c>
      <c r="AO641" t="s">
        <v>74</v>
      </c>
      <c r="AP641" t="s">
        <v>2347</v>
      </c>
      <c r="AQ641" t="s">
        <v>74</v>
      </c>
      <c r="AR641" t="s">
        <v>2348</v>
      </c>
      <c r="AS641" t="s">
        <v>2349</v>
      </c>
      <c r="AT641" t="s">
        <v>9902</v>
      </c>
      <c r="AU641">
        <v>2016</v>
      </c>
      <c r="AV641">
        <v>14</v>
      </c>
      <c r="AW641">
        <v>8</v>
      </c>
      <c r="AX641" t="s">
        <v>74</v>
      </c>
      <c r="AY641" t="s">
        <v>74</v>
      </c>
      <c r="AZ641" t="s">
        <v>74</v>
      </c>
      <c r="BA641" t="s">
        <v>74</v>
      </c>
      <c r="BB641">
        <v>578</v>
      </c>
      <c r="BC641">
        <v>591</v>
      </c>
      <c r="BD641" t="s">
        <v>74</v>
      </c>
      <c r="BE641" t="s">
        <v>12320</v>
      </c>
      <c r="BF641" t="str">
        <f>HYPERLINK("http://dx.doi.org/10.1002/2016SW001404","http://dx.doi.org/10.1002/2016SW001404")</f>
        <v>http://dx.doi.org/10.1002/2016SW001404</v>
      </c>
      <c r="BG641" t="s">
        <v>74</v>
      </c>
      <c r="BH641" t="s">
        <v>74</v>
      </c>
      <c r="BI641">
        <v>14</v>
      </c>
      <c r="BJ641" t="s">
        <v>2351</v>
      </c>
      <c r="BK641" t="s">
        <v>156</v>
      </c>
      <c r="BL641" t="s">
        <v>2351</v>
      </c>
      <c r="BM641" t="s">
        <v>12321</v>
      </c>
      <c r="BN641" t="s">
        <v>74</v>
      </c>
      <c r="BO641" t="s">
        <v>206</v>
      </c>
      <c r="BP641" t="s">
        <v>74</v>
      </c>
      <c r="BQ641" t="s">
        <v>74</v>
      </c>
      <c r="BR641" t="s">
        <v>105</v>
      </c>
      <c r="BS641" t="s">
        <v>12322</v>
      </c>
      <c r="BT641" t="str">
        <f>HYPERLINK("https%3A%2F%2Fwww.webofscience.com%2Fwos%2Fwoscc%2Ffull-record%2FWOS:000387801400006","View Full Record in Web of Science")</f>
        <v>View Full Record in Web of Science</v>
      </c>
    </row>
    <row r="642" spans="1:72" x14ac:dyDescent="0.15">
      <c r="A642" t="s">
        <v>72</v>
      </c>
      <c r="B642" t="s">
        <v>12323</v>
      </c>
      <c r="C642" t="s">
        <v>74</v>
      </c>
      <c r="D642" t="s">
        <v>74</v>
      </c>
      <c r="E642" t="s">
        <v>74</v>
      </c>
      <c r="F642" t="s">
        <v>12324</v>
      </c>
      <c r="G642" t="s">
        <v>74</v>
      </c>
      <c r="H642" t="s">
        <v>74</v>
      </c>
      <c r="I642" t="s">
        <v>12325</v>
      </c>
      <c r="J642" t="s">
        <v>12326</v>
      </c>
      <c r="K642" t="s">
        <v>74</v>
      </c>
      <c r="L642" t="s">
        <v>74</v>
      </c>
      <c r="M642" t="s">
        <v>78</v>
      </c>
      <c r="N642" t="s">
        <v>2730</v>
      </c>
      <c r="O642" t="s">
        <v>12327</v>
      </c>
      <c r="P642" t="s">
        <v>12328</v>
      </c>
      <c r="Q642" t="s">
        <v>12329</v>
      </c>
      <c r="R642" t="s">
        <v>74</v>
      </c>
      <c r="S642" t="s">
        <v>74</v>
      </c>
      <c r="T642" t="s">
        <v>12330</v>
      </c>
      <c r="U642" t="s">
        <v>12331</v>
      </c>
      <c r="V642" t="s">
        <v>12332</v>
      </c>
      <c r="W642" t="s">
        <v>12333</v>
      </c>
      <c r="X642" t="s">
        <v>12334</v>
      </c>
      <c r="Y642" t="s">
        <v>12335</v>
      </c>
      <c r="Z642" t="s">
        <v>12336</v>
      </c>
      <c r="AA642" t="s">
        <v>74</v>
      </c>
      <c r="AB642" t="s">
        <v>74</v>
      </c>
      <c r="AC642" t="s">
        <v>74</v>
      </c>
      <c r="AD642" t="s">
        <v>74</v>
      </c>
      <c r="AE642" t="s">
        <v>74</v>
      </c>
      <c r="AF642" t="s">
        <v>74</v>
      </c>
      <c r="AG642">
        <v>40</v>
      </c>
      <c r="AH642">
        <v>1</v>
      </c>
      <c r="AI642">
        <v>1</v>
      </c>
      <c r="AJ642">
        <v>1</v>
      </c>
      <c r="AK642">
        <v>7</v>
      </c>
      <c r="AL642" t="s">
        <v>12337</v>
      </c>
      <c r="AM642" t="s">
        <v>250</v>
      </c>
      <c r="AN642" t="s">
        <v>12338</v>
      </c>
      <c r="AO642" t="s">
        <v>12339</v>
      </c>
      <c r="AP642" t="s">
        <v>12340</v>
      </c>
      <c r="AQ642" t="s">
        <v>74</v>
      </c>
      <c r="AR642" t="s">
        <v>12341</v>
      </c>
      <c r="AS642" t="s">
        <v>12342</v>
      </c>
      <c r="AT642" t="s">
        <v>9902</v>
      </c>
      <c r="AU642">
        <v>2016</v>
      </c>
      <c r="AV642">
        <v>27</v>
      </c>
      <c r="AW642">
        <v>4</v>
      </c>
      <c r="AX642" t="s">
        <v>74</v>
      </c>
      <c r="AY642" t="s">
        <v>74</v>
      </c>
      <c r="AZ642" t="s">
        <v>74</v>
      </c>
      <c r="BA642" t="s">
        <v>74</v>
      </c>
      <c r="BB642">
        <v>451</v>
      </c>
      <c r="BC642">
        <v>462</v>
      </c>
      <c r="BD642" t="s">
        <v>74</v>
      </c>
      <c r="BE642" t="s">
        <v>12343</v>
      </c>
      <c r="BF642" t="str">
        <f>HYPERLINK("http://dx.doi.org/10.3319/TAO.2015.12.24.01(ISRS)","http://dx.doi.org/10.3319/TAO.2015.12.24.01(ISRS)")</f>
        <v>http://dx.doi.org/10.3319/TAO.2015.12.24.01(ISRS)</v>
      </c>
      <c r="BG642" t="s">
        <v>74</v>
      </c>
      <c r="BH642" t="s">
        <v>74</v>
      </c>
      <c r="BI642">
        <v>12</v>
      </c>
      <c r="BJ642" t="s">
        <v>12344</v>
      </c>
      <c r="BK642" t="s">
        <v>2548</v>
      </c>
      <c r="BL642" t="s">
        <v>12345</v>
      </c>
      <c r="BM642" t="s">
        <v>12346</v>
      </c>
      <c r="BN642" t="s">
        <v>74</v>
      </c>
      <c r="BO642" t="s">
        <v>1467</v>
      </c>
      <c r="BP642" t="s">
        <v>74</v>
      </c>
      <c r="BQ642" t="s">
        <v>74</v>
      </c>
      <c r="BR642" t="s">
        <v>105</v>
      </c>
      <c r="BS642" t="s">
        <v>12347</v>
      </c>
      <c r="BT642" t="str">
        <f>HYPERLINK("https%3A%2F%2Fwww.webofscience.com%2Fwos%2Fwoscc%2Ffull-record%2FWOS:000384157500002","View Full Record in Web of Science")</f>
        <v>View Full Record in Web of Science</v>
      </c>
    </row>
    <row r="643" spans="1:72" x14ac:dyDescent="0.15">
      <c r="A643" t="s">
        <v>72</v>
      </c>
      <c r="B643" t="s">
        <v>12348</v>
      </c>
      <c r="C643" t="s">
        <v>74</v>
      </c>
      <c r="D643" t="s">
        <v>74</v>
      </c>
      <c r="E643" t="s">
        <v>74</v>
      </c>
      <c r="F643" t="s">
        <v>12349</v>
      </c>
      <c r="G643" t="s">
        <v>74</v>
      </c>
      <c r="H643" t="s">
        <v>74</v>
      </c>
      <c r="I643" t="s">
        <v>12350</v>
      </c>
      <c r="J643" t="s">
        <v>12351</v>
      </c>
      <c r="K643" t="s">
        <v>74</v>
      </c>
      <c r="L643" t="s">
        <v>74</v>
      </c>
      <c r="M643" t="s">
        <v>78</v>
      </c>
      <c r="N643" t="s">
        <v>79</v>
      </c>
      <c r="O643" t="s">
        <v>74</v>
      </c>
      <c r="P643" t="s">
        <v>74</v>
      </c>
      <c r="Q643" t="s">
        <v>74</v>
      </c>
      <c r="R643" t="s">
        <v>74</v>
      </c>
      <c r="S643" t="s">
        <v>74</v>
      </c>
      <c r="T643" t="s">
        <v>12352</v>
      </c>
      <c r="U643" t="s">
        <v>12353</v>
      </c>
      <c r="V643" t="s">
        <v>12354</v>
      </c>
      <c r="W643" t="s">
        <v>12355</v>
      </c>
      <c r="X643" t="s">
        <v>12356</v>
      </c>
      <c r="Y643" t="s">
        <v>12357</v>
      </c>
      <c r="Z643" t="s">
        <v>12358</v>
      </c>
      <c r="AA643" t="s">
        <v>74</v>
      </c>
      <c r="AB643" t="s">
        <v>12359</v>
      </c>
      <c r="AC643" t="s">
        <v>12360</v>
      </c>
      <c r="AD643" t="s">
        <v>12361</v>
      </c>
      <c r="AE643" t="s">
        <v>12362</v>
      </c>
      <c r="AF643" t="s">
        <v>74</v>
      </c>
      <c r="AG643">
        <v>67</v>
      </c>
      <c r="AH643">
        <v>7</v>
      </c>
      <c r="AI643">
        <v>7</v>
      </c>
      <c r="AJ643">
        <v>2</v>
      </c>
      <c r="AK643">
        <v>34</v>
      </c>
      <c r="AL643" t="s">
        <v>644</v>
      </c>
      <c r="AM643" t="s">
        <v>740</v>
      </c>
      <c r="AN643" t="s">
        <v>741</v>
      </c>
      <c r="AO643" t="s">
        <v>12363</v>
      </c>
      <c r="AP643" t="s">
        <v>12364</v>
      </c>
      <c r="AQ643" t="s">
        <v>74</v>
      </c>
      <c r="AR643" t="s">
        <v>12365</v>
      </c>
      <c r="AS643" t="s">
        <v>12366</v>
      </c>
      <c r="AT643" t="s">
        <v>9902</v>
      </c>
      <c r="AU643">
        <v>2016</v>
      </c>
      <c r="AV643">
        <v>227</v>
      </c>
      <c r="AW643">
        <v>8</v>
      </c>
      <c r="AX643" t="s">
        <v>74</v>
      </c>
      <c r="AY643" t="s">
        <v>74</v>
      </c>
      <c r="AZ643" t="s">
        <v>74</v>
      </c>
      <c r="BA643" t="s">
        <v>74</v>
      </c>
      <c r="BB643" t="s">
        <v>74</v>
      </c>
      <c r="BC643" t="s">
        <v>74</v>
      </c>
      <c r="BD643">
        <v>261</v>
      </c>
      <c r="BE643" t="s">
        <v>12367</v>
      </c>
      <c r="BF643" t="str">
        <f>HYPERLINK("http://dx.doi.org/10.1007/s11270-016-2957-1","http://dx.doi.org/10.1007/s11270-016-2957-1")</f>
        <v>http://dx.doi.org/10.1007/s11270-016-2957-1</v>
      </c>
      <c r="BG643" t="s">
        <v>74</v>
      </c>
      <c r="BH643" t="s">
        <v>74</v>
      </c>
      <c r="BI643">
        <v>10</v>
      </c>
      <c r="BJ643" t="s">
        <v>12368</v>
      </c>
      <c r="BK643" t="s">
        <v>156</v>
      </c>
      <c r="BL643" t="s">
        <v>12369</v>
      </c>
      <c r="BM643" t="s">
        <v>12370</v>
      </c>
      <c r="BN643" t="s">
        <v>74</v>
      </c>
      <c r="BO643" t="s">
        <v>74</v>
      </c>
      <c r="BP643" t="s">
        <v>74</v>
      </c>
      <c r="BQ643" t="s">
        <v>74</v>
      </c>
      <c r="BR643" t="s">
        <v>105</v>
      </c>
      <c r="BS643" t="s">
        <v>12371</v>
      </c>
      <c r="BT643" t="str">
        <f>HYPERLINK("https%3A%2F%2Fwww.webofscience.com%2Fwos%2Fwoscc%2Ffull-record%2FWOS:000381092800010","View Full Record in Web of Science")</f>
        <v>View Full Record in Web of Science</v>
      </c>
    </row>
    <row r="644" spans="1:72" x14ac:dyDescent="0.15">
      <c r="A644" t="s">
        <v>72</v>
      </c>
      <c r="B644" t="s">
        <v>12372</v>
      </c>
      <c r="C644" t="s">
        <v>74</v>
      </c>
      <c r="D644" t="s">
        <v>74</v>
      </c>
      <c r="E644" t="s">
        <v>74</v>
      </c>
      <c r="F644" t="s">
        <v>12373</v>
      </c>
      <c r="G644" t="s">
        <v>74</v>
      </c>
      <c r="H644" t="s">
        <v>74</v>
      </c>
      <c r="I644" t="s">
        <v>12374</v>
      </c>
      <c r="J644" t="s">
        <v>12375</v>
      </c>
      <c r="K644" t="s">
        <v>74</v>
      </c>
      <c r="L644" t="s">
        <v>74</v>
      </c>
      <c r="M644" t="s">
        <v>78</v>
      </c>
      <c r="N644" t="s">
        <v>79</v>
      </c>
      <c r="O644" t="s">
        <v>74</v>
      </c>
      <c r="P644" t="s">
        <v>74</v>
      </c>
      <c r="Q644" t="s">
        <v>74</v>
      </c>
      <c r="R644" t="s">
        <v>74</v>
      </c>
      <c r="S644" t="s">
        <v>74</v>
      </c>
      <c r="T644" t="s">
        <v>12376</v>
      </c>
      <c r="U644" t="s">
        <v>12377</v>
      </c>
      <c r="V644" t="s">
        <v>12378</v>
      </c>
      <c r="W644" t="s">
        <v>12379</v>
      </c>
      <c r="X644" t="s">
        <v>12380</v>
      </c>
      <c r="Y644" t="s">
        <v>12381</v>
      </c>
      <c r="Z644" t="s">
        <v>12382</v>
      </c>
      <c r="AA644" t="s">
        <v>74</v>
      </c>
      <c r="AB644" t="s">
        <v>12383</v>
      </c>
      <c r="AC644" t="s">
        <v>12384</v>
      </c>
      <c r="AD644" t="s">
        <v>12384</v>
      </c>
      <c r="AE644" t="s">
        <v>12385</v>
      </c>
      <c r="AF644" t="s">
        <v>74</v>
      </c>
      <c r="AG644">
        <v>60</v>
      </c>
      <c r="AH644">
        <v>5</v>
      </c>
      <c r="AI644">
        <v>6</v>
      </c>
      <c r="AJ644">
        <v>3</v>
      </c>
      <c r="AK644">
        <v>19</v>
      </c>
      <c r="AL644" t="s">
        <v>303</v>
      </c>
      <c r="AM644" t="s">
        <v>304</v>
      </c>
      <c r="AN644" t="s">
        <v>305</v>
      </c>
      <c r="AO644" t="s">
        <v>12386</v>
      </c>
      <c r="AP644" t="s">
        <v>12387</v>
      </c>
      <c r="AQ644" t="s">
        <v>74</v>
      </c>
      <c r="AR644" t="s">
        <v>12388</v>
      </c>
      <c r="AS644" t="s">
        <v>12389</v>
      </c>
      <c r="AT644" t="s">
        <v>9902</v>
      </c>
      <c r="AU644">
        <v>2016</v>
      </c>
      <c r="AV644">
        <v>120</v>
      </c>
      <c r="AW644" t="s">
        <v>74</v>
      </c>
      <c r="AX644" t="s">
        <v>74</v>
      </c>
      <c r="AY644" t="s">
        <v>74</v>
      </c>
      <c r="AZ644" t="s">
        <v>74</v>
      </c>
      <c r="BA644" t="s">
        <v>74</v>
      </c>
      <c r="BB644">
        <v>56</v>
      </c>
      <c r="BC644">
        <v>69</v>
      </c>
      <c r="BD644" t="s">
        <v>74</v>
      </c>
      <c r="BE644" t="s">
        <v>12390</v>
      </c>
      <c r="BF644" t="str">
        <f>HYPERLINK("http://dx.doi.org/10.1016/j.jafrearsci.2016.04.012","http://dx.doi.org/10.1016/j.jafrearsci.2016.04.012")</f>
        <v>http://dx.doi.org/10.1016/j.jafrearsci.2016.04.012</v>
      </c>
      <c r="BG644" t="s">
        <v>74</v>
      </c>
      <c r="BH644" t="s">
        <v>74</v>
      </c>
      <c r="BI644">
        <v>14</v>
      </c>
      <c r="BJ644" t="s">
        <v>352</v>
      </c>
      <c r="BK644" t="s">
        <v>156</v>
      </c>
      <c r="BL644" t="s">
        <v>177</v>
      </c>
      <c r="BM644" t="s">
        <v>12391</v>
      </c>
      <c r="BN644" t="s">
        <v>74</v>
      </c>
      <c r="BO644" t="s">
        <v>74</v>
      </c>
      <c r="BP644" t="s">
        <v>74</v>
      </c>
      <c r="BQ644" t="s">
        <v>74</v>
      </c>
      <c r="BR644" t="s">
        <v>105</v>
      </c>
      <c r="BS644" t="s">
        <v>12392</v>
      </c>
      <c r="BT644" t="str">
        <f>HYPERLINK("https%3A%2F%2Fwww.webofscience.com%2Fwos%2Fwoscc%2Ffull-record%2FWOS:000378967700006","View Full Record in Web of Science")</f>
        <v>View Full Record in Web of Science</v>
      </c>
    </row>
    <row r="645" spans="1:72" x14ac:dyDescent="0.15">
      <c r="A645" t="s">
        <v>72</v>
      </c>
      <c r="B645" t="s">
        <v>12393</v>
      </c>
      <c r="C645" t="s">
        <v>74</v>
      </c>
      <c r="D645" t="s">
        <v>74</v>
      </c>
      <c r="E645" t="s">
        <v>74</v>
      </c>
      <c r="F645" t="s">
        <v>12394</v>
      </c>
      <c r="G645" t="s">
        <v>74</v>
      </c>
      <c r="H645" t="s">
        <v>74</v>
      </c>
      <c r="I645" t="s">
        <v>12395</v>
      </c>
      <c r="J645" t="s">
        <v>11947</v>
      </c>
      <c r="K645" t="s">
        <v>74</v>
      </c>
      <c r="L645" t="s">
        <v>74</v>
      </c>
      <c r="M645" t="s">
        <v>78</v>
      </c>
      <c r="N645" t="s">
        <v>79</v>
      </c>
      <c r="O645" t="s">
        <v>74</v>
      </c>
      <c r="P645" t="s">
        <v>74</v>
      </c>
      <c r="Q645" t="s">
        <v>74</v>
      </c>
      <c r="R645" t="s">
        <v>74</v>
      </c>
      <c r="S645" t="s">
        <v>74</v>
      </c>
      <c r="T645" t="s">
        <v>12396</v>
      </c>
      <c r="U645" t="s">
        <v>12397</v>
      </c>
      <c r="V645" t="s">
        <v>12398</v>
      </c>
      <c r="W645" t="s">
        <v>12399</v>
      </c>
      <c r="X645" t="s">
        <v>12400</v>
      </c>
      <c r="Y645" t="s">
        <v>12401</v>
      </c>
      <c r="Z645" t="s">
        <v>12402</v>
      </c>
      <c r="AA645" t="s">
        <v>12403</v>
      </c>
      <c r="AB645" t="s">
        <v>12404</v>
      </c>
      <c r="AC645" t="s">
        <v>12405</v>
      </c>
      <c r="AD645" t="s">
        <v>12406</v>
      </c>
      <c r="AE645" t="s">
        <v>12407</v>
      </c>
      <c r="AF645" t="s">
        <v>74</v>
      </c>
      <c r="AG645">
        <v>12</v>
      </c>
      <c r="AH645">
        <v>8</v>
      </c>
      <c r="AI645">
        <v>8</v>
      </c>
      <c r="AJ645">
        <v>1</v>
      </c>
      <c r="AK645">
        <v>23</v>
      </c>
      <c r="AL645" t="s">
        <v>11959</v>
      </c>
      <c r="AM645" t="s">
        <v>594</v>
      </c>
      <c r="AN645" t="s">
        <v>3025</v>
      </c>
      <c r="AO645" t="s">
        <v>11960</v>
      </c>
      <c r="AP645" t="s">
        <v>11961</v>
      </c>
      <c r="AQ645" t="s">
        <v>74</v>
      </c>
      <c r="AR645" t="s">
        <v>11962</v>
      </c>
      <c r="AS645" t="s">
        <v>11963</v>
      </c>
      <c r="AT645" t="s">
        <v>9902</v>
      </c>
      <c r="AU645">
        <v>2016</v>
      </c>
      <c r="AV645">
        <v>184</v>
      </c>
      <c r="AW645" t="s">
        <v>10541</v>
      </c>
      <c r="AX645" t="s">
        <v>74</v>
      </c>
      <c r="AY645" t="s">
        <v>74</v>
      </c>
      <c r="AZ645" t="s">
        <v>74</v>
      </c>
      <c r="BA645" t="s">
        <v>74</v>
      </c>
      <c r="BB645">
        <v>754</v>
      </c>
      <c r="BC645">
        <v>758</v>
      </c>
      <c r="BD645" t="s">
        <v>74</v>
      </c>
      <c r="BE645" t="s">
        <v>12408</v>
      </c>
      <c r="BF645" t="str">
        <f>HYPERLINK("http://dx.doi.org/10.1007/s10909-015-1355-1","http://dx.doi.org/10.1007/s10909-015-1355-1")</f>
        <v>http://dx.doi.org/10.1007/s10909-015-1355-1</v>
      </c>
      <c r="BG645" t="s">
        <v>74</v>
      </c>
      <c r="BH645" t="s">
        <v>74</v>
      </c>
      <c r="BI645">
        <v>5</v>
      </c>
      <c r="BJ645" t="s">
        <v>11965</v>
      </c>
      <c r="BK645" t="s">
        <v>156</v>
      </c>
      <c r="BL645" t="s">
        <v>9776</v>
      </c>
      <c r="BM645" t="s">
        <v>11966</v>
      </c>
      <c r="BN645" t="s">
        <v>74</v>
      </c>
      <c r="BO645" t="s">
        <v>104</v>
      </c>
      <c r="BP645" t="s">
        <v>74</v>
      </c>
      <c r="BQ645" t="s">
        <v>74</v>
      </c>
      <c r="BR645" t="s">
        <v>105</v>
      </c>
      <c r="BS645" t="s">
        <v>12409</v>
      </c>
      <c r="BT645" t="str">
        <f>HYPERLINK("https%3A%2F%2Fwww.webofscience.com%2Fwos%2Fwoscc%2Ffull-record%2FWOS:000379022700035","View Full Record in Web of Science")</f>
        <v>View Full Record in Web of Science</v>
      </c>
    </row>
    <row r="646" spans="1:72" x14ac:dyDescent="0.15">
      <c r="A646" t="s">
        <v>72</v>
      </c>
      <c r="B646" t="s">
        <v>12410</v>
      </c>
      <c r="C646" t="s">
        <v>74</v>
      </c>
      <c r="D646" t="s">
        <v>74</v>
      </c>
      <c r="E646" t="s">
        <v>74</v>
      </c>
      <c r="F646" t="s">
        <v>12411</v>
      </c>
      <c r="G646" t="s">
        <v>74</v>
      </c>
      <c r="H646" t="s">
        <v>74</v>
      </c>
      <c r="I646" t="s">
        <v>12412</v>
      </c>
      <c r="J646" t="s">
        <v>12413</v>
      </c>
      <c r="K646" t="s">
        <v>74</v>
      </c>
      <c r="L646" t="s">
        <v>74</v>
      </c>
      <c r="M646" t="s">
        <v>78</v>
      </c>
      <c r="N646" t="s">
        <v>79</v>
      </c>
      <c r="O646" t="s">
        <v>74</v>
      </c>
      <c r="P646" t="s">
        <v>74</v>
      </c>
      <c r="Q646" t="s">
        <v>74</v>
      </c>
      <c r="R646" t="s">
        <v>74</v>
      </c>
      <c r="S646" t="s">
        <v>74</v>
      </c>
      <c r="T646" t="s">
        <v>12414</v>
      </c>
      <c r="U646" t="s">
        <v>12415</v>
      </c>
      <c r="V646" t="s">
        <v>12416</v>
      </c>
      <c r="W646" t="s">
        <v>12417</v>
      </c>
      <c r="X646" t="s">
        <v>12418</v>
      </c>
      <c r="Y646" t="s">
        <v>12419</v>
      </c>
      <c r="Z646" t="s">
        <v>12420</v>
      </c>
      <c r="AA646" t="s">
        <v>12421</v>
      </c>
      <c r="AB646" t="s">
        <v>12422</v>
      </c>
      <c r="AC646" t="s">
        <v>12423</v>
      </c>
      <c r="AD646" t="s">
        <v>12424</v>
      </c>
      <c r="AE646" t="s">
        <v>12425</v>
      </c>
      <c r="AF646" t="s">
        <v>74</v>
      </c>
      <c r="AG646">
        <v>73</v>
      </c>
      <c r="AH646">
        <v>63</v>
      </c>
      <c r="AI646">
        <v>71</v>
      </c>
      <c r="AJ646">
        <v>1</v>
      </c>
      <c r="AK646">
        <v>20</v>
      </c>
      <c r="AL646" t="s">
        <v>196</v>
      </c>
      <c r="AM646" t="s">
        <v>93</v>
      </c>
      <c r="AN646" t="s">
        <v>197</v>
      </c>
      <c r="AO646" t="s">
        <v>12426</v>
      </c>
      <c r="AP646" t="s">
        <v>12427</v>
      </c>
      <c r="AQ646" t="s">
        <v>74</v>
      </c>
      <c r="AR646" t="s">
        <v>12428</v>
      </c>
      <c r="AS646" t="s">
        <v>12429</v>
      </c>
      <c r="AT646" t="s">
        <v>9946</v>
      </c>
      <c r="AU646">
        <v>2016</v>
      </c>
      <c r="AV646">
        <v>378</v>
      </c>
      <c r="AW646" t="s">
        <v>74</v>
      </c>
      <c r="AX646" t="s">
        <v>74</v>
      </c>
      <c r="AY646" t="s">
        <v>74</v>
      </c>
      <c r="AZ646" t="s">
        <v>650</v>
      </c>
      <c r="BA646" t="s">
        <v>74</v>
      </c>
      <c r="BB646">
        <v>333</v>
      </c>
      <c r="BC646">
        <v>349</v>
      </c>
      <c r="BD646" t="s">
        <v>74</v>
      </c>
      <c r="BE646" t="s">
        <v>12430</v>
      </c>
      <c r="BF646" t="str">
        <f>HYPERLINK("http://dx.doi.org/10.1016/j.margeo.2015.10.008","http://dx.doi.org/10.1016/j.margeo.2015.10.008")</f>
        <v>http://dx.doi.org/10.1016/j.margeo.2015.10.008</v>
      </c>
      <c r="BG646" t="s">
        <v>74</v>
      </c>
      <c r="BH646" t="s">
        <v>74</v>
      </c>
      <c r="BI646">
        <v>17</v>
      </c>
      <c r="BJ646" t="s">
        <v>11313</v>
      </c>
      <c r="BK646" t="s">
        <v>156</v>
      </c>
      <c r="BL646" t="s">
        <v>11314</v>
      </c>
      <c r="BM646" t="s">
        <v>12431</v>
      </c>
      <c r="BN646" t="s">
        <v>74</v>
      </c>
      <c r="BO646" t="s">
        <v>104</v>
      </c>
      <c r="BP646" t="s">
        <v>74</v>
      </c>
      <c r="BQ646" t="s">
        <v>74</v>
      </c>
      <c r="BR646" t="s">
        <v>105</v>
      </c>
      <c r="BS646" t="s">
        <v>12432</v>
      </c>
      <c r="BT646" t="str">
        <f>HYPERLINK("https%3A%2F%2Fwww.webofscience.com%2Fwos%2Fwoscc%2Ffull-record%2FWOS:000378966200022","View Full Record in Web of Science")</f>
        <v>View Full Record in Web of Science</v>
      </c>
    </row>
    <row r="647" spans="1:72" x14ac:dyDescent="0.15">
      <c r="A647" t="s">
        <v>72</v>
      </c>
      <c r="B647" t="s">
        <v>12433</v>
      </c>
      <c r="C647" t="s">
        <v>74</v>
      </c>
      <c r="D647" t="s">
        <v>74</v>
      </c>
      <c r="E647" t="s">
        <v>74</v>
      </c>
      <c r="F647" t="s">
        <v>12434</v>
      </c>
      <c r="G647" t="s">
        <v>74</v>
      </c>
      <c r="H647" t="s">
        <v>74</v>
      </c>
      <c r="I647" t="s">
        <v>12435</v>
      </c>
      <c r="J647" t="s">
        <v>12413</v>
      </c>
      <c r="K647" t="s">
        <v>74</v>
      </c>
      <c r="L647" t="s">
        <v>74</v>
      </c>
      <c r="M647" t="s">
        <v>78</v>
      </c>
      <c r="N647" t="s">
        <v>79</v>
      </c>
      <c r="O647" t="s">
        <v>74</v>
      </c>
      <c r="P647" t="s">
        <v>74</v>
      </c>
      <c r="Q647" t="s">
        <v>74</v>
      </c>
      <c r="R647" t="s">
        <v>74</v>
      </c>
      <c r="S647" t="s">
        <v>74</v>
      </c>
      <c r="T647" t="s">
        <v>12436</v>
      </c>
      <c r="U647" t="s">
        <v>12437</v>
      </c>
      <c r="V647" t="s">
        <v>12438</v>
      </c>
      <c r="W647" t="s">
        <v>12439</v>
      </c>
      <c r="X647" t="s">
        <v>12440</v>
      </c>
      <c r="Y647" t="s">
        <v>12441</v>
      </c>
      <c r="Z647" t="s">
        <v>12442</v>
      </c>
      <c r="AA647" t="s">
        <v>12443</v>
      </c>
      <c r="AB647" t="s">
        <v>12444</v>
      </c>
      <c r="AC647" t="s">
        <v>12445</v>
      </c>
      <c r="AD647" t="s">
        <v>12446</v>
      </c>
      <c r="AE647" t="s">
        <v>12447</v>
      </c>
      <c r="AF647" t="s">
        <v>74</v>
      </c>
      <c r="AG647">
        <v>90</v>
      </c>
      <c r="AH647">
        <v>14</v>
      </c>
      <c r="AI647">
        <v>18</v>
      </c>
      <c r="AJ647">
        <v>1</v>
      </c>
      <c r="AK647">
        <v>20</v>
      </c>
      <c r="AL647" t="s">
        <v>196</v>
      </c>
      <c r="AM647" t="s">
        <v>93</v>
      </c>
      <c r="AN647" t="s">
        <v>197</v>
      </c>
      <c r="AO647" t="s">
        <v>12426</v>
      </c>
      <c r="AP647" t="s">
        <v>12427</v>
      </c>
      <c r="AQ647" t="s">
        <v>74</v>
      </c>
      <c r="AR647" t="s">
        <v>12428</v>
      </c>
      <c r="AS647" t="s">
        <v>12429</v>
      </c>
      <c r="AT647" t="s">
        <v>9946</v>
      </c>
      <c r="AU647">
        <v>2016</v>
      </c>
      <c r="AV647">
        <v>378</v>
      </c>
      <c r="AW647" t="s">
        <v>74</v>
      </c>
      <c r="AX647" t="s">
        <v>74</v>
      </c>
      <c r="AY647" t="s">
        <v>74</v>
      </c>
      <c r="AZ647" t="s">
        <v>650</v>
      </c>
      <c r="BA647" t="s">
        <v>74</v>
      </c>
      <c r="BB647">
        <v>361</v>
      </c>
      <c r="BC647">
        <v>373</v>
      </c>
      <c r="BD647" t="s">
        <v>74</v>
      </c>
      <c r="BE647" t="s">
        <v>12448</v>
      </c>
      <c r="BF647" t="str">
        <f>HYPERLINK("http://dx.doi.org/10.1016/j.margeo.2016.01.011","http://dx.doi.org/10.1016/j.margeo.2016.01.011")</f>
        <v>http://dx.doi.org/10.1016/j.margeo.2016.01.011</v>
      </c>
      <c r="BG647" t="s">
        <v>74</v>
      </c>
      <c r="BH647" t="s">
        <v>74</v>
      </c>
      <c r="BI647">
        <v>13</v>
      </c>
      <c r="BJ647" t="s">
        <v>11313</v>
      </c>
      <c r="BK647" t="s">
        <v>156</v>
      </c>
      <c r="BL647" t="s">
        <v>11314</v>
      </c>
      <c r="BM647" t="s">
        <v>12431</v>
      </c>
      <c r="BN647" t="s">
        <v>74</v>
      </c>
      <c r="BO647" t="s">
        <v>74</v>
      </c>
      <c r="BP647" t="s">
        <v>74</v>
      </c>
      <c r="BQ647" t="s">
        <v>74</v>
      </c>
      <c r="BR647" t="s">
        <v>105</v>
      </c>
      <c r="BS647" t="s">
        <v>12449</v>
      </c>
      <c r="BT647" t="str">
        <f>HYPERLINK("https%3A%2F%2Fwww.webofscience.com%2Fwos%2Fwoscc%2Ffull-record%2FWOS:000378966200024","View Full Record in Web of Science")</f>
        <v>View Full Record in Web of Science</v>
      </c>
    </row>
    <row r="648" spans="1:72" x14ac:dyDescent="0.15">
      <c r="A648" t="s">
        <v>72</v>
      </c>
      <c r="B648" t="s">
        <v>12450</v>
      </c>
      <c r="C648" t="s">
        <v>74</v>
      </c>
      <c r="D648" t="s">
        <v>74</v>
      </c>
      <c r="E648" t="s">
        <v>74</v>
      </c>
      <c r="F648" t="s">
        <v>12451</v>
      </c>
      <c r="G648" t="s">
        <v>74</v>
      </c>
      <c r="H648" t="s">
        <v>74</v>
      </c>
      <c r="I648" t="s">
        <v>12452</v>
      </c>
      <c r="J648" t="s">
        <v>12453</v>
      </c>
      <c r="K648" t="s">
        <v>74</v>
      </c>
      <c r="L648" t="s">
        <v>74</v>
      </c>
      <c r="M648" t="s">
        <v>78</v>
      </c>
      <c r="N648" t="s">
        <v>79</v>
      </c>
      <c r="O648" t="s">
        <v>74</v>
      </c>
      <c r="P648" t="s">
        <v>74</v>
      </c>
      <c r="Q648" t="s">
        <v>74</v>
      </c>
      <c r="R648" t="s">
        <v>74</v>
      </c>
      <c r="S648" t="s">
        <v>74</v>
      </c>
      <c r="T648" t="s">
        <v>12454</v>
      </c>
      <c r="U648" t="s">
        <v>12455</v>
      </c>
      <c r="V648" t="s">
        <v>12456</v>
      </c>
      <c r="W648" t="s">
        <v>12457</v>
      </c>
      <c r="X648" t="s">
        <v>12458</v>
      </c>
      <c r="Y648" t="s">
        <v>12459</v>
      </c>
      <c r="Z648" t="s">
        <v>12460</v>
      </c>
      <c r="AA648" t="s">
        <v>12461</v>
      </c>
      <c r="AB648" t="s">
        <v>12462</v>
      </c>
      <c r="AC648" t="s">
        <v>12463</v>
      </c>
      <c r="AD648" t="s">
        <v>12464</v>
      </c>
      <c r="AE648" t="s">
        <v>12465</v>
      </c>
      <c r="AF648" t="s">
        <v>74</v>
      </c>
      <c r="AG648">
        <v>27</v>
      </c>
      <c r="AH648">
        <v>8</v>
      </c>
      <c r="AI648">
        <v>8</v>
      </c>
      <c r="AJ648">
        <v>0</v>
      </c>
      <c r="AK648">
        <v>4</v>
      </c>
      <c r="AL648" t="s">
        <v>644</v>
      </c>
      <c r="AM648" t="s">
        <v>740</v>
      </c>
      <c r="AN648" t="s">
        <v>741</v>
      </c>
      <c r="AO648" t="s">
        <v>12466</v>
      </c>
      <c r="AP648" t="s">
        <v>12467</v>
      </c>
      <c r="AQ648" t="s">
        <v>74</v>
      </c>
      <c r="AR648" t="s">
        <v>12468</v>
      </c>
      <c r="AS648" t="s">
        <v>12469</v>
      </c>
      <c r="AT648" t="s">
        <v>9902</v>
      </c>
      <c r="AU648">
        <v>2016</v>
      </c>
      <c r="AV648">
        <v>62</v>
      </c>
      <c r="AW648">
        <v>4</v>
      </c>
      <c r="AX648" t="s">
        <v>74</v>
      </c>
      <c r="AY648" t="s">
        <v>74</v>
      </c>
      <c r="AZ648" t="s">
        <v>74</v>
      </c>
      <c r="BA648" t="s">
        <v>74</v>
      </c>
      <c r="BB648">
        <v>757</v>
      </c>
      <c r="BC648">
        <v>770</v>
      </c>
      <c r="BD648" t="s">
        <v>74</v>
      </c>
      <c r="BE648" t="s">
        <v>12470</v>
      </c>
      <c r="BF648" t="str">
        <f>HYPERLINK("http://dx.doi.org/10.1007/s11235-015-0110-x","http://dx.doi.org/10.1007/s11235-015-0110-x")</f>
        <v>http://dx.doi.org/10.1007/s11235-015-0110-x</v>
      </c>
      <c r="BG648" t="s">
        <v>74</v>
      </c>
      <c r="BH648" t="s">
        <v>74</v>
      </c>
      <c r="BI648">
        <v>14</v>
      </c>
      <c r="BJ648" t="s">
        <v>12471</v>
      </c>
      <c r="BK648" t="s">
        <v>156</v>
      </c>
      <c r="BL648" t="s">
        <v>12471</v>
      </c>
      <c r="BM648" t="s">
        <v>12472</v>
      </c>
      <c r="BN648" t="s">
        <v>74</v>
      </c>
      <c r="BO648" t="s">
        <v>74</v>
      </c>
      <c r="BP648" t="s">
        <v>74</v>
      </c>
      <c r="BQ648" t="s">
        <v>74</v>
      </c>
      <c r="BR648" t="s">
        <v>105</v>
      </c>
      <c r="BS648" t="s">
        <v>12473</v>
      </c>
      <c r="BT648" t="str">
        <f>HYPERLINK("https%3A%2F%2Fwww.webofscience.com%2Fwos%2Fwoscc%2Ffull-record%2FWOS:000378902300009","View Full Record in Web of Science")</f>
        <v>View Full Record in Web of Science</v>
      </c>
    </row>
    <row r="649" spans="1:72" x14ac:dyDescent="0.15">
      <c r="A649" t="s">
        <v>72</v>
      </c>
      <c r="B649" t="s">
        <v>12474</v>
      </c>
      <c r="C649" t="s">
        <v>74</v>
      </c>
      <c r="D649" t="s">
        <v>74</v>
      </c>
      <c r="E649" t="s">
        <v>74</v>
      </c>
      <c r="F649" t="s">
        <v>12475</v>
      </c>
      <c r="G649" t="s">
        <v>74</v>
      </c>
      <c r="H649" t="s">
        <v>74</v>
      </c>
      <c r="I649" t="s">
        <v>12476</v>
      </c>
      <c r="J649" t="s">
        <v>6230</v>
      </c>
      <c r="K649" t="s">
        <v>74</v>
      </c>
      <c r="L649" t="s">
        <v>74</v>
      </c>
      <c r="M649" t="s">
        <v>78</v>
      </c>
      <c r="N649" t="s">
        <v>79</v>
      </c>
      <c r="O649" t="s">
        <v>74</v>
      </c>
      <c r="P649" t="s">
        <v>74</v>
      </c>
      <c r="Q649" t="s">
        <v>74</v>
      </c>
      <c r="R649" t="s">
        <v>74</v>
      </c>
      <c r="S649" t="s">
        <v>74</v>
      </c>
      <c r="T649" t="s">
        <v>12477</v>
      </c>
      <c r="U649" t="s">
        <v>12478</v>
      </c>
      <c r="V649" t="s">
        <v>12479</v>
      </c>
      <c r="W649" t="s">
        <v>12480</v>
      </c>
      <c r="X649" t="s">
        <v>12481</v>
      </c>
      <c r="Y649" t="s">
        <v>12482</v>
      </c>
      <c r="Z649" t="s">
        <v>12483</v>
      </c>
      <c r="AA649" t="s">
        <v>12484</v>
      </c>
      <c r="AB649" t="s">
        <v>12485</v>
      </c>
      <c r="AC649" t="s">
        <v>74</v>
      </c>
      <c r="AD649" t="s">
        <v>74</v>
      </c>
      <c r="AE649" t="s">
        <v>74</v>
      </c>
      <c r="AF649" t="s">
        <v>74</v>
      </c>
      <c r="AG649">
        <v>204</v>
      </c>
      <c r="AH649">
        <v>75</v>
      </c>
      <c r="AI649">
        <v>87</v>
      </c>
      <c r="AJ649">
        <v>1</v>
      </c>
      <c r="AK649">
        <v>21</v>
      </c>
      <c r="AL649" t="s">
        <v>474</v>
      </c>
      <c r="AM649" t="s">
        <v>304</v>
      </c>
      <c r="AN649" t="s">
        <v>475</v>
      </c>
      <c r="AO649" t="s">
        <v>6242</v>
      </c>
      <c r="AP649" t="s">
        <v>6243</v>
      </c>
      <c r="AQ649" t="s">
        <v>74</v>
      </c>
      <c r="AR649" t="s">
        <v>6244</v>
      </c>
      <c r="AS649" t="s">
        <v>6245</v>
      </c>
      <c r="AT649" t="s">
        <v>9902</v>
      </c>
      <c r="AU649">
        <v>2016</v>
      </c>
      <c r="AV649">
        <v>34</v>
      </c>
      <c r="AW649" t="s">
        <v>74</v>
      </c>
      <c r="AX649" t="s">
        <v>74</v>
      </c>
      <c r="AY649" t="s">
        <v>74</v>
      </c>
      <c r="AZ649" t="s">
        <v>74</v>
      </c>
      <c r="BA649" t="s">
        <v>74</v>
      </c>
      <c r="BB649">
        <v>1</v>
      </c>
      <c r="BC649">
        <v>11</v>
      </c>
      <c r="BD649" t="s">
        <v>74</v>
      </c>
      <c r="BE649" t="s">
        <v>12486</v>
      </c>
      <c r="BF649" t="str">
        <f>HYPERLINK("http://dx.doi.org/10.1016/j.quageo.2016.03.002","http://dx.doi.org/10.1016/j.quageo.2016.03.002")</f>
        <v>http://dx.doi.org/10.1016/j.quageo.2016.03.002</v>
      </c>
      <c r="BG649" t="s">
        <v>74</v>
      </c>
      <c r="BH649" t="s">
        <v>74</v>
      </c>
      <c r="BI649">
        <v>11</v>
      </c>
      <c r="BJ649" t="s">
        <v>203</v>
      </c>
      <c r="BK649" t="s">
        <v>156</v>
      </c>
      <c r="BL649" t="s">
        <v>204</v>
      </c>
      <c r="BM649" t="s">
        <v>12487</v>
      </c>
      <c r="BN649" t="s">
        <v>74</v>
      </c>
      <c r="BO649" t="s">
        <v>74</v>
      </c>
      <c r="BP649" t="s">
        <v>74</v>
      </c>
      <c r="BQ649" t="s">
        <v>74</v>
      </c>
      <c r="BR649" t="s">
        <v>105</v>
      </c>
      <c r="BS649" t="s">
        <v>12488</v>
      </c>
      <c r="BT649" t="str">
        <f>HYPERLINK("https%3A%2F%2Fwww.webofscience.com%2Fwos%2Fwoscc%2Ffull-record%2FWOS:000378364100001","View Full Record in Web of Science")</f>
        <v>View Full Record in Web of Science</v>
      </c>
    </row>
    <row r="650" spans="1:72" x14ac:dyDescent="0.15">
      <c r="A650" t="s">
        <v>72</v>
      </c>
      <c r="B650" t="s">
        <v>12489</v>
      </c>
      <c r="C650" t="s">
        <v>74</v>
      </c>
      <c r="D650" t="s">
        <v>74</v>
      </c>
      <c r="E650" t="s">
        <v>74</v>
      </c>
      <c r="F650" t="s">
        <v>12490</v>
      </c>
      <c r="G650" t="s">
        <v>74</v>
      </c>
      <c r="H650" t="s">
        <v>74</v>
      </c>
      <c r="I650" t="s">
        <v>12491</v>
      </c>
      <c r="J650" t="s">
        <v>5263</v>
      </c>
      <c r="K650" t="s">
        <v>74</v>
      </c>
      <c r="L650" t="s">
        <v>74</v>
      </c>
      <c r="M650" t="s">
        <v>78</v>
      </c>
      <c r="N650" t="s">
        <v>79</v>
      </c>
      <c r="O650" t="s">
        <v>74</v>
      </c>
      <c r="P650" t="s">
        <v>74</v>
      </c>
      <c r="Q650" t="s">
        <v>74</v>
      </c>
      <c r="R650" t="s">
        <v>74</v>
      </c>
      <c r="S650" t="s">
        <v>74</v>
      </c>
      <c r="T650" t="s">
        <v>12492</v>
      </c>
      <c r="U650" t="s">
        <v>12493</v>
      </c>
      <c r="V650" t="s">
        <v>12494</v>
      </c>
      <c r="W650" t="s">
        <v>12495</v>
      </c>
      <c r="X650" t="s">
        <v>12496</v>
      </c>
      <c r="Y650" t="s">
        <v>12497</v>
      </c>
      <c r="Z650" t="s">
        <v>12498</v>
      </c>
      <c r="AA650" t="s">
        <v>12499</v>
      </c>
      <c r="AB650" t="s">
        <v>74</v>
      </c>
      <c r="AC650" t="s">
        <v>12500</v>
      </c>
      <c r="AD650" t="s">
        <v>12501</v>
      </c>
      <c r="AE650" t="s">
        <v>12502</v>
      </c>
      <c r="AF650" t="s">
        <v>74</v>
      </c>
      <c r="AG650">
        <v>76</v>
      </c>
      <c r="AH650">
        <v>29</v>
      </c>
      <c r="AI650">
        <v>31</v>
      </c>
      <c r="AJ650">
        <v>2</v>
      </c>
      <c r="AK650">
        <v>52</v>
      </c>
      <c r="AL650" t="s">
        <v>1437</v>
      </c>
      <c r="AM650" t="s">
        <v>594</v>
      </c>
      <c r="AN650" t="s">
        <v>1438</v>
      </c>
      <c r="AO650" t="s">
        <v>5275</v>
      </c>
      <c r="AP650" t="s">
        <v>5276</v>
      </c>
      <c r="AQ650" t="s">
        <v>74</v>
      </c>
      <c r="AR650" t="s">
        <v>5277</v>
      </c>
      <c r="AS650" t="s">
        <v>5278</v>
      </c>
      <c r="AT650" t="s">
        <v>9902</v>
      </c>
      <c r="AU650">
        <v>2016</v>
      </c>
      <c r="AV650">
        <v>181</v>
      </c>
      <c r="AW650" t="s">
        <v>74</v>
      </c>
      <c r="AX650" t="s">
        <v>74</v>
      </c>
      <c r="AY650" t="s">
        <v>74</v>
      </c>
      <c r="AZ650" t="s">
        <v>74</v>
      </c>
      <c r="BA650" t="s">
        <v>74</v>
      </c>
      <c r="BB650">
        <v>281</v>
      </c>
      <c r="BC650">
        <v>292</v>
      </c>
      <c r="BD650" t="s">
        <v>74</v>
      </c>
      <c r="BE650" t="s">
        <v>12503</v>
      </c>
      <c r="BF650" t="str">
        <f>HYPERLINK("http://dx.doi.org/10.1016/j.rse.2016.04.005","http://dx.doi.org/10.1016/j.rse.2016.04.005")</f>
        <v>http://dx.doi.org/10.1016/j.rse.2016.04.005</v>
      </c>
      <c r="BG650" t="s">
        <v>74</v>
      </c>
      <c r="BH650" t="s">
        <v>74</v>
      </c>
      <c r="BI650">
        <v>12</v>
      </c>
      <c r="BJ650" t="s">
        <v>5280</v>
      </c>
      <c r="BK650" t="s">
        <v>156</v>
      </c>
      <c r="BL650" t="s">
        <v>5281</v>
      </c>
      <c r="BM650" t="s">
        <v>12504</v>
      </c>
      <c r="BN650" t="s">
        <v>74</v>
      </c>
      <c r="BO650" t="s">
        <v>104</v>
      </c>
      <c r="BP650" t="s">
        <v>74</v>
      </c>
      <c r="BQ650" t="s">
        <v>74</v>
      </c>
      <c r="BR650" t="s">
        <v>105</v>
      </c>
      <c r="BS650" t="s">
        <v>12505</v>
      </c>
      <c r="BT650" t="str">
        <f>HYPERLINK("https%3A%2F%2Fwww.webofscience.com%2Fwos%2Fwoscc%2Ffull-record%2FWOS:000377730200022","View Full Record in Web of Science")</f>
        <v>View Full Record in Web of Science</v>
      </c>
    </row>
    <row r="651" spans="1:72" x14ac:dyDescent="0.15">
      <c r="A651" t="s">
        <v>72</v>
      </c>
      <c r="B651" t="s">
        <v>12506</v>
      </c>
      <c r="C651" t="s">
        <v>74</v>
      </c>
      <c r="D651" t="s">
        <v>74</v>
      </c>
      <c r="E651" t="s">
        <v>74</v>
      </c>
      <c r="F651" t="s">
        <v>12507</v>
      </c>
      <c r="G651" t="s">
        <v>74</v>
      </c>
      <c r="H651" t="s">
        <v>74</v>
      </c>
      <c r="I651" t="s">
        <v>12508</v>
      </c>
      <c r="J651" t="s">
        <v>77</v>
      </c>
      <c r="K651" t="s">
        <v>74</v>
      </c>
      <c r="L651" t="s">
        <v>74</v>
      </c>
      <c r="M651" t="s">
        <v>78</v>
      </c>
      <c r="N651" t="s">
        <v>79</v>
      </c>
      <c r="O651" t="s">
        <v>74</v>
      </c>
      <c r="P651" t="s">
        <v>74</v>
      </c>
      <c r="Q651" t="s">
        <v>74</v>
      </c>
      <c r="R651" t="s">
        <v>74</v>
      </c>
      <c r="S651" t="s">
        <v>74</v>
      </c>
      <c r="T651" t="s">
        <v>12509</v>
      </c>
      <c r="U651" t="s">
        <v>12510</v>
      </c>
      <c r="V651" t="s">
        <v>12511</v>
      </c>
      <c r="W651" t="s">
        <v>12512</v>
      </c>
      <c r="X651" t="s">
        <v>7552</v>
      </c>
      <c r="Y651" t="s">
        <v>12513</v>
      </c>
      <c r="Z651" t="s">
        <v>12514</v>
      </c>
      <c r="AA651" t="s">
        <v>12515</v>
      </c>
      <c r="AB651" t="s">
        <v>12516</v>
      </c>
      <c r="AC651" t="s">
        <v>74</v>
      </c>
      <c r="AD651" t="s">
        <v>74</v>
      </c>
      <c r="AE651" t="s">
        <v>74</v>
      </c>
      <c r="AF651" t="s">
        <v>74</v>
      </c>
      <c r="AG651">
        <v>38</v>
      </c>
      <c r="AH651">
        <v>10</v>
      </c>
      <c r="AI651">
        <v>11</v>
      </c>
      <c r="AJ651">
        <v>0</v>
      </c>
      <c r="AK651">
        <v>14</v>
      </c>
      <c r="AL651" t="s">
        <v>196</v>
      </c>
      <c r="AM651" t="s">
        <v>93</v>
      </c>
      <c r="AN651" t="s">
        <v>197</v>
      </c>
      <c r="AO651" t="s">
        <v>95</v>
      </c>
      <c r="AP651" t="s">
        <v>96</v>
      </c>
      <c r="AQ651" t="s">
        <v>74</v>
      </c>
      <c r="AR651" t="s">
        <v>97</v>
      </c>
      <c r="AS651" t="s">
        <v>98</v>
      </c>
      <c r="AT651" t="s">
        <v>9902</v>
      </c>
      <c r="AU651">
        <v>2016</v>
      </c>
      <c r="AV651">
        <v>180</v>
      </c>
      <c r="AW651" t="s">
        <v>74</v>
      </c>
      <c r="AX651" t="s">
        <v>74</v>
      </c>
      <c r="AY651" t="s">
        <v>74</v>
      </c>
      <c r="AZ651" t="s">
        <v>650</v>
      </c>
      <c r="BA651" t="s">
        <v>74</v>
      </c>
      <c r="BB651">
        <v>67</v>
      </c>
      <c r="BC651">
        <v>76</v>
      </c>
      <c r="BD651" t="s">
        <v>74</v>
      </c>
      <c r="BE651" t="s">
        <v>12517</v>
      </c>
      <c r="BF651" t="str">
        <f>HYPERLINK("http://dx.doi.org/10.1016/j.fishres.2015.08.016","http://dx.doi.org/10.1016/j.fishres.2015.08.016")</f>
        <v>http://dx.doi.org/10.1016/j.fishres.2015.08.016</v>
      </c>
      <c r="BG651" t="s">
        <v>74</v>
      </c>
      <c r="BH651" t="s">
        <v>74</v>
      </c>
      <c r="BI651">
        <v>10</v>
      </c>
      <c r="BJ651" t="s">
        <v>101</v>
      </c>
      <c r="BK651" t="s">
        <v>156</v>
      </c>
      <c r="BL651" t="s">
        <v>101</v>
      </c>
      <c r="BM651" t="s">
        <v>12518</v>
      </c>
      <c r="BN651" t="s">
        <v>74</v>
      </c>
      <c r="BO651" t="s">
        <v>74</v>
      </c>
      <c r="BP651" t="s">
        <v>74</v>
      </c>
      <c r="BQ651" t="s">
        <v>74</v>
      </c>
      <c r="BR651" t="s">
        <v>105</v>
      </c>
      <c r="BS651" t="s">
        <v>12519</v>
      </c>
      <c r="BT651" t="str">
        <f>HYPERLINK("https%3A%2F%2Fwww.webofscience.com%2Fwos%2Fwoscc%2Ffull-record%2FWOS:000376544000007","View Full Record in Web of Science")</f>
        <v>View Full Record in Web of Science</v>
      </c>
    </row>
    <row r="652" spans="1:72" x14ac:dyDescent="0.15">
      <c r="A652" t="s">
        <v>72</v>
      </c>
      <c r="B652" t="s">
        <v>12520</v>
      </c>
      <c r="C652" t="s">
        <v>74</v>
      </c>
      <c r="D652" t="s">
        <v>74</v>
      </c>
      <c r="E652" t="s">
        <v>74</v>
      </c>
      <c r="F652" t="s">
        <v>12521</v>
      </c>
      <c r="G652" t="s">
        <v>74</v>
      </c>
      <c r="H652" t="s">
        <v>74</v>
      </c>
      <c r="I652" t="s">
        <v>12522</v>
      </c>
      <c r="J652" t="s">
        <v>12523</v>
      </c>
      <c r="K652" t="s">
        <v>74</v>
      </c>
      <c r="L652" t="s">
        <v>74</v>
      </c>
      <c r="M652" t="s">
        <v>78</v>
      </c>
      <c r="N652" t="s">
        <v>79</v>
      </c>
      <c r="O652" t="s">
        <v>74</v>
      </c>
      <c r="P652" t="s">
        <v>74</v>
      </c>
      <c r="Q652" t="s">
        <v>74</v>
      </c>
      <c r="R652" t="s">
        <v>74</v>
      </c>
      <c r="S652" t="s">
        <v>74</v>
      </c>
      <c r="T652" t="s">
        <v>74</v>
      </c>
      <c r="U652" t="s">
        <v>12524</v>
      </c>
      <c r="V652" t="s">
        <v>12525</v>
      </c>
      <c r="W652" t="s">
        <v>12526</v>
      </c>
      <c r="X652" t="s">
        <v>12527</v>
      </c>
      <c r="Y652" t="s">
        <v>12528</v>
      </c>
      <c r="Z652" t="s">
        <v>12529</v>
      </c>
      <c r="AA652" t="s">
        <v>12530</v>
      </c>
      <c r="AB652" t="s">
        <v>12531</v>
      </c>
      <c r="AC652" t="s">
        <v>12532</v>
      </c>
      <c r="AD652" t="s">
        <v>12533</v>
      </c>
      <c r="AE652" t="s">
        <v>12534</v>
      </c>
      <c r="AF652" t="s">
        <v>74</v>
      </c>
      <c r="AG652">
        <v>39</v>
      </c>
      <c r="AH652">
        <v>15</v>
      </c>
      <c r="AI652">
        <v>21</v>
      </c>
      <c r="AJ652">
        <v>0</v>
      </c>
      <c r="AK652">
        <v>33</v>
      </c>
      <c r="AL652" t="s">
        <v>501</v>
      </c>
      <c r="AM652" t="s">
        <v>502</v>
      </c>
      <c r="AN652" t="s">
        <v>503</v>
      </c>
      <c r="AO652" t="s">
        <v>12535</v>
      </c>
      <c r="AP652" t="s">
        <v>12536</v>
      </c>
      <c r="AQ652" t="s">
        <v>74</v>
      </c>
      <c r="AR652" t="s">
        <v>12537</v>
      </c>
      <c r="AS652" t="s">
        <v>12538</v>
      </c>
      <c r="AT652" t="s">
        <v>12539</v>
      </c>
      <c r="AU652">
        <v>2016</v>
      </c>
      <c r="AV652">
        <v>30</v>
      </c>
      <c r="AW652">
        <v>14</v>
      </c>
      <c r="AX652" t="s">
        <v>74</v>
      </c>
      <c r="AY652" t="s">
        <v>74</v>
      </c>
      <c r="AZ652" t="s">
        <v>74</v>
      </c>
      <c r="BA652" t="s">
        <v>74</v>
      </c>
      <c r="BB652">
        <v>1727</v>
      </c>
      <c r="BC652">
        <v>1733</v>
      </c>
      <c r="BD652" t="s">
        <v>74</v>
      </c>
      <c r="BE652" t="s">
        <v>12540</v>
      </c>
      <c r="BF652" t="str">
        <f>HYPERLINK("http://dx.doi.org/10.1002/rcm.7610","http://dx.doi.org/10.1002/rcm.7610")</f>
        <v>http://dx.doi.org/10.1002/rcm.7610</v>
      </c>
      <c r="BG652" t="s">
        <v>74</v>
      </c>
      <c r="BH652" t="s">
        <v>74</v>
      </c>
      <c r="BI652">
        <v>7</v>
      </c>
      <c r="BJ652" t="s">
        <v>12541</v>
      </c>
      <c r="BK652" t="s">
        <v>156</v>
      </c>
      <c r="BL652" t="s">
        <v>12542</v>
      </c>
      <c r="BM652" t="s">
        <v>12543</v>
      </c>
      <c r="BN652">
        <v>28328040</v>
      </c>
      <c r="BO652" t="s">
        <v>74</v>
      </c>
      <c r="BP652" t="s">
        <v>74</v>
      </c>
      <c r="BQ652" t="s">
        <v>74</v>
      </c>
      <c r="BR652" t="s">
        <v>105</v>
      </c>
      <c r="BS652" t="s">
        <v>12544</v>
      </c>
      <c r="BT652" t="str">
        <f>HYPERLINK("https%3A%2F%2Fwww.webofscience.com%2Fwos%2Fwoscc%2Ffull-record%2FWOS:000379975500008","View Full Record in Web of Science")</f>
        <v>View Full Record in Web of Science</v>
      </c>
    </row>
    <row r="653" spans="1:72" x14ac:dyDescent="0.15">
      <c r="A653" t="s">
        <v>72</v>
      </c>
      <c r="B653" t="s">
        <v>12545</v>
      </c>
      <c r="C653" t="s">
        <v>74</v>
      </c>
      <c r="D653" t="s">
        <v>74</v>
      </c>
      <c r="E653" t="s">
        <v>74</v>
      </c>
      <c r="F653" t="s">
        <v>12546</v>
      </c>
      <c r="G653" t="s">
        <v>74</v>
      </c>
      <c r="H653" t="s">
        <v>74</v>
      </c>
      <c r="I653" t="s">
        <v>12547</v>
      </c>
      <c r="J653" t="s">
        <v>12548</v>
      </c>
      <c r="K653" t="s">
        <v>74</v>
      </c>
      <c r="L653" t="s">
        <v>74</v>
      </c>
      <c r="M653" t="s">
        <v>78</v>
      </c>
      <c r="N653" t="s">
        <v>79</v>
      </c>
      <c r="O653" t="s">
        <v>74</v>
      </c>
      <c r="P653" t="s">
        <v>74</v>
      </c>
      <c r="Q653" t="s">
        <v>74</v>
      </c>
      <c r="R653" t="s">
        <v>74</v>
      </c>
      <c r="S653" t="s">
        <v>74</v>
      </c>
      <c r="T653" t="s">
        <v>12549</v>
      </c>
      <c r="U653" t="s">
        <v>12550</v>
      </c>
      <c r="V653" t="s">
        <v>12551</v>
      </c>
      <c r="W653" t="s">
        <v>12552</v>
      </c>
      <c r="X653" t="s">
        <v>12553</v>
      </c>
      <c r="Y653" t="s">
        <v>12554</v>
      </c>
      <c r="Z653" t="s">
        <v>12555</v>
      </c>
      <c r="AA653" t="s">
        <v>9027</v>
      </c>
      <c r="AB653" t="s">
        <v>12556</v>
      </c>
      <c r="AC653" t="s">
        <v>12557</v>
      </c>
      <c r="AD653" t="s">
        <v>12558</v>
      </c>
      <c r="AE653" t="s">
        <v>12559</v>
      </c>
      <c r="AF653" t="s">
        <v>74</v>
      </c>
      <c r="AG653">
        <v>48</v>
      </c>
      <c r="AH653">
        <v>11</v>
      </c>
      <c r="AI653">
        <v>12</v>
      </c>
      <c r="AJ653">
        <v>2</v>
      </c>
      <c r="AK653">
        <v>19</v>
      </c>
      <c r="AL653" t="s">
        <v>12560</v>
      </c>
      <c r="AM653" t="s">
        <v>8796</v>
      </c>
      <c r="AN653" t="s">
        <v>12561</v>
      </c>
      <c r="AO653" t="s">
        <v>12562</v>
      </c>
      <c r="AP653" t="s">
        <v>74</v>
      </c>
      <c r="AQ653" t="s">
        <v>74</v>
      </c>
      <c r="AR653" t="s">
        <v>12563</v>
      </c>
      <c r="AS653" t="s">
        <v>12564</v>
      </c>
      <c r="AT653" t="s">
        <v>12565</v>
      </c>
      <c r="AU653">
        <v>2016</v>
      </c>
      <c r="AV653">
        <v>217</v>
      </c>
      <c r="AW653" t="s">
        <v>74</v>
      </c>
      <c r="AX653" t="s">
        <v>74</v>
      </c>
      <c r="AY653" t="s">
        <v>74</v>
      </c>
      <c r="AZ653" t="s">
        <v>74</v>
      </c>
      <c r="BA653" t="s">
        <v>74</v>
      </c>
      <c r="BB653">
        <v>1</v>
      </c>
      <c r="BC653">
        <v>19</v>
      </c>
      <c r="BD653" t="s">
        <v>74</v>
      </c>
      <c r="BE653" t="s">
        <v>12566</v>
      </c>
      <c r="BF653" t="str">
        <f>HYPERLINK("http://dx.doi.org/10.5852/ejt.2016.217","http://dx.doi.org/10.5852/ejt.2016.217")</f>
        <v>http://dx.doi.org/10.5852/ejt.2016.217</v>
      </c>
      <c r="BG653" t="s">
        <v>74</v>
      </c>
      <c r="BH653" t="s">
        <v>74</v>
      </c>
      <c r="BI653">
        <v>19</v>
      </c>
      <c r="BJ653" t="s">
        <v>12567</v>
      </c>
      <c r="BK653" t="s">
        <v>156</v>
      </c>
      <c r="BL653" t="s">
        <v>12567</v>
      </c>
      <c r="BM653" t="s">
        <v>12568</v>
      </c>
      <c r="BN653" t="s">
        <v>74</v>
      </c>
      <c r="BO653" t="s">
        <v>1467</v>
      </c>
      <c r="BP653" t="s">
        <v>74</v>
      </c>
      <c r="BQ653" t="s">
        <v>74</v>
      </c>
      <c r="BR653" t="s">
        <v>105</v>
      </c>
      <c r="BS653" t="s">
        <v>12569</v>
      </c>
      <c r="BT653" t="str">
        <f>HYPERLINK("https%3A%2F%2Fwww.webofscience.com%2Fwos%2Fwoscc%2Ffull-record%2FWOS:000380931500001","View Full Record in Web of Science")</f>
        <v>View Full Record in Web of Science</v>
      </c>
    </row>
    <row r="654" spans="1:72" x14ac:dyDescent="0.15">
      <c r="A654" t="s">
        <v>72</v>
      </c>
      <c r="B654" t="s">
        <v>12570</v>
      </c>
      <c r="C654" t="s">
        <v>74</v>
      </c>
      <c r="D654" t="s">
        <v>74</v>
      </c>
      <c r="E654" t="s">
        <v>74</v>
      </c>
      <c r="F654" t="s">
        <v>12571</v>
      </c>
      <c r="G654" t="s">
        <v>74</v>
      </c>
      <c r="H654" t="s">
        <v>74</v>
      </c>
      <c r="I654" t="s">
        <v>12572</v>
      </c>
      <c r="J654" t="s">
        <v>4556</v>
      </c>
      <c r="K654" t="s">
        <v>74</v>
      </c>
      <c r="L654" t="s">
        <v>74</v>
      </c>
      <c r="M654" t="s">
        <v>78</v>
      </c>
      <c r="N654" t="s">
        <v>79</v>
      </c>
      <c r="O654" t="s">
        <v>74</v>
      </c>
      <c r="P654" t="s">
        <v>74</v>
      </c>
      <c r="Q654" t="s">
        <v>74</v>
      </c>
      <c r="R654" t="s">
        <v>74</v>
      </c>
      <c r="S654" t="s">
        <v>74</v>
      </c>
      <c r="T654" t="s">
        <v>12573</v>
      </c>
      <c r="U654" t="s">
        <v>12574</v>
      </c>
      <c r="V654" t="s">
        <v>12575</v>
      </c>
      <c r="W654" t="s">
        <v>12576</v>
      </c>
      <c r="X654" t="s">
        <v>12577</v>
      </c>
      <c r="Y654" t="s">
        <v>12578</v>
      </c>
      <c r="Z654" t="s">
        <v>12579</v>
      </c>
      <c r="AA654" t="s">
        <v>12580</v>
      </c>
      <c r="AB654" t="s">
        <v>74</v>
      </c>
      <c r="AC654" t="s">
        <v>12581</v>
      </c>
      <c r="AD654" t="s">
        <v>12582</v>
      </c>
      <c r="AE654" t="s">
        <v>12583</v>
      </c>
      <c r="AF654" t="s">
        <v>74</v>
      </c>
      <c r="AG654">
        <v>65</v>
      </c>
      <c r="AH654">
        <v>1</v>
      </c>
      <c r="AI654">
        <v>1</v>
      </c>
      <c r="AJ654">
        <v>1</v>
      </c>
      <c r="AK654">
        <v>15</v>
      </c>
      <c r="AL654" t="s">
        <v>4569</v>
      </c>
      <c r="AM654" t="s">
        <v>4570</v>
      </c>
      <c r="AN654" t="s">
        <v>4571</v>
      </c>
      <c r="AO654" t="s">
        <v>4572</v>
      </c>
      <c r="AP654" t="s">
        <v>4573</v>
      </c>
      <c r="AQ654" t="s">
        <v>74</v>
      </c>
      <c r="AR654" t="s">
        <v>4574</v>
      </c>
      <c r="AS654" t="s">
        <v>4575</v>
      </c>
      <c r="AT654" t="s">
        <v>12584</v>
      </c>
      <c r="AU654">
        <v>2016</v>
      </c>
      <c r="AV654">
        <v>554</v>
      </c>
      <c r="AW654" t="s">
        <v>74</v>
      </c>
      <c r="AX654" t="s">
        <v>74</v>
      </c>
      <c r="AY654" t="s">
        <v>74</v>
      </c>
      <c r="AZ654" t="s">
        <v>74</v>
      </c>
      <c r="BA654" t="s">
        <v>74</v>
      </c>
      <c r="BB654">
        <v>71</v>
      </c>
      <c r="BC654">
        <v>80</v>
      </c>
      <c r="BD654" t="s">
        <v>74</v>
      </c>
      <c r="BE654" t="s">
        <v>12585</v>
      </c>
      <c r="BF654" t="str">
        <f>HYPERLINK("http://dx.doi.org/10.3354/meps11786","http://dx.doi.org/10.3354/meps11786")</f>
        <v>http://dx.doi.org/10.3354/meps11786</v>
      </c>
      <c r="BG654" t="s">
        <v>74</v>
      </c>
      <c r="BH654" t="s">
        <v>74</v>
      </c>
      <c r="BI654">
        <v>10</v>
      </c>
      <c r="BJ654" t="s">
        <v>4578</v>
      </c>
      <c r="BK654" t="s">
        <v>156</v>
      </c>
      <c r="BL654" t="s">
        <v>4579</v>
      </c>
      <c r="BM654" t="s">
        <v>12586</v>
      </c>
      <c r="BN654" t="s">
        <v>74</v>
      </c>
      <c r="BO654" t="s">
        <v>805</v>
      </c>
      <c r="BP654" t="s">
        <v>74</v>
      </c>
      <c r="BQ654" t="s">
        <v>74</v>
      </c>
      <c r="BR654" t="s">
        <v>105</v>
      </c>
      <c r="BS654" t="s">
        <v>12587</v>
      </c>
      <c r="BT654" t="str">
        <f>HYPERLINK("https%3A%2F%2Fwww.webofscience.com%2Fwos%2Fwoscc%2Ffull-record%2FWOS:000383801200005","View Full Record in Web of Science")</f>
        <v>View Full Record in Web of Science</v>
      </c>
    </row>
    <row r="655" spans="1:72" x14ac:dyDescent="0.15">
      <c r="A655" t="s">
        <v>72</v>
      </c>
      <c r="B655" t="s">
        <v>12588</v>
      </c>
      <c r="C655" t="s">
        <v>74</v>
      </c>
      <c r="D655" t="s">
        <v>74</v>
      </c>
      <c r="E655" t="s">
        <v>74</v>
      </c>
      <c r="F655" t="s">
        <v>12589</v>
      </c>
      <c r="G655" t="s">
        <v>74</v>
      </c>
      <c r="H655" t="s">
        <v>74</v>
      </c>
      <c r="I655" t="s">
        <v>12590</v>
      </c>
      <c r="J655" t="s">
        <v>4556</v>
      </c>
      <c r="K655" t="s">
        <v>74</v>
      </c>
      <c r="L655" t="s">
        <v>74</v>
      </c>
      <c r="M655" t="s">
        <v>78</v>
      </c>
      <c r="N655" t="s">
        <v>79</v>
      </c>
      <c r="O655" t="s">
        <v>74</v>
      </c>
      <c r="P655" t="s">
        <v>74</v>
      </c>
      <c r="Q655" t="s">
        <v>74</v>
      </c>
      <c r="R655" t="s">
        <v>74</v>
      </c>
      <c r="S655" t="s">
        <v>74</v>
      </c>
      <c r="T655" t="s">
        <v>12591</v>
      </c>
      <c r="U655" t="s">
        <v>12592</v>
      </c>
      <c r="V655" t="s">
        <v>12593</v>
      </c>
      <c r="W655" t="s">
        <v>12594</v>
      </c>
      <c r="X655" t="s">
        <v>12595</v>
      </c>
      <c r="Y655" t="s">
        <v>12596</v>
      </c>
      <c r="Z655" t="s">
        <v>12597</v>
      </c>
      <c r="AA655" t="s">
        <v>12598</v>
      </c>
      <c r="AB655" t="s">
        <v>12599</v>
      </c>
      <c r="AC655" t="s">
        <v>12600</v>
      </c>
      <c r="AD655" t="s">
        <v>12601</v>
      </c>
      <c r="AE655" t="s">
        <v>12602</v>
      </c>
      <c r="AF655" t="s">
        <v>74</v>
      </c>
      <c r="AG655">
        <v>80</v>
      </c>
      <c r="AH655">
        <v>11</v>
      </c>
      <c r="AI655">
        <v>12</v>
      </c>
      <c r="AJ655">
        <v>2</v>
      </c>
      <c r="AK655">
        <v>26</v>
      </c>
      <c r="AL655" t="s">
        <v>4569</v>
      </c>
      <c r="AM655" t="s">
        <v>4570</v>
      </c>
      <c r="AN655" t="s">
        <v>4571</v>
      </c>
      <c r="AO655" t="s">
        <v>4572</v>
      </c>
      <c r="AP655" t="s">
        <v>4573</v>
      </c>
      <c r="AQ655" t="s">
        <v>74</v>
      </c>
      <c r="AR655" t="s">
        <v>4574</v>
      </c>
      <c r="AS655" t="s">
        <v>4575</v>
      </c>
      <c r="AT655" t="s">
        <v>12584</v>
      </c>
      <c r="AU655">
        <v>2016</v>
      </c>
      <c r="AV655">
        <v>554</v>
      </c>
      <c r="AW655" t="s">
        <v>74</v>
      </c>
      <c r="AX655" t="s">
        <v>74</v>
      </c>
      <c r="AY655" t="s">
        <v>74</v>
      </c>
      <c r="AZ655" t="s">
        <v>74</v>
      </c>
      <c r="BA655" t="s">
        <v>74</v>
      </c>
      <c r="BB655">
        <v>81</v>
      </c>
      <c r="BC655">
        <v>97</v>
      </c>
      <c r="BD655" t="s">
        <v>74</v>
      </c>
      <c r="BE655" t="s">
        <v>12603</v>
      </c>
      <c r="BF655" t="str">
        <f>HYPERLINK("http://dx.doi.org/10.3354/meps11814","http://dx.doi.org/10.3354/meps11814")</f>
        <v>http://dx.doi.org/10.3354/meps11814</v>
      </c>
      <c r="BG655" t="s">
        <v>74</v>
      </c>
      <c r="BH655" t="s">
        <v>74</v>
      </c>
      <c r="BI655">
        <v>17</v>
      </c>
      <c r="BJ655" t="s">
        <v>4578</v>
      </c>
      <c r="BK655" t="s">
        <v>156</v>
      </c>
      <c r="BL655" t="s">
        <v>4579</v>
      </c>
      <c r="BM655" t="s">
        <v>12586</v>
      </c>
      <c r="BN655" t="s">
        <v>74</v>
      </c>
      <c r="BO655" t="s">
        <v>12604</v>
      </c>
      <c r="BP655" t="s">
        <v>74</v>
      </c>
      <c r="BQ655" t="s">
        <v>74</v>
      </c>
      <c r="BR655" t="s">
        <v>105</v>
      </c>
      <c r="BS655" t="s">
        <v>12605</v>
      </c>
      <c r="BT655" t="str">
        <f>HYPERLINK("https%3A%2F%2Fwww.webofscience.com%2Fwos%2Fwoscc%2Ffull-record%2FWOS:000383801200006","View Full Record in Web of Science")</f>
        <v>View Full Record in Web of Science</v>
      </c>
    </row>
    <row r="656" spans="1:72" x14ac:dyDescent="0.15">
      <c r="A656" t="s">
        <v>72</v>
      </c>
      <c r="B656" t="s">
        <v>12606</v>
      </c>
      <c r="C656" t="s">
        <v>74</v>
      </c>
      <c r="D656" t="s">
        <v>74</v>
      </c>
      <c r="E656" t="s">
        <v>74</v>
      </c>
      <c r="F656" t="s">
        <v>12607</v>
      </c>
      <c r="G656" t="s">
        <v>74</v>
      </c>
      <c r="H656" t="s">
        <v>74</v>
      </c>
      <c r="I656" t="s">
        <v>12608</v>
      </c>
      <c r="J656" t="s">
        <v>4556</v>
      </c>
      <c r="K656" t="s">
        <v>74</v>
      </c>
      <c r="L656" t="s">
        <v>74</v>
      </c>
      <c r="M656" t="s">
        <v>78</v>
      </c>
      <c r="N656" t="s">
        <v>79</v>
      </c>
      <c r="O656" t="s">
        <v>74</v>
      </c>
      <c r="P656" t="s">
        <v>74</v>
      </c>
      <c r="Q656" t="s">
        <v>74</v>
      </c>
      <c r="R656" t="s">
        <v>74</v>
      </c>
      <c r="S656" t="s">
        <v>74</v>
      </c>
      <c r="T656" t="s">
        <v>12609</v>
      </c>
      <c r="U656" t="s">
        <v>12610</v>
      </c>
      <c r="V656" t="s">
        <v>12611</v>
      </c>
      <c r="W656" t="s">
        <v>12612</v>
      </c>
      <c r="X656" t="s">
        <v>12613</v>
      </c>
      <c r="Y656" t="s">
        <v>12614</v>
      </c>
      <c r="Z656" t="s">
        <v>12615</v>
      </c>
      <c r="AA656" t="s">
        <v>12616</v>
      </c>
      <c r="AB656" t="s">
        <v>12617</v>
      </c>
      <c r="AC656" t="s">
        <v>12618</v>
      </c>
      <c r="AD656" t="s">
        <v>12618</v>
      </c>
      <c r="AE656" t="s">
        <v>12619</v>
      </c>
      <c r="AF656" t="s">
        <v>74</v>
      </c>
      <c r="AG656">
        <v>66</v>
      </c>
      <c r="AH656">
        <v>19</v>
      </c>
      <c r="AI656">
        <v>21</v>
      </c>
      <c r="AJ656">
        <v>0</v>
      </c>
      <c r="AK656">
        <v>53</v>
      </c>
      <c r="AL656" t="s">
        <v>4569</v>
      </c>
      <c r="AM656" t="s">
        <v>4570</v>
      </c>
      <c r="AN656" t="s">
        <v>4571</v>
      </c>
      <c r="AO656" t="s">
        <v>4572</v>
      </c>
      <c r="AP656" t="s">
        <v>4573</v>
      </c>
      <c r="AQ656" t="s">
        <v>74</v>
      </c>
      <c r="AR656" t="s">
        <v>4574</v>
      </c>
      <c r="AS656" t="s">
        <v>4575</v>
      </c>
      <c r="AT656" t="s">
        <v>12584</v>
      </c>
      <c r="AU656">
        <v>2016</v>
      </c>
      <c r="AV656">
        <v>554</v>
      </c>
      <c r="AW656" t="s">
        <v>74</v>
      </c>
      <c r="AX656" t="s">
        <v>74</v>
      </c>
      <c r="AY656" t="s">
        <v>74</v>
      </c>
      <c r="AZ656" t="s">
        <v>74</v>
      </c>
      <c r="BA656" t="s">
        <v>74</v>
      </c>
      <c r="BB656">
        <v>115</v>
      </c>
      <c r="BC656">
        <v>128</v>
      </c>
      <c r="BD656" t="s">
        <v>74</v>
      </c>
      <c r="BE656" t="s">
        <v>12620</v>
      </c>
      <c r="BF656" t="str">
        <f>HYPERLINK("http://dx.doi.org/10.3354/meps11807","http://dx.doi.org/10.3354/meps11807")</f>
        <v>http://dx.doi.org/10.3354/meps11807</v>
      </c>
      <c r="BG656" t="s">
        <v>74</v>
      </c>
      <c r="BH656" t="s">
        <v>74</v>
      </c>
      <c r="BI656">
        <v>14</v>
      </c>
      <c r="BJ656" t="s">
        <v>4578</v>
      </c>
      <c r="BK656" t="s">
        <v>156</v>
      </c>
      <c r="BL656" t="s">
        <v>4579</v>
      </c>
      <c r="BM656" t="s">
        <v>12586</v>
      </c>
      <c r="BN656" t="s">
        <v>74</v>
      </c>
      <c r="BO656" t="s">
        <v>74</v>
      </c>
      <c r="BP656" t="s">
        <v>74</v>
      </c>
      <c r="BQ656" t="s">
        <v>74</v>
      </c>
      <c r="BR656" t="s">
        <v>105</v>
      </c>
      <c r="BS656" t="s">
        <v>12621</v>
      </c>
      <c r="BT656" t="str">
        <f>HYPERLINK("https%3A%2F%2Fwww.webofscience.com%2Fwos%2Fwoscc%2Ffull-record%2FWOS:000383801200008","View Full Record in Web of Science")</f>
        <v>View Full Record in Web of Science</v>
      </c>
    </row>
    <row r="657" spans="1:72" x14ac:dyDescent="0.15">
      <c r="A657" t="s">
        <v>72</v>
      </c>
      <c r="B657" t="s">
        <v>12622</v>
      </c>
      <c r="C657" t="s">
        <v>74</v>
      </c>
      <c r="D657" t="s">
        <v>74</v>
      </c>
      <c r="E657" t="s">
        <v>74</v>
      </c>
      <c r="F657" t="s">
        <v>12623</v>
      </c>
      <c r="G657" t="s">
        <v>74</v>
      </c>
      <c r="H657" t="s">
        <v>74</v>
      </c>
      <c r="I657" t="s">
        <v>12624</v>
      </c>
      <c r="J657" t="s">
        <v>4556</v>
      </c>
      <c r="K657" t="s">
        <v>74</v>
      </c>
      <c r="L657" t="s">
        <v>74</v>
      </c>
      <c r="M657" t="s">
        <v>78</v>
      </c>
      <c r="N657" t="s">
        <v>79</v>
      </c>
      <c r="O657" t="s">
        <v>74</v>
      </c>
      <c r="P657" t="s">
        <v>74</v>
      </c>
      <c r="Q657" t="s">
        <v>74</v>
      </c>
      <c r="R657" t="s">
        <v>74</v>
      </c>
      <c r="S657" t="s">
        <v>74</v>
      </c>
      <c r="T657" t="s">
        <v>12625</v>
      </c>
      <c r="U657" t="s">
        <v>12626</v>
      </c>
      <c r="V657" t="s">
        <v>12627</v>
      </c>
      <c r="W657" t="s">
        <v>12628</v>
      </c>
      <c r="X657" t="s">
        <v>12629</v>
      </c>
      <c r="Y657" t="s">
        <v>12630</v>
      </c>
      <c r="Z657" t="s">
        <v>12631</v>
      </c>
      <c r="AA657" t="s">
        <v>74</v>
      </c>
      <c r="AB657" t="s">
        <v>74</v>
      </c>
      <c r="AC657" t="s">
        <v>12632</v>
      </c>
      <c r="AD657" t="s">
        <v>12633</v>
      </c>
      <c r="AE657" t="s">
        <v>12634</v>
      </c>
      <c r="AF657" t="s">
        <v>74</v>
      </c>
      <c r="AG657">
        <v>100</v>
      </c>
      <c r="AH657">
        <v>18</v>
      </c>
      <c r="AI657">
        <v>18</v>
      </c>
      <c r="AJ657">
        <v>5</v>
      </c>
      <c r="AK657">
        <v>82</v>
      </c>
      <c r="AL657" t="s">
        <v>4569</v>
      </c>
      <c r="AM657" t="s">
        <v>4570</v>
      </c>
      <c r="AN657" t="s">
        <v>4571</v>
      </c>
      <c r="AO657" t="s">
        <v>4572</v>
      </c>
      <c r="AP657" t="s">
        <v>4573</v>
      </c>
      <c r="AQ657" t="s">
        <v>74</v>
      </c>
      <c r="AR657" t="s">
        <v>4574</v>
      </c>
      <c r="AS657" t="s">
        <v>4575</v>
      </c>
      <c r="AT657" t="s">
        <v>12584</v>
      </c>
      <c r="AU657">
        <v>2016</v>
      </c>
      <c r="AV657">
        <v>554</v>
      </c>
      <c r="AW657" t="s">
        <v>74</v>
      </c>
      <c r="AX657" t="s">
        <v>74</v>
      </c>
      <c r="AY657" t="s">
        <v>74</v>
      </c>
      <c r="AZ657" t="s">
        <v>74</v>
      </c>
      <c r="BA657" t="s">
        <v>74</v>
      </c>
      <c r="BB657">
        <v>51</v>
      </c>
      <c r="BC657">
        <v>69</v>
      </c>
      <c r="BD657" t="s">
        <v>74</v>
      </c>
      <c r="BE657" t="s">
        <v>12635</v>
      </c>
      <c r="BF657" t="str">
        <f>HYPERLINK("http://dx.doi.org/10.3354/meps11803","http://dx.doi.org/10.3354/meps11803")</f>
        <v>http://dx.doi.org/10.3354/meps11803</v>
      </c>
      <c r="BG657" t="s">
        <v>74</v>
      </c>
      <c r="BH657" t="s">
        <v>74</v>
      </c>
      <c r="BI657">
        <v>19</v>
      </c>
      <c r="BJ657" t="s">
        <v>4578</v>
      </c>
      <c r="BK657" t="s">
        <v>156</v>
      </c>
      <c r="BL657" t="s">
        <v>4579</v>
      </c>
      <c r="BM657" t="s">
        <v>12586</v>
      </c>
      <c r="BN657" t="s">
        <v>74</v>
      </c>
      <c r="BO657" t="s">
        <v>2822</v>
      </c>
      <c r="BP657" t="s">
        <v>74</v>
      </c>
      <c r="BQ657" t="s">
        <v>74</v>
      </c>
      <c r="BR657" t="s">
        <v>105</v>
      </c>
      <c r="BS657" t="s">
        <v>12636</v>
      </c>
      <c r="BT657" t="str">
        <f>HYPERLINK("https%3A%2F%2Fwww.webofscience.com%2Fwos%2Fwoscc%2Ffull-record%2FWOS:000383801200004","View Full Record in Web of Science")</f>
        <v>View Full Record in Web of Science</v>
      </c>
    </row>
    <row r="658" spans="1:72" x14ac:dyDescent="0.15">
      <c r="A658" t="s">
        <v>72</v>
      </c>
      <c r="B658" t="s">
        <v>12637</v>
      </c>
      <c r="C658" t="s">
        <v>74</v>
      </c>
      <c r="D658" t="s">
        <v>74</v>
      </c>
      <c r="E658" t="s">
        <v>74</v>
      </c>
      <c r="F658" t="s">
        <v>12638</v>
      </c>
      <c r="G658" t="s">
        <v>74</v>
      </c>
      <c r="H658" t="s">
        <v>74</v>
      </c>
      <c r="I658" t="s">
        <v>12639</v>
      </c>
      <c r="J658" t="s">
        <v>4556</v>
      </c>
      <c r="K658" t="s">
        <v>74</v>
      </c>
      <c r="L658" t="s">
        <v>74</v>
      </c>
      <c r="M658" t="s">
        <v>78</v>
      </c>
      <c r="N658" t="s">
        <v>79</v>
      </c>
      <c r="O658" t="s">
        <v>74</v>
      </c>
      <c r="P658" t="s">
        <v>74</v>
      </c>
      <c r="Q658" t="s">
        <v>74</v>
      </c>
      <c r="R658" t="s">
        <v>74</v>
      </c>
      <c r="S658" t="s">
        <v>74</v>
      </c>
      <c r="T658" t="s">
        <v>12640</v>
      </c>
      <c r="U658" t="s">
        <v>12641</v>
      </c>
      <c r="V658" t="s">
        <v>12642</v>
      </c>
      <c r="W658" t="s">
        <v>12643</v>
      </c>
      <c r="X658" t="s">
        <v>12644</v>
      </c>
      <c r="Y658" t="s">
        <v>12645</v>
      </c>
      <c r="Z658" t="s">
        <v>12646</v>
      </c>
      <c r="AA658" t="s">
        <v>12647</v>
      </c>
      <c r="AB658" t="s">
        <v>12648</v>
      </c>
      <c r="AC658" t="s">
        <v>12649</v>
      </c>
      <c r="AD658" t="s">
        <v>12650</v>
      </c>
      <c r="AE658" t="s">
        <v>12651</v>
      </c>
      <c r="AF658" t="s">
        <v>74</v>
      </c>
      <c r="AG658">
        <v>83</v>
      </c>
      <c r="AH658">
        <v>18</v>
      </c>
      <c r="AI658">
        <v>22</v>
      </c>
      <c r="AJ658">
        <v>4</v>
      </c>
      <c r="AK658">
        <v>82</v>
      </c>
      <c r="AL658" t="s">
        <v>4569</v>
      </c>
      <c r="AM658" t="s">
        <v>4570</v>
      </c>
      <c r="AN658" t="s">
        <v>4571</v>
      </c>
      <c r="AO658" t="s">
        <v>4572</v>
      </c>
      <c r="AP658" t="s">
        <v>4573</v>
      </c>
      <c r="AQ658" t="s">
        <v>74</v>
      </c>
      <c r="AR658" t="s">
        <v>4574</v>
      </c>
      <c r="AS658" t="s">
        <v>4575</v>
      </c>
      <c r="AT658" t="s">
        <v>12584</v>
      </c>
      <c r="AU658">
        <v>2016</v>
      </c>
      <c r="AV658">
        <v>554</v>
      </c>
      <c r="AW658" t="s">
        <v>74</v>
      </c>
      <c r="AX658" t="s">
        <v>74</v>
      </c>
      <c r="AY658" t="s">
        <v>74</v>
      </c>
      <c r="AZ658" t="s">
        <v>74</v>
      </c>
      <c r="BA658" t="s">
        <v>74</v>
      </c>
      <c r="BB658">
        <v>129</v>
      </c>
      <c r="BC658">
        <v>140</v>
      </c>
      <c r="BD658" t="s">
        <v>74</v>
      </c>
      <c r="BE658" t="s">
        <v>12652</v>
      </c>
      <c r="BF658" t="str">
        <f>HYPERLINK("http://dx.doi.org/10.3354/meps11795","http://dx.doi.org/10.3354/meps11795")</f>
        <v>http://dx.doi.org/10.3354/meps11795</v>
      </c>
      <c r="BG658" t="s">
        <v>74</v>
      </c>
      <c r="BH658" t="s">
        <v>74</v>
      </c>
      <c r="BI658">
        <v>12</v>
      </c>
      <c r="BJ658" t="s">
        <v>4578</v>
      </c>
      <c r="BK658" t="s">
        <v>156</v>
      </c>
      <c r="BL658" t="s">
        <v>4579</v>
      </c>
      <c r="BM658" t="s">
        <v>12586</v>
      </c>
      <c r="BN658" t="s">
        <v>74</v>
      </c>
      <c r="BO658" t="s">
        <v>459</v>
      </c>
      <c r="BP658" t="s">
        <v>74</v>
      </c>
      <c r="BQ658" t="s">
        <v>74</v>
      </c>
      <c r="BR658" t="s">
        <v>105</v>
      </c>
      <c r="BS658" t="s">
        <v>12653</v>
      </c>
      <c r="BT658" t="str">
        <f>HYPERLINK("https%3A%2F%2Fwww.webofscience.com%2Fwos%2Fwoscc%2Ffull-record%2FWOS:000383801200009","View Full Record in Web of Science")</f>
        <v>View Full Record in Web of Science</v>
      </c>
    </row>
    <row r="659" spans="1:72" x14ac:dyDescent="0.15">
      <c r="A659" t="s">
        <v>72</v>
      </c>
      <c r="B659" t="s">
        <v>12654</v>
      </c>
      <c r="C659" t="s">
        <v>74</v>
      </c>
      <c r="D659" t="s">
        <v>74</v>
      </c>
      <c r="E659" t="s">
        <v>74</v>
      </c>
      <c r="F659" t="s">
        <v>12655</v>
      </c>
      <c r="G659" t="s">
        <v>74</v>
      </c>
      <c r="H659" t="s">
        <v>74</v>
      </c>
      <c r="I659" t="s">
        <v>12656</v>
      </c>
      <c r="J659" t="s">
        <v>4556</v>
      </c>
      <c r="K659" t="s">
        <v>74</v>
      </c>
      <c r="L659" t="s">
        <v>74</v>
      </c>
      <c r="M659" t="s">
        <v>78</v>
      </c>
      <c r="N659" t="s">
        <v>79</v>
      </c>
      <c r="O659" t="s">
        <v>74</v>
      </c>
      <c r="P659" t="s">
        <v>74</v>
      </c>
      <c r="Q659" t="s">
        <v>74</v>
      </c>
      <c r="R659" t="s">
        <v>74</v>
      </c>
      <c r="S659" t="s">
        <v>74</v>
      </c>
      <c r="T659" t="s">
        <v>12657</v>
      </c>
      <c r="U659" t="s">
        <v>12658</v>
      </c>
      <c r="V659" t="s">
        <v>12659</v>
      </c>
      <c r="W659" t="s">
        <v>12660</v>
      </c>
      <c r="X659" t="s">
        <v>12661</v>
      </c>
      <c r="Y659" t="s">
        <v>12662</v>
      </c>
      <c r="Z659" t="s">
        <v>12663</v>
      </c>
      <c r="AA659" t="s">
        <v>12664</v>
      </c>
      <c r="AB659" t="s">
        <v>12665</v>
      </c>
      <c r="AC659" t="s">
        <v>12666</v>
      </c>
      <c r="AD659" t="s">
        <v>12667</v>
      </c>
      <c r="AE659" t="s">
        <v>12668</v>
      </c>
      <c r="AF659" t="s">
        <v>74</v>
      </c>
      <c r="AG659">
        <v>49</v>
      </c>
      <c r="AH659">
        <v>16</v>
      </c>
      <c r="AI659">
        <v>19</v>
      </c>
      <c r="AJ659">
        <v>0</v>
      </c>
      <c r="AK659">
        <v>24</v>
      </c>
      <c r="AL659" t="s">
        <v>4569</v>
      </c>
      <c r="AM659" t="s">
        <v>4570</v>
      </c>
      <c r="AN659" t="s">
        <v>4571</v>
      </c>
      <c r="AO659" t="s">
        <v>4572</v>
      </c>
      <c r="AP659" t="s">
        <v>4573</v>
      </c>
      <c r="AQ659" t="s">
        <v>74</v>
      </c>
      <c r="AR659" t="s">
        <v>4574</v>
      </c>
      <c r="AS659" t="s">
        <v>4575</v>
      </c>
      <c r="AT659" t="s">
        <v>12584</v>
      </c>
      <c r="AU659">
        <v>2016</v>
      </c>
      <c r="AV659">
        <v>554</v>
      </c>
      <c r="AW659" t="s">
        <v>74</v>
      </c>
      <c r="AX659" t="s">
        <v>74</v>
      </c>
      <c r="AY659" t="s">
        <v>74</v>
      </c>
      <c r="AZ659" t="s">
        <v>74</v>
      </c>
      <c r="BA659" t="s">
        <v>74</v>
      </c>
      <c r="BB659">
        <v>201</v>
      </c>
      <c r="BC659">
        <v>211</v>
      </c>
      <c r="BD659" t="s">
        <v>74</v>
      </c>
      <c r="BE659" t="s">
        <v>12669</v>
      </c>
      <c r="BF659" t="str">
        <f>HYPERLINK("http://dx.doi.org/10.3354/meps11759","http://dx.doi.org/10.3354/meps11759")</f>
        <v>http://dx.doi.org/10.3354/meps11759</v>
      </c>
      <c r="BG659" t="s">
        <v>74</v>
      </c>
      <c r="BH659" t="s">
        <v>74</v>
      </c>
      <c r="BI659">
        <v>11</v>
      </c>
      <c r="BJ659" t="s">
        <v>4578</v>
      </c>
      <c r="BK659" t="s">
        <v>156</v>
      </c>
      <c r="BL659" t="s">
        <v>4579</v>
      </c>
      <c r="BM659" t="s">
        <v>12586</v>
      </c>
      <c r="BN659" t="s">
        <v>74</v>
      </c>
      <c r="BO659" t="s">
        <v>74</v>
      </c>
      <c r="BP659" t="s">
        <v>74</v>
      </c>
      <c r="BQ659" t="s">
        <v>74</v>
      </c>
      <c r="BR659" t="s">
        <v>105</v>
      </c>
      <c r="BS659" t="s">
        <v>12670</v>
      </c>
      <c r="BT659" t="str">
        <f>HYPERLINK("https%3A%2F%2Fwww.webofscience.com%2Fwos%2Fwoscc%2Ffull-record%2FWOS:000383801200014","View Full Record in Web of Science")</f>
        <v>View Full Record in Web of Science</v>
      </c>
    </row>
    <row r="660" spans="1:72" x14ac:dyDescent="0.15">
      <c r="A660" t="s">
        <v>72</v>
      </c>
      <c r="B660" t="s">
        <v>12671</v>
      </c>
      <c r="C660" t="s">
        <v>74</v>
      </c>
      <c r="D660" t="s">
        <v>74</v>
      </c>
      <c r="E660" t="s">
        <v>74</v>
      </c>
      <c r="F660" t="s">
        <v>12672</v>
      </c>
      <c r="G660" t="s">
        <v>74</v>
      </c>
      <c r="H660" t="s">
        <v>74</v>
      </c>
      <c r="I660" t="s">
        <v>12673</v>
      </c>
      <c r="J660" t="s">
        <v>4556</v>
      </c>
      <c r="K660" t="s">
        <v>74</v>
      </c>
      <c r="L660" t="s">
        <v>74</v>
      </c>
      <c r="M660" t="s">
        <v>78</v>
      </c>
      <c r="N660" t="s">
        <v>79</v>
      </c>
      <c r="O660" t="s">
        <v>74</v>
      </c>
      <c r="P660" t="s">
        <v>74</v>
      </c>
      <c r="Q660" t="s">
        <v>74</v>
      </c>
      <c r="R660" t="s">
        <v>74</v>
      </c>
      <c r="S660" t="s">
        <v>74</v>
      </c>
      <c r="T660" t="s">
        <v>12674</v>
      </c>
      <c r="U660" t="s">
        <v>12675</v>
      </c>
      <c r="V660" t="s">
        <v>12676</v>
      </c>
      <c r="W660" t="s">
        <v>12677</v>
      </c>
      <c r="X660" t="s">
        <v>12678</v>
      </c>
      <c r="Y660" t="s">
        <v>12679</v>
      </c>
      <c r="Z660" t="s">
        <v>12680</v>
      </c>
      <c r="AA660" t="s">
        <v>12681</v>
      </c>
      <c r="AB660" t="s">
        <v>12682</v>
      </c>
      <c r="AC660" t="s">
        <v>12683</v>
      </c>
      <c r="AD660" t="s">
        <v>12684</v>
      </c>
      <c r="AE660" t="s">
        <v>12685</v>
      </c>
      <c r="AF660" t="s">
        <v>74</v>
      </c>
      <c r="AG660">
        <v>74</v>
      </c>
      <c r="AH660">
        <v>19</v>
      </c>
      <c r="AI660">
        <v>23</v>
      </c>
      <c r="AJ660">
        <v>0</v>
      </c>
      <c r="AK660">
        <v>20</v>
      </c>
      <c r="AL660" t="s">
        <v>4569</v>
      </c>
      <c r="AM660" t="s">
        <v>4570</v>
      </c>
      <c r="AN660" t="s">
        <v>4571</v>
      </c>
      <c r="AO660" t="s">
        <v>4572</v>
      </c>
      <c r="AP660" t="s">
        <v>4573</v>
      </c>
      <c r="AQ660" t="s">
        <v>74</v>
      </c>
      <c r="AR660" t="s">
        <v>4574</v>
      </c>
      <c r="AS660" t="s">
        <v>4575</v>
      </c>
      <c r="AT660" t="s">
        <v>12584</v>
      </c>
      <c r="AU660">
        <v>2016</v>
      </c>
      <c r="AV660">
        <v>554</v>
      </c>
      <c r="AW660" t="s">
        <v>74</v>
      </c>
      <c r="AX660" t="s">
        <v>74</v>
      </c>
      <c r="AY660" t="s">
        <v>74</v>
      </c>
      <c r="AZ660" t="s">
        <v>74</v>
      </c>
      <c r="BA660" t="s">
        <v>74</v>
      </c>
      <c r="BB660">
        <v>225</v>
      </c>
      <c r="BC660">
        <v>239</v>
      </c>
      <c r="BD660" t="s">
        <v>74</v>
      </c>
      <c r="BE660" t="s">
        <v>12686</v>
      </c>
      <c r="BF660" t="str">
        <f>HYPERLINK("http://dx.doi.org/10.3354/meps11798","http://dx.doi.org/10.3354/meps11798")</f>
        <v>http://dx.doi.org/10.3354/meps11798</v>
      </c>
      <c r="BG660" t="s">
        <v>74</v>
      </c>
      <c r="BH660" t="s">
        <v>74</v>
      </c>
      <c r="BI660">
        <v>15</v>
      </c>
      <c r="BJ660" t="s">
        <v>4578</v>
      </c>
      <c r="BK660" t="s">
        <v>156</v>
      </c>
      <c r="BL660" t="s">
        <v>4579</v>
      </c>
      <c r="BM660" t="s">
        <v>12586</v>
      </c>
      <c r="BN660" t="s">
        <v>74</v>
      </c>
      <c r="BO660" t="s">
        <v>805</v>
      </c>
      <c r="BP660" t="s">
        <v>74</v>
      </c>
      <c r="BQ660" t="s">
        <v>74</v>
      </c>
      <c r="BR660" t="s">
        <v>105</v>
      </c>
      <c r="BS660" t="s">
        <v>12687</v>
      </c>
      <c r="BT660" t="str">
        <f>HYPERLINK("https%3A%2F%2Fwww.webofscience.com%2Fwos%2Fwoscc%2Ffull-record%2FWOS:000383801200016","View Full Record in Web of Science")</f>
        <v>View Full Record in Web of Science</v>
      </c>
    </row>
    <row r="661" spans="1:72" x14ac:dyDescent="0.15">
      <c r="A661" t="s">
        <v>72</v>
      </c>
      <c r="B661" t="s">
        <v>12688</v>
      </c>
      <c r="C661" t="s">
        <v>74</v>
      </c>
      <c r="D661" t="s">
        <v>74</v>
      </c>
      <c r="E661" t="s">
        <v>74</v>
      </c>
      <c r="F661" t="s">
        <v>12689</v>
      </c>
      <c r="G661" t="s">
        <v>74</v>
      </c>
      <c r="H661" t="s">
        <v>74</v>
      </c>
      <c r="I661" t="s">
        <v>12690</v>
      </c>
      <c r="J661" t="s">
        <v>2512</v>
      </c>
      <c r="K661" t="s">
        <v>74</v>
      </c>
      <c r="L661" t="s">
        <v>74</v>
      </c>
      <c r="M661" t="s">
        <v>78</v>
      </c>
      <c r="N661" t="s">
        <v>79</v>
      </c>
      <c r="O661" t="s">
        <v>74</v>
      </c>
      <c r="P661" t="s">
        <v>74</v>
      </c>
      <c r="Q661" t="s">
        <v>74</v>
      </c>
      <c r="R661" t="s">
        <v>74</v>
      </c>
      <c r="S661" t="s">
        <v>74</v>
      </c>
      <c r="T661" t="s">
        <v>74</v>
      </c>
      <c r="U661" t="s">
        <v>12691</v>
      </c>
      <c r="V661" t="s">
        <v>12692</v>
      </c>
      <c r="W661" t="s">
        <v>12693</v>
      </c>
      <c r="X661" t="s">
        <v>12694</v>
      </c>
      <c r="Y661" t="s">
        <v>12695</v>
      </c>
      <c r="Z661" t="s">
        <v>12696</v>
      </c>
      <c r="AA661" t="s">
        <v>12697</v>
      </c>
      <c r="AB661" t="s">
        <v>12698</v>
      </c>
      <c r="AC661" t="s">
        <v>12699</v>
      </c>
      <c r="AD661" t="s">
        <v>12700</v>
      </c>
      <c r="AE661" t="s">
        <v>12701</v>
      </c>
      <c r="AF661" t="s">
        <v>74</v>
      </c>
      <c r="AG661">
        <v>72</v>
      </c>
      <c r="AH661">
        <v>12</v>
      </c>
      <c r="AI661">
        <v>12</v>
      </c>
      <c r="AJ661">
        <v>0</v>
      </c>
      <c r="AK661">
        <v>16</v>
      </c>
      <c r="AL661" t="s">
        <v>149</v>
      </c>
      <c r="AM661" t="s">
        <v>123</v>
      </c>
      <c r="AN661" t="s">
        <v>150</v>
      </c>
      <c r="AO661" t="s">
        <v>2525</v>
      </c>
      <c r="AP661" t="s">
        <v>2526</v>
      </c>
      <c r="AQ661" t="s">
        <v>74</v>
      </c>
      <c r="AR661" t="s">
        <v>2527</v>
      </c>
      <c r="AS661" t="s">
        <v>2528</v>
      </c>
      <c r="AT661" t="s">
        <v>12702</v>
      </c>
      <c r="AU661">
        <v>2016</v>
      </c>
      <c r="AV661">
        <v>121</v>
      </c>
      <c r="AW661">
        <v>14</v>
      </c>
      <c r="AX661" t="s">
        <v>74</v>
      </c>
      <c r="AY661" t="s">
        <v>74</v>
      </c>
      <c r="AZ661" t="s">
        <v>74</v>
      </c>
      <c r="BA661" t="s">
        <v>74</v>
      </c>
      <c r="BB661">
        <v>8429</v>
      </c>
      <c r="BC661">
        <v>8443</v>
      </c>
      <c r="BD661" t="s">
        <v>74</v>
      </c>
      <c r="BE661" t="s">
        <v>12703</v>
      </c>
      <c r="BF661" t="str">
        <f>HYPERLINK("http://dx.doi.org/10.1002/2015JD024481","http://dx.doi.org/10.1002/2015JD024481")</f>
        <v>http://dx.doi.org/10.1002/2015JD024481</v>
      </c>
      <c r="BG661" t="s">
        <v>74</v>
      </c>
      <c r="BH661" t="s">
        <v>74</v>
      </c>
      <c r="BI661">
        <v>15</v>
      </c>
      <c r="BJ661" t="s">
        <v>2482</v>
      </c>
      <c r="BK661" t="s">
        <v>156</v>
      </c>
      <c r="BL661" t="s">
        <v>2482</v>
      </c>
      <c r="BM661" t="s">
        <v>12704</v>
      </c>
      <c r="BN661" t="s">
        <v>74</v>
      </c>
      <c r="BO661" t="s">
        <v>258</v>
      </c>
      <c r="BP661" t="s">
        <v>74</v>
      </c>
      <c r="BQ661" t="s">
        <v>74</v>
      </c>
      <c r="BR661" t="s">
        <v>105</v>
      </c>
      <c r="BS661" t="s">
        <v>12705</v>
      </c>
      <c r="BT661" t="str">
        <f>HYPERLINK("https%3A%2F%2Fwww.webofscience.com%2Fwos%2Fwoscc%2Ffull-record%2FWOS:000381632100017","View Full Record in Web of Science")</f>
        <v>View Full Record in Web of Science</v>
      </c>
    </row>
    <row r="662" spans="1:72" x14ac:dyDescent="0.15">
      <c r="A662" t="s">
        <v>72</v>
      </c>
      <c r="B662" t="s">
        <v>12706</v>
      </c>
      <c r="C662" t="s">
        <v>74</v>
      </c>
      <c r="D662" t="s">
        <v>74</v>
      </c>
      <c r="E662" t="s">
        <v>74</v>
      </c>
      <c r="F662" t="s">
        <v>12707</v>
      </c>
      <c r="G662" t="s">
        <v>74</v>
      </c>
      <c r="H662" t="s">
        <v>74</v>
      </c>
      <c r="I662" t="s">
        <v>12708</v>
      </c>
      <c r="J662" t="s">
        <v>12709</v>
      </c>
      <c r="K662" t="s">
        <v>74</v>
      </c>
      <c r="L662" t="s">
        <v>74</v>
      </c>
      <c r="M662" t="s">
        <v>78</v>
      </c>
      <c r="N662" t="s">
        <v>52</v>
      </c>
      <c r="O662" t="s">
        <v>74</v>
      </c>
      <c r="P662" t="s">
        <v>74</v>
      </c>
      <c r="Q662" t="s">
        <v>74</v>
      </c>
      <c r="R662" t="s">
        <v>74</v>
      </c>
      <c r="S662" t="s">
        <v>74</v>
      </c>
      <c r="T662" t="s">
        <v>74</v>
      </c>
      <c r="U662" t="s">
        <v>74</v>
      </c>
      <c r="V662" t="s">
        <v>74</v>
      </c>
      <c r="W662" t="s">
        <v>12710</v>
      </c>
      <c r="X662" t="s">
        <v>12711</v>
      </c>
      <c r="Y662" t="s">
        <v>74</v>
      </c>
      <c r="Z662" t="s">
        <v>74</v>
      </c>
      <c r="AA662" t="s">
        <v>12712</v>
      </c>
      <c r="AB662" t="s">
        <v>12713</v>
      </c>
      <c r="AC662" t="s">
        <v>74</v>
      </c>
      <c r="AD662" t="s">
        <v>74</v>
      </c>
      <c r="AE662" t="s">
        <v>74</v>
      </c>
      <c r="AF662" t="s">
        <v>74</v>
      </c>
      <c r="AG662">
        <v>0</v>
      </c>
      <c r="AH662">
        <v>1</v>
      </c>
      <c r="AI662">
        <v>1</v>
      </c>
      <c r="AJ662">
        <v>0</v>
      </c>
      <c r="AK662">
        <v>4</v>
      </c>
      <c r="AL662" t="s">
        <v>92</v>
      </c>
      <c r="AM662" t="s">
        <v>93</v>
      </c>
      <c r="AN662" t="s">
        <v>94</v>
      </c>
      <c r="AO662" t="s">
        <v>12714</v>
      </c>
      <c r="AP662" t="s">
        <v>12715</v>
      </c>
      <c r="AQ662" t="s">
        <v>74</v>
      </c>
      <c r="AR662" t="s">
        <v>12716</v>
      </c>
      <c r="AS662" t="s">
        <v>12717</v>
      </c>
      <c r="AT662" t="s">
        <v>12718</v>
      </c>
      <c r="AU662">
        <v>2016</v>
      </c>
      <c r="AV662">
        <v>33</v>
      </c>
      <c r="AW662" t="s">
        <v>74</v>
      </c>
      <c r="AX662" t="s">
        <v>74</v>
      </c>
      <c r="AY662" t="s">
        <v>4928</v>
      </c>
      <c r="AZ662" t="s">
        <v>74</v>
      </c>
      <c r="BA662" t="s">
        <v>12719</v>
      </c>
      <c r="BB662" t="s">
        <v>12720</v>
      </c>
      <c r="BC662" t="s">
        <v>12720</v>
      </c>
      <c r="BD662" t="s">
        <v>74</v>
      </c>
      <c r="BE662" t="s">
        <v>12721</v>
      </c>
      <c r="BF662" t="str">
        <f>HYPERLINK("http://dx.doi.org/10.1016/j.nbt.2016.06.1452","http://dx.doi.org/10.1016/j.nbt.2016.06.1452")</f>
        <v>http://dx.doi.org/10.1016/j.nbt.2016.06.1452</v>
      </c>
      <c r="BG662" t="s">
        <v>74</v>
      </c>
      <c r="BH662" t="s">
        <v>74</v>
      </c>
      <c r="BI662">
        <v>1</v>
      </c>
      <c r="BJ662" t="s">
        <v>12722</v>
      </c>
      <c r="BK662" t="s">
        <v>156</v>
      </c>
      <c r="BL662" t="s">
        <v>2890</v>
      </c>
      <c r="BM662" t="s">
        <v>12723</v>
      </c>
      <c r="BN662" t="s">
        <v>74</v>
      </c>
      <c r="BO662" t="s">
        <v>74</v>
      </c>
      <c r="BP662" t="s">
        <v>74</v>
      </c>
      <c r="BQ662" t="s">
        <v>74</v>
      </c>
      <c r="BR662" t="s">
        <v>105</v>
      </c>
      <c r="BS662" t="s">
        <v>12724</v>
      </c>
      <c r="BT662" t="str">
        <f>HYPERLINK("https%3A%2F%2Fwww.webofscience.com%2Fwos%2Fwoscc%2Ffull-record%2FWOS:000393400600691","View Full Record in Web of Science")</f>
        <v>View Full Record in Web of Science</v>
      </c>
    </row>
    <row r="663" spans="1:72" x14ac:dyDescent="0.15">
      <c r="A663" t="s">
        <v>72</v>
      </c>
      <c r="B663" t="s">
        <v>12725</v>
      </c>
      <c r="C663" t="s">
        <v>74</v>
      </c>
      <c r="D663" t="s">
        <v>74</v>
      </c>
      <c r="E663" t="s">
        <v>74</v>
      </c>
      <c r="F663" t="s">
        <v>12726</v>
      </c>
      <c r="G663" t="s">
        <v>74</v>
      </c>
      <c r="H663" t="s">
        <v>74</v>
      </c>
      <c r="I663" t="s">
        <v>12727</v>
      </c>
      <c r="J663" t="s">
        <v>12709</v>
      </c>
      <c r="K663" t="s">
        <v>74</v>
      </c>
      <c r="L663" t="s">
        <v>74</v>
      </c>
      <c r="M663" t="s">
        <v>78</v>
      </c>
      <c r="N663" t="s">
        <v>52</v>
      </c>
      <c r="O663" t="s">
        <v>74</v>
      </c>
      <c r="P663" t="s">
        <v>74</v>
      </c>
      <c r="Q663" t="s">
        <v>74</v>
      </c>
      <c r="R663" t="s">
        <v>74</v>
      </c>
      <c r="S663" t="s">
        <v>74</v>
      </c>
      <c r="T663" t="s">
        <v>74</v>
      </c>
      <c r="U663" t="s">
        <v>74</v>
      </c>
      <c r="V663" t="s">
        <v>74</v>
      </c>
      <c r="W663" t="s">
        <v>12728</v>
      </c>
      <c r="X663" t="s">
        <v>12729</v>
      </c>
      <c r="Y663" t="s">
        <v>74</v>
      </c>
      <c r="Z663" t="s">
        <v>74</v>
      </c>
      <c r="AA663" t="s">
        <v>12730</v>
      </c>
      <c r="AB663" t="s">
        <v>12731</v>
      </c>
      <c r="AC663" t="s">
        <v>12732</v>
      </c>
      <c r="AD663" t="s">
        <v>12733</v>
      </c>
      <c r="AE663" t="s">
        <v>12734</v>
      </c>
      <c r="AF663" t="s">
        <v>74</v>
      </c>
      <c r="AG663">
        <v>0</v>
      </c>
      <c r="AH663">
        <v>0</v>
      </c>
      <c r="AI663">
        <v>0</v>
      </c>
      <c r="AJ663">
        <v>0</v>
      </c>
      <c r="AK663">
        <v>5</v>
      </c>
      <c r="AL663" t="s">
        <v>92</v>
      </c>
      <c r="AM663" t="s">
        <v>93</v>
      </c>
      <c r="AN663" t="s">
        <v>94</v>
      </c>
      <c r="AO663" t="s">
        <v>12714</v>
      </c>
      <c r="AP663" t="s">
        <v>12715</v>
      </c>
      <c r="AQ663" t="s">
        <v>74</v>
      </c>
      <c r="AR663" t="s">
        <v>12716</v>
      </c>
      <c r="AS663" t="s">
        <v>12717</v>
      </c>
      <c r="AT663" t="s">
        <v>12718</v>
      </c>
      <c r="AU663">
        <v>2016</v>
      </c>
      <c r="AV663">
        <v>33</v>
      </c>
      <c r="AW663" t="s">
        <v>74</v>
      </c>
      <c r="AX663" t="s">
        <v>74</v>
      </c>
      <c r="AY663" t="s">
        <v>4928</v>
      </c>
      <c r="AZ663" t="s">
        <v>74</v>
      </c>
      <c r="BA663" t="s">
        <v>12735</v>
      </c>
      <c r="BB663" t="s">
        <v>12736</v>
      </c>
      <c r="BC663" t="s">
        <v>12737</v>
      </c>
      <c r="BD663" t="s">
        <v>74</v>
      </c>
      <c r="BE663" t="s">
        <v>12738</v>
      </c>
      <c r="BF663" t="str">
        <f>HYPERLINK("http://dx.doi.org/10.1016/j.nbt.2016.06.1100","http://dx.doi.org/10.1016/j.nbt.2016.06.1100")</f>
        <v>http://dx.doi.org/10.1016/j.nbt.2016.06.1100</v>
      </c>
      <c r="BG663" t="s">
        <v>74</v>
      </c>
      <c r="BH663" t="s">
        <v>74</v>
      </c>
      <c r="BI663">
        <v>2</v>
      </c>
      <c r="BJ663" t="s">
        <v>12722</v>
      </c>
      <c r="BK663" t="s">
        <v>156</v>
      </c>
      <c r="BL663" t="s">
        <v>2890</v>
      </c>
      <c r="BM663" t="s">
        <v>12723</v>
      </c>
      <c r="BN663" t="s">
        <v>74</v>
      </c>
      <c r="BO663" t="s">
        <v>74</v>
      </c>
      <c r="BP663" t="s">
        <v>74</v>
      </c>
      <c r="BQ663" t="s">
        <v>74</v>
      </c>
      <c r="BR663" t="s">
        <v>105</v>
      </c>
      <c r="BS663" t="s">
        <v>12739</v>
      </c>
      <c r="BT663" t="str">
        <f>HYPERLINK("https%3A%2F%2Fwww.webofscience.com%2Fwos%2Fwoscc%2Ffull-record%2FWOS:000393400600349","View Full Record in Web of Science")</f>
        <v>View Full Record in Web of Science</v>
      </c>
    </row>
    <row r="664" spans="1:72" x14ac:dyDescent="0.15">
      <c r="A664" t="s">
        <v>72</v>
      </c>
      <c r="B664" t="s">
        <v>12740</v>
      </c>
      <c r="C664" t="s">
        <v>74</v>
      </c>
      <c r="D664" t="s">
        <v>74</v>
      </c>
      <c r="E664" t="s">
        <v>74</v>
      </c>
      <c r="F664" t="s">
        <v>12741</v>
      </c>
      <c r="G664" t="s">
        <v>74</v>
      </c>
      <c r="H664" t="s">
        <v>74</v>
      </c>
      <c r="I664" t="s">
        <v>12742</v>
      </c>
      <c r="J664" t="s">
        <v>4498</v>
      </c>
      <c r="K664" t="s">
        <v>74</v>
      </c>
      <c r="L664" t="s">
        <v>74</v>
      </c>
      <c r="M664" t="s">
        <v>78</v>
      </c>
      <c r="N664" t="s">
        <v>79</v>
      </c>
      <c r="O664" t="s">
        <v>74</v>
      </c>
      <c r="P664" t="s">
        <v>74</v>
      </c>
      <c r="Q664" t="s">
        <v>74</v>
      </c>
      <c r="R664" t="s">
        <v>74</v>
      </c>
      <c r="S664" t="s">
        <v>74</v>
      </c>
      <c r="T664" t="s">
        <v>12743</v>
      </c>
      <c r="U664" t="s">
        <v>74</v>
      </c>
      <c r="V664" t="s">
        <v>12744</v>
      </c>
      <c r="W664" t="s">
        <v>12745</v>
      </c>
      <c r="X664" t="s">
        <v>12746</v>
      </c>
      <c r="Y664" t="s">
        <v>12747</v>
      </c>
      <c r="Z664" t="s">
        <v>12748</v>
      </c>
      <c r="AA664" t="s">
        <v>12749</v>
      </c>
      <c r="AB664" t="s">
        <v>74</v>
      </c>
      <c r="AC664" t="s">
        <v>74</v>
      </c>
      <c r="AD664" t="s">
        <v>74</v>
      </c>
      <c r="AE664" t="s">
        <v>74</v>
      </c>
      <c r="AF664" t="s">
        <v>74</v>
      </c>
      <c r="AG664">
        <v>22</v>
      </c>
      <c r="AH664">
        <v>2</v>
      </c>
      <c r="AI664">
        <v>2</v>
      </c>
      <c r="AJ664">
        <v>0</v>
      </c>
      <c r="AK664">
        <v>10</v>
      </c>
      <c r="AL664" t="s">
        <v>1572</v>
      </c>
      <c r="AM664" t="s">
        <v>1573</v>
      </c>
      <c r="AN664" t="s">
        <v>1574</v>
      </c>
      <c r="AO664" t="s">
        <v>4511</v>
      </c>
      <c r="AP664" t="s">
        <v>4512</v>
      </c>
      <c r="AQ664" t="s">
        <v>74</v>
      </c>
      <c r="AR664" t="s">
        <v>4498</v>
      </c>
      <c r="AS664" t="s">
        <v>4513</v>
      </c>
      <c r="AT664" t="s">
        <v>12718</v>
      </c>
      <c r="AU664">
        <v>2016</v>
      </c>
      <c r="AV664">
        <v>4141</v>
      </c>
      <c r="AW664">
        <v>1</v>
      </c>
      <c r="AX664" t="s">
        <v>74</v>
      </c>
      <c r="AY664" t="s">
        <v>74</v>
      </c>
      <c r="AZ664" t="s">
        <v>74</v>
      </c>
      <c r="BA664" t="s">
        <v>74</v>
      </c>
      <c r="BB664">
        <v>1</v>
      </c>
      <c r="BC664">
        <v>70</v>
      </c>
      <c r="BD664" t="s">
        <v>74</v>
      </c>
      <c r="BE664" t="s">
        <v>12750</v>
      </c>
      <c r="BF664" t="str">
        <f>HYPERLINK("http://dx.doi.org/10.11646/zootaxa.4141.1.1","http://dx.doi.org/10.11646/zootaxa.4141.1.1")</f>
        <v>http://dx.doi.org/10.11646/zootaxa.4141.1.1</v>
      </c>
      <c r="BG664" t="s">
        <v>74</v>
      </c>
      <c r="BH664" t="s">
        <v>74</v>
      </c>
      <c r="BI664">
        <v>70</v>
      </c>
      <c r="BJ664" t="s">
        <v>3306</v>
      </c>
      <c r="BK664" t="s">
        <v>156</v>
      </c>
      <c r="BL664" t="s">
        <v>3306</v>
      </c>
      <c r="BM664" t="s">
        <v>12751</v>
      </c>
      <c r="BN664">
        <v>27470832</v>
      </c>
      <c r="BO664" t="s">
        <v>74</v>
      </c>
      <c r="BP664" t="s">
        <v>74</v>
      </c>
      <c r="BQ664" t="s">
        <v>74</v>
      </c>
      <c r="BR664" t="s">
        <v>105</v>
      </c>
      <c r="BS664" t="s">
        <v>12752</v>
      </c>
      <c r="BT664" t="str">
        <f>HYPERLINK("https%3A%2F%2Fwww.webofscience.com%2Fwos%2Fwoscc%2Ffull-record%2FWOS:000380017300001","View Full Record in Web of Science")</f>
        <v>View Full Record in Web of Science</v>
      </c>
    </row>
    <row r="665" spans="1:72" x14ac:dyDescent="0.15">
      <c r="A665" t="s">
        <v>72</v>
      </c>
      <c r="B665" t="s">
        <v>12753</v>
      </c>
      <c r="C665" t="s">
        <v>74</v>
      </c>
      <c r="D665" t="s">
        <v>74</v>
      </c>
      <c r="E665" t="s">
        <v>74</v>
      </c>
      <c r="F665" t="s">
        <v>12754</v>
      </c>
      <c r="G665" t="s">
        <v>74</v>
      </c>
      <c r="H665" t="s">
        <v>74</v>
      </c>
      <c r="I665" t="s">
        <v>12755</v>
      </c>
      <c r="J665" t="s">
        <v>1072</v>
      </c>
      <c r="K665" t="s">
        <v>74</v>
      </c>
      <c r="L665" t="s">
        <v>74</v>
      </c>
      <c r="M665" t="s">
        <v>78</v>
      </c>
      <c r="N665" t="s">
        <v>79</v>
      </c>
      <c r="O665" t="s">
        <v>74</v>
      </c>
      <c r="P665" t="s">
        <v>74</v>
      </c>
      <c r="Q665" t="s">
        <v>74</v>
      </c>
      <c r="R665" t="s">
        <v>74</v>
      </c>
      <c r="S665" t="s">
        <v>74</v>
      </c>
      <c r="T665" t="s">
        <v>74</v>
      </c>
      <c r="U665" t="s">
        <v>12756</v>
      </c>
      <c r="V665" t="s">
        <v>12757</v>
      </c>
      <c r="W665" t="s">
        <v>12758</v>
      </c>
      <c r="X665" t="s">
        <v>12759</v>
      </c>
      <c r="Y665" t="s">
        <v>12760</v>
      </c>
      <c r="Z665" t="s">
        <v>12761</v>
      </c>
      <c r="AA665" t="s">
        <v>6579</v>
      </c>
      <c r="AB665" t="s">
        <v>9519</v>
      </c>
      <c r="AC665" t="s">
        <v>12762</v>
      </c>
      <c r="AD665" t="s">
        <v>2632</v>
      </c>
      <c r="AE665" t="s">
        <v>12763</v>
      </c>
      <c r="AF665" t="s">
        <v>74</v>
      </c>
      <c r="AG665">
        <v>19</v>
      </c>
      <c r="AH665">
        <v>5</v>
      </c>
      <c r="AI665">
        <v>6</v>
      </c>
      <c r="AJ665">
        <v>1</v>
      </c>
      <c r="AK665">
        <v>15</v>
      </c>
      <c r="AL665" t="s">
        <v>1074</v>
      </c>
      <c r="AM665" t="s">
        <v>1075</v>
      </c>
      <c r="AN665" t="s">
        <v>1076</v>
      </c>
      <c r="AO665" t="s">
        <v>1077</v>
      </c>
      <c r="AP665" t="s">
        <v>74</v>
      </c>
      <c r="AQ665" t="s">
        <v>74</v>
      </c>
      <c r="AR665" t="s">
        <v>1072</v>
      </c>
      <c r="AS665" t="s">
        <v>1078</v>
      </c>
      <c r="AT665" t="s">
        <v>12764</v>
      </c>
      <c r="AU665">
        <v>2016</v>
      </c>
      <c r="AV665">
        <v>11</v>
      </c>
      <c r="AW665">
        <v>7</v>
      </c>
      <c r="AX665" t="s">
        <v>74</v>
      </c>
      <c r="AY665" t="s">
        <v>74</v>
      </c>
      <c r="AZ665" t="s">
        <v>74</v>
      </c>
      <c r="BA665" t="s">
        <v>74</v>
      </c>
      <c r="BB665" t="s">
        <v>74</v>
      </c>
      <c r="BC665" t="s">
        <v>74</v>
      </c>
      <c r="BD665" t="s">
        <v>12765</v>
      </c>
      <c r="BE665" t="s">
        <v>12766</v>
      </c>
      <c r="BF665" t="str">
        <f>HYPERLINK("http://dx.doi.org/10.1371/journal.pone.0159038","http://dx.doi.org/10.1371/journal.pone.0159038")</f>
        <v>http://dx.doi.org/10.1371/journal.pone.0159038</v>
      </c>
      <c r="BG665" t="s">
        <v>74</v>
      </c>
      <c r="BH665" t="s">
        <v>74</v>
      </c>
      <c r="BI665">
        <v>12</v>
      </c>
      <c r="BJ665" t="s">
        <v>719</v>
      </c>
      <c r="BK665" t="s">
        <v>156</v>
      </c>
      <c r="BL665" t="s">
        <v>720</v>
      </c>
      <c r="BM665" t="s">
        <v>12767</v>
      </c>
      <c r="BN665">
        <v>27441705</v>
      </c>
      <c r="BO665" t="s">
        <v>6332</v>
      </c>
      <c r="BP665" t="s">
        <v>74</v>
      </c>
      <c r="BQ665" t="s">
        <v>74</v>
      </c>
      <c r="BR665" t="s">
        <v>105</v>
      </c>
      <c r="BS665" t="s">
        <v>12768</v>
      </c>
      <c r="BT665" t="str">
        <f>HYPERLINK("https%3A%2F%2Fwww.webofscience.com%2Fwos%2Fwoscc%2Ffull-record%2FWOS:000380797500036","View Full Record in Web of Science")</f>
        <v>View Full Record in Web of Science</v>
      </c>
    </row>
    <row r="666" spans="1:72" x14ac:dyDescent="0.15">
      <c r="A666" t="s">
        <v>72</v>
      </c>
      <c r="B666" t="s">
        <v>12769</v>
      </c>
      <c r="C666" t="s">
        <v>74</v>
      </c>
      <c r="D666" t="s">
        <v>74</v>
      </c>
      <c r="E666" t="s">
        <v>74</v>
      </c>
      <c r="F666" t="s">
        <v>12770</v>
      </c>
      <c r="G666" t="s">
        <v>74</v>
      </c>
      <c r="H666" t="s">
        <v>74</v>
      </c>
      <c r="I666" t="s">
        <v>12771</v>
      </c>
      <c r="J666" t="s">
        <v>4778</v>
      </c>
      <c r="K666" t="s">
        <v>74</v>
      </c>
      <c r="L666" t="s">
        <v>74</v>
      </c>
      <c r="M666" t="s">
        <v>78</v>
      </c>
      <c r="N666" t="s">
        <v>587</v>
      </c>
      <c r="O666" t="s">
        <v>74</v>
      </c>
      <c r="P666" t="s">
        <v>74</v>
      </c>
      <c r="Q666" t="s">
        <v>74</v>
      </c>
      <c r="R666" t="s">
        <v>74</v>
      </c>
      <c r="S666" t="s">
        <v>74</v>
      </c>
      <c r="T666" t="s">
        <v>74</v>
      </c>
      <c r="U666" t="s">
        <v>12772</v>
      </c>
      <c r="V666" t="s">
        <v>74</v>
      </c>
      <c r="W666" t="s">
        <v>12773</v>
      </c>
      <c r="X666" t="s">
        <v>12774</v>
      </c>
      <c r="Y666" t="s">
        <v>12775</v>
      </c>
      <c r="Z666" t="s">
        <v>12776</v>
      </c>
      <c r="AA666" t="s">
        <v>12777</v>
      </c>
      <c r="AB666" t="s">
        <v>74</v>
      </c>
      <c r="AC666" t="s">
        <v>74</v>
      </c>
      <c r="AD666" t="s">
        <v>74</v>
      </c>
      <c r="AE666" t="s">
        <v>74</v>
      </c>
      <c r="AF666" t="s">
        <v>74</v>
      </c>
      <c r="AG666">
        <v>13</v>
      </c>
      <c r="AH666">
        <v>5</v>
      </c>
      <c r="AI666">
        <v>6</v>
      </c>
      <c r="AJ666">
        <v>1</v>
      </c>
      <c r="AK666">
        <v>26</v>
      </c>
      <c r="AL666" t="s">
        <v>275</v>
      </c>
      <c r="AM666" t="s">
        <v>250</v>
      </c>
      <c r="AN666" t="s">
        <v>276</v>
      </c>
      <c r="AO666" t="s">
        <v>4790</v>
      </c>
      <c r="AP666" t="s">
        <v>4791</v>
      </c>
      <c r="AQ666" t="s">
        <v>74</v>
      </c>
      <c r="AR666" t="s">
        <v>4778</v>
      </c>
      <c r="AS666" t="s">
        <v>4792</v>
      </c>
      <c r="AT666" t="s">
        <v>12764</v>
      </c>
      <c r="AU666">
        <v>2016</v>
      </c>
      <c r="AV666">
        <v>535</v>
      </c>
      <c r="AW666">
        <v>7612</v>
      </c>
      <c r="AX666" t="s">
        <v>74</v>
      </c>
      <c r="AY666" t="s">
        <v>74</v>
      </c>
      <c r="AZ666" t="s">
        <v>74</v>
      </c>
      <c r="BA666" t="s">
        <v>74</v>
      </c>
      <c r="BB666">
        <v>358</v>
      </c>
      <c r="BC666">
        <v>359</v>
      </c>
      <c r="BD666" t="s">
        <v>74</v>
      </c>
      <c r="BE666" t="s">
        <v>12778</v>
      </c>
      <c r="BF666" t="str">
        <f>HYPERLINK("http://dx.doi.org/10.1038/535358a","http://dx.doi.org/10.1038/535358a")</f>
        <v>http://dx.doi.org/10.1038/535358a</v>
      </c>
      <c r="BG666" t="s">
        <v>74</v>
      </c>
      <c r="BH666" t="s">
        <v>74</v>
      </c>
      <c r="BI666">
        <v>2</v>
      </c>
      <c r="BJ666" t="s">
        <v>719</v>
      </c>
      <c r="BK666" t="s">
        <v>156</v>
      </c>
      <c r="BL666" t="s">
        <v>720</v>
      </c>
      <c r="BM666" t="s">
        <v>12779</v>
      </c>
      <c r="BN666">
        <v>27443735</v>
      </c>
      <c r="BO666" t="s">
        <v>258</v>
      </c>
      <c r="BP666" t="s">
        <v>74</v>
      </c>
      <c r="BQ666" t="s">
        <v>74</v>
      </c>
      <c r="BR666" t="s">
        <v>105</v>
      </c>
      <c r="BS666" t="s">
        <v>12780</v>
      </c>
      <c r="BT666" t="str">
        <f>HYPERLINK("https%3A%2F%2Fwww.webofscience.com%2Fwos%2Fwoscc%2Ffull-record%2FWOS:000380344200024","View Full Record in Web of Science")</f>
        <v>View Full Record in Web of Science</v>
      </c>
    </row>
    <row r="667" spans="1:72" x14ac:dyDescent="0.15">
      <c r="A667" t="s">
        <v>72</v>
      </c>
      <c r="B667" t="s">
        <v>12781</v>
      </c>
      <c r="C667" t="s">
        <v>74</v>
      </c>
      <c r="D667" t="s">
        <v>74</v>
      </c>
      <c r="E667" t="s">
        <v>74</v>
      </c>
      <c r="F667" t="s">
        <v>12782</v>
      </c>
      <c r="G667" t="s">
        <v>74</v>
      </c>
      <c r="H667" t="s">
        <v>74</v>
      </c>
      <c r="I667" t="s">
        <v>12783</v>
      </c>
      <c r="J667" t="s">
        <v>4778</v>
      </c>
      <c r="K667" t="s">
        <v>74</v>
      </c>
      <c r="L667" t="s">
        <v>74</v>
      </c>
      <c r="M667" t="s">
        <v>78</v>
      </c>
      <c r="N667" t="s">
        <v>79</v>
      </c>
      <c r="O667" t="s">
        <v>74</v>
      </c>
      <c r="P667" t="s">
        <v>74</v>
      </c>
      <c r="Q667" t="s">
        <v>74</v>
      </c>
      <c r="R667" t="s">
        <v>74</v>
      </c>
      <c r="S667" t="s">
        <v>74</v>
      </c>
      <c r="T667" t="s">
        <v>74</v>
      </c>
      <c r="U667" t="s">
        <v>12784</v>
      </c>
      <c r="V667" t="s">
        <v>12785</v>
      </c>
      <c r="W667" t="s">
        <v>12786</v>
      </c>
      <c r="X667" t="s">
        <v>1347</v>
      </c>
      <c r="Y667" t="s">
        <v>12787</v>
      </c>
      <c r="Z667" t="s">
        <v>12788</v>
      </c>
      <c r="AA667" t="s">
        <v>12789</v>
      </c>
      <c r="AB667" t="s">
        <v>12790</v>
      </c>
      <c r="AC667" t="s">
        <v>12791</v>
      </c>
      <c r="AD667" t="s">
        <v>12792</v>
      </c>
      <c r="AE667" t="s">
        <v>12793</v>
      </c>
      <c r="AF667" t="s">
        <v>74</v>
      </c>
      <c r="AG667">
        <v>40</v>
      </c>
      <c r="AH667">
        <v>492</v>
      </c>
      <c r="AI667">
        <v>526</v>
      </c>
      <c r="AJ667">
        <v>13</v>
      </c>
      <c r="AK667">
        <v>221</v>
      </c>
      <c r="AL667" t="s">
        <v>275</v>
      </c>
      <c r="AM667" t="s">
        <v>250</v>
      </c>
      <c r="AN667" t="s">
        <v>276</v>
      </c>
      <c r="AO667" t="s">
        <v>4790</v>
      </c>
      <c r="AP667" t="s">
        <v>4791</v>
      </c>
      <c r="AQ667" t="s">
        <v>74</v>
      </c>
      <c r="AR667" t="s">
        <v>4778</v>
      </c>
      <c r="AS667" t="s">
        <v>4792</v>
      </c>
      <c r="AT667" t="s">
        <v>12764</v>
      </c>
      <c r="AU667">
        <v>2016</v>
      </c>
      <c r="AV667">
        <v>535</v>
      </c>
      <c r="AW667">
        <v>7612</v>
      </c>
      <c r="AX667" t="s">
        <v>74</v>
      </c>
      <c r="AY667" t="s">
        <v>74</v>
      </c>
      <c r="AZ667" t="s">
        <v>74</v>
      </c>
      <c r="BA667" t="s">
        <v>74</v>
      </c>
      <c r="BB667">
        <v>411</v>
      </c>
      <c r="BC667" t="s">
        <v>5030</v>
      </c>
      <c r="BD667" t="s">
        <v>74</v>
      </c>
      <c r="BE667" t="s">
        <v>12794</v>
      </c>
      <c r="BF667" t="str">
        <f>HYPERLINK("http://dx.doi.org/10.1038/nature18645","http://dx.doi.org/10.1038/nature18645")</f>
        <v>http://dx.doi.org/10.1038/nature18645</v>
      </c>
      <c r="BG667" t="s">
        <v>74</v>
      </c>
      <c r="BH667" t="s">
        <v>74</v>
      </c>
      <c r="BI667">
        <v>13</v>
      </c>
      <c r="BJ667" t="s">
        <v>719</v>
      </c>
      <c r="BK667" t="s">
        <v>156</v>
      </c>
      <c r="BL667" t="s">
        <v>720</v>
      </c>
      <c r="BM667" t="s">
        <v>12779</v>
      </c>
      <c r="BN667">
        <v>27443743</v>
      </c>
      <c r="BO667" t="s">
        <v>74</v>
      </c>
      <c r="BP667" t="s">
        <v>1447</v>
      </c>
      <c r="BQ667" t="s">
        <v>1448</v>
      </c>
      <c r="BR667" t="s">
        <v>105</v>
      </c>
      <c r="BS667" t="s">
        <v>12795</v>
      </c>
      <c r="BT667" t="str">
        <f>HYPERLINK("https%3A%2F%2Fwww.webofscience.com%2Fwos%2Fwoscc%2Ffull-record%2FWOS:000380344200038","View Full Record in Web of Science")</f>
        <v>View Full Record in Web of Science</v>
      </c>
    </row>
    <row r="668" spans="1:72" x14ac:dyDescent="0.15">
      <c r="A668" t="s">
        <v>72</v>
      </c>
      <c r="B668" t="s">
        <v>12796</v>
      </c>
      <c r="C668" t="s">
        <v>74</v>
      </c>
      <c r="D668" t="s">
        <v>74</v>
      </c>
      <c r="E668" t="s">
        <v>74</v>
      </c>
      <c r="F668" t="s">
        <v>12797</v>
      </c>
      <c r="G668" t="s">
        <v>74</v>
      </c>
      <c r="H668" t="s">
        <v>74</v>
      </c>
      <c r="I668" t="s">
        <v>12798</v>
      </c>
      <c r="J668" t="s">
        <v>4778</v>
      </c>
      <c r="K668" t="s">
        <v>74</v>
      </c>
      <c r="L668" t="s">
        <v>74</v>
      </c>
      <c r="M668" t="s">
        <v>78</v>
      </c>
      <c r="N668" t="s">
        <v>79</v>
      </c>
      <c r="O668" t="s">
        <v>74</v>
      </c>
      <c r="P668" t="s">
        <v>74</v>
      </c>
      <c r="Q668" t="s">
        <v>74</v>
      </c>
      <c r="R668" t="s">
        <v>74</v>
      </c>
      <c r="S668" t="s">
        <v>74</v>
      </c>
      <c r="T668" t="s">
        <v>74</v>
      </c>
      <c r="U668" t="s">
        <v>12799</v>
      </c>
      <c r="V668" t="s">
        <v>12800</v>
      </c>
      <c r="W668" t="s">
        <v>12801</v>
      </c>
      <c r="X668" t="s">
        <v>12802</v>
      </c>
      <c r="Y668" t="s">
        <v>12803</v>
      </c>
      <c r="Z668" t="s">
        <v>12804</v>
      </c>
      <c r="AA668" t="s">
        <v>12805</v>
      </c>
      <c r="AB668" t="s">
        <v>12806</v>
      </c>
      <c r="AC668" t="s">
        <v>12807</v>
      </c>
      <c r="AD668" t="s">
        <v>12808</v>
      </c>
      <c r="AE668" t="s">
        <v>12809</v>
      </c>
      <c r="AF668" t="s">
        <v>74</v>
      </c>
      <c r="AG668">
        <v>55</v>
      </c>
      <c r="AH668">
        <v>346</v>
      </c>
      <c r="AI668">
        <v>382</v>
      </c>
      <c r="AJ668">
        <v>13</v>
      </c>
      <c r="AK668">
        <v>329</v>
      </c>
      <c r="AL668" t="s">
        <v>275</v>
      </c>
      <c r="AM668" t="s">
        <v>250</v>
      </c>
      <c r="AN668" t="s">
        <v>276</v>
      </c>
      <c r="AO668" t="s">
        <v>4790</v>
      </c>
      <c r="AP668" t="s">
        <v>4791</v>
      </c>
      <c r="AQ668" t="s">
        <v>74</v>
      </c>
      <c r="AR668" t="s">
        <v>4778</v>
      </c>
      <c r="AS668" t="s">
        <v>4792</v>
      </c>
      <c r="AT668" t="s">
        <v>12764</v>
      </c>
      <c r="AU668">
        <v>2016</v>
      </c>
      <c r="AV668">
        <v>535</v>
      </c>
      <c r="AW668">
        <v>7612</v>
      </c>
      <c r="AX668" t="s">
        <v>74</v>
      </c>
      <c r="AY668" t="s">
        <v>74</v>
      </c>
      <c r="AZ668" t="s">
        <v>74</v>
      </c>
      <c r="BA668" t="s">
        <v>74</v>
      </c>
      <c r="BB668">
        <v>416</v>
      </c>
      <c r="BC668" t="s">
        <v>5030</v>
      </c>
      <c r="BD668" t="s">
        <v>74</v>
      </c>
      <c r="BE668" t="s">
        <v>12810</v>
      </c>
      <c r="BF668" t="str">
        <f>HYPERLINK("http://dx.doi.org/10.1038/nature18607","http://dx.doi.org/10.1038/nature18607")</f>
        <v>http://dx.doi.org/10.1038/nature18607</v>
      </c>
      <c r="BG668" t="s">
        <v>74</v>
      </c>
      <c r="BH668" t="s">
        <v>74</v>
      </c>
      <c r="BI668">
        <v>17</v>
      </c>
      <c r="BJ668" t="s">
        <v>719</v>
      </c>
      <c r="BK668" t="s">
        <v>156</v>
      </c>
      <c r="BL668" t="s">
        <v>720</v>
      </c>
      <c r="BM668" t="s">
        <v>12779</v>
      </c>
      <c r="BN668">
        <v>27309809</v>
      </c>
      <c r="BO668" t="s">
        <v>12811</v>
      </c>
      <c r="BP668" t="s">
        <v>1447</v>
      </c>
      <c r="BQ668" t="s">
        <v>1448</v>
      </c>
      <c r="BR668" t="s">
        <v>105</v>
      </c>
      <c r="BS668" t="s">
        <v>12812</v>
      </c>
      <c r="BT668" t="str">
        <f>HYPERLINK("https%3A%2F%2Fwww.webofscience.com%2Fwos%2Fwoscc%2Ffull-record%2FWOS:000380344200039","View Full Record in Web of Science")</f>
        <v>View Full Record in Web of Science</v>
      </c>
    </row>
    <row r="669" spans="1:72" x14ac:dyDescent="0.15">
      <c r="A669" t="s">
        <v>72</v>
      </c>
      <c r="B669" t="s">
        <v>12813</v>
      </c>
      <c r="C669" t="s">
        <v>74</v>
      </c>
      <c r="D669" t="s">
        <v>74</v>
      </c>
      <c r="E669" t="s">
        <v>74</v>
      </c>
      <c r="F669" t="s">
        <v>12814</v>
      </c>
      <c r="G669" t="s">
        <v>74</v>
      </c>
      <c r="H669" t="s">
        <v>74</v>
      </c>
      <c r="I669" t="s">
        <v>12815</v>
      </c>
      <c r="J669" t="s">
        <v>1072</v>
      </c>
      <c r="K669" t="s">
        <v>74</v>
      </c>
      <c r="L669" t="s">
        <v>74</v>
      </c>
      <c r="M669" t="s">
        <v>78</v>
      </c>
      <c r="N669" t="s">
        <v>79</v>
      </c>
      <c r="O669" t="s">
        <v>74</v>
      </c>
      <c r="P669" t="s">
        <v>74</v>
      </c>
      <c r="Q669" t="s">
        <v>74</v>
      </c>
      <c r="R669" t="s">
        <v>74</v>
      </c>
      <c r="S669" t="s">
        <v>74</v>
      </c>
      <c r="T669" t="s">
        <v>74</v>
      </c>
      <c r="U669" t="s">
        <v>12816</v>
      </c>
      <c r="V669" t="s">
        <v>12817</v>
      </c>
      <c r="W669" t="s">
        <v>12818</v>
      </c>
      <c r="X669" t="s">
        <v>12819</v>
      </c>
      <c r="Y669" t="s">
        <v>12820</v>
      </c>
      <c r="Z669" t="s">
        <v>12821</v>
      </c>
      <c r="AA669" t="s">
        <v>12822</v>
      </c>
      <c r="AB669" t="s">
        <v>12823</v>
      </c>
      <c r="AC669" t="s">
        <v>12824</v>
      </c>
      <c r="AD669" t="s">
        <v>12825</v>
      </c>
      <c r="AE669" t="s">
        <v>12826</v>
      </c>
      <c r="AF669" t="s">
        <v>74</v>
      </c>
      <c r="AG669">
        <v>35</v>
      </c>
      <c r="AH669">
        <v>13</v>
      </c>
      <c r="AI669">
        <v>15</v>
      </c>
      <c r="AJ669">
        <v>0</v>
      </c>
      <c r="AK669">
        <v>18</v>
      </c>
      <c r="AL669" t="s">
        <v>1074</v>
      </c>
      <c r="AM669" t="s">
        <v>1075</v>
      </c>
      <c r="AN669" t="s">
        <v>1076</v>
      </c>
      <c r="AO669" t="s">
        <v>1077</v>
      </c>
      <c r="AP669" t="s">
        <v>74</v>
      </c>
      <c r="AQ669" t="s">
        <v>74</v>
      </c>
      <c r="AR669" t="s">
        <v>1072</v>
      </c>
      <c r="AS669" t="s">
        <v>1078</v>
      </c>
      <c r="AT669" t="s">
        <v>12764</v>
      </c>
      <c r="AU669">
        <v>2016</v>
      </c>
      <c r="AV669">
        <v>11</v>
      </c>
      <c r="AW669">
        <v>7</v>
      </c>
      <c r="AX669" t="s">
        <v>74</v>
      </c>
      <c r="AY669" t="s">
        <v>74</v>
      </c>
      <c r="AZ669" t="s">
        <v>74</v>
      </c>
      <c r="BA669" t="s">
        <v>74</v>
      </c>
      <c r="BB669" t="s">
        <v>74</v>
      </c>
      <c r="BC669" t="s">
        <v>74</v>
      </c>
      <c r="BD669" t="s">
        <v>12827</v>
      </c>
      <c r="BE669" t="s">
        <v>12828</v>
      </c>
      <c r="BF669" t="str">
        <f>HYPERLINK("http://dx.doi.org/10.1371/journal.pone.0159671","http://dx.doi.org/10.1371/journal.pone.0159671")</f>
        <v>http://dx.doi.org/10.1371/journal.pone.0159671</v>
      </c>
      <c r="BG669" t="s">
        <v>74</v>
      </c>
      <c r="BH669" t="s">
        <v>74</v>
      </c>
      <c r="BI669">
        <v>15</v>
      </c>
      <c r="BJ669" t="s">
        <v>719</v>
      </c>
      <c r="BK669" t="s">
        <v>156</v>
      </c>
      <c r="BL669" t="s">
        <v>720</v>
      </c>
      <c r="BM669" t="s">
        <v>12767</v>
      </c>
      <c r="BN669">
        <v>27442242</v>
      </c>
      <c r="BO669" t="s">
        <v>12829</v>
      </c>
      <c r="BP669" t="s">
        <v>74</v>
      </c>
      <c r="BQ669" t="s">
        <v>74</v>
      </c>
      <c r="BR669" t="s">
        <v>105</v>
      </c>
      <c r="BS669" t="s">
        <v>12830</v>
      </c>
      <c r="BT669" t="str">
        <f>HYPERLINK("https%3A%2F%2Fwww.webofscience.com%2Fwos%2Fwoscc%2Ffull-record%2FWOS:000380797500117","View Full Record in Web of Science")</f>
        <v>View Full Record in Web of Science</v>
      </c>
    </row>
    <row r="670" spans="1:72" x14ac:dyDescent="0.15">
      <c r="A670" t="s">
        <v>72</v>
      </c>
      <c r="B670" t="s">
        <v>12831</v>
      </c>
      <c r="C670" t="s">
        <v>74</v>
      </c>
      <c r="D670" t="s">
        <v>74</v>
      </c>
      <c r="E670" t="s">
        <v>74</v>
      </c>
      <c r="F670" t="s">
        <v>12832</v>
      </c>
      <c r="G670" t="s">
        <v>74</v>
      </c>
      <c r="H670" t="s">
        <v>74</v>
      </c>
      <c r="I670" t="s">
        <v>12833</v>
      </c>
      <c r="J670" t="s">
        <v>2078</v>
      </c>
      <c r="K670" t="s">
        <v>74</v>
      </c>
      <c r="L670" t="s">
        <v>74</v>
      </c>
      <c r="M670" t="s">
        <v>78</v>
      </c>
      <c r="N670" t="s">
        <v>79</v>
      </c>
      <c r="O670" t="s">
        <v>74</v>
      </c>
      <c r="P670" t="s">
        <v>74</v>
      </c>
      <c r="Q670" t="s">
        <v>74</v>
      </c>
      <c r="R670" t="s">
        <v>74</v>
      </c>
      <c r="S670" t="s">
        <v>74</v>
      </c>
      <c r="T670" t="s">
        <v>74</v>
      </c>
      <c r="U670" t="s">
        <v>12834</v>
      </c>
      <c r="V670" t="s">
        <v>12835</v>
      </c>
      <c r="W670" t="s">
        <v>12836</v>
      </c>
      <c r="X670" t="s">
        <v>12837</v>
      </c>
      <c r="Y670" t="s">
        <v>12838</v>
      </c>
      <c r="Z670" t="s">
        <v>12839</v>
      </c>
      <c r="AA670" t="s">
        <v>12840</v>
      </c>
      <c r="AB670" t="s">
        <v>12841</v>
      </c>
      <c r="AC670" t="s">
        <v>12842</v>
      </c>
      <c r="AD670" t="s">
        <v>12843</v>
      </c>
      <c r="AE670" t="s">
        <v>12844</v>
      </c>
      <c r="AF670" t="s">
        <v>74</v>
      </c>
      <c r="AG670">
        <v>55</v>
      </c>
      <c r="AH670">
        <v>47</v>
      </c>
      <c r="AI670">
        <v>50</v>
      </c>
      <c r="AJ670">
        <v>1</v>
      </c>
      <c r="AK670">
        <v>13</v>
      </c>
      <c r="AL670" t="s">
        <v>574</v>
      </c>
      <c r="AM670" t="s">
        <v>575</v>
      </c>
      <c r="AN670" t="s">
        <v>576</v>
      </c>
      <c r="AO670" t="s">
        <v>2090</v>
      </c>
      <c r="AP670" t="s">
        <v>74</v>
      </c>
      <c r="AQ670" t="s">
        <v>74</v>
      </c>
      <c r="AR670" t="s">
        <v>2091</v>
      </c>
      <c r="AS670" t="s">
        <v>2092</v>
      </c>
      <c r="AT670" t="s">
        <v>12764</v>
      </c>
      <c r="AU670">
        <v>2016</v>
      </c>
      <c r="AV670">
        <v>6</v>
      </c>
      <c r="AW670" t="s">
        <v>74</v>
      </c>
      <c r="AX670" t="s">
        <v>74</v>
      </c>
      <c r="AY670" t="s">
        <v>74</v>
      </c>
      <c r="AZ670" t="s">
        <v>74</v>
      </c>
      <c r="BA670" t="s">
        <v>74</v>
      </c>
      <c r="BB670" t="s">
        <v>74</v>
      </c>
      <c r="BC670" t="s">
        <v>74</v>
      </c>
      <c r="BD670" t="s">
        <v>74</v>
      </c>
      <c r="BE670" t="s">
        <v>12845</v>
      </c>
      <c r="BF670" t="str">
        <f>HYPERLINK("http://dx.doi.org/10.1038/srep29932","http://dx.doi.org/10.1038/srep29932")</f>
        <v>http://dx.doi.org/10.1038/srep29932</v>
      </c>
      <c r="BG670" t="s">
        <v>74</v>
      </c>
      <c r="BH670" t="s">
        <v>74</v>
      </c>
      <c r="BI670">
        <v>13</v>
      </c>
      <c r="BJ670" t="s">
        <v>719</v>
      </c>
      <c r="BK670" t="s">
        <v>156</v>
      </c>
      <c r="BL670" t="s">
        <v>720</v>
      </c>
      <c r="BM670" t="s">
        <v>12846</v>
      </c>
      <c r="BN670">
        <v>27443877</v>
      </c>
      <c r="BO670" t="s">
        <v>12847</v>
      </c>
      <c r="BP670" t="s">
        <v>74</v>
      </c>
      <c r="BQ670" t="s">
        <v>74</v>
      </c>
      <c r="BR670" t="s">
        <v>105</v>
      </c>
      <c r="BS670" t="s">
        <v>12848</v>
      </c>
      <c r="BT670" t="str">
        <f>HYPERLINK("https%3A%2F%2Fwww.webofscience.com%2Fwos%2Fwoscc%2Ffull-record%2FWOS:000392082100001","View Full Record in Web of Science")</f>
        <v>View Full Record in Web of Science</v>
      </c>
    </row>
    <row r="671" spans="1:72" x14ac:dyDescent="0.15">
      <c r="A671" t="s">
        <v>72</v>
      </c>
      <c r="B671" t="s">
        <v>12849</v>
      </c>
      <c r="C671" t="s">
        <v>74</v>
      </c>
      <c r="D671" t="s">
        <v>74</v>
      </c>
      <c r="E671" t="s">
        <v>74</v>
      </c>
      <c r="F671" t="s">
        <v>12850</v>
      </c>
      <c r="G671" t="s">
        <v>74</v>
      </c>
      <c r="H671" t="s">
        <v>74</v>
      </c>
      <c r="I671" t="s">
        <v>12851</v>
      </c>
      <c r="J671" t="s">
        <v>12852</v>
      </c>
      <c r="K671" t="s">
        <v>74</v>
      </c>
      <c r="L671" t="s">
        <v>74</v>
      </c>
      <c r="M671" t="s">
        <v>78</v>
      </c>
      <c r="N671" t="s">
        <v>79</v>
      </c>
      <c r="O671" t="s">
        <v>74</v>
      </c>
      <c r="P671" t="s">
        <v>74</v>
      </c>
      <c r="Q671" t="s">
        <v>74</v>
      </c>
      <c r="R671" t="s">
        <v>74</v>
      </c>
      <c r="S671" t="s">
        <v>74</v>
      </c>
      <c r="T671" t="s">
        <v>12853</v>
      </c>
      <c r="U671" t="s">
        <v>12854</v>
      </c>
      <c r="V671" t="s">
        <v>12855</v>
      </c>
      <c r="W671" t="s">
        <v>12856</v>
      </c>
      <c r="X671" t="s">
        <v>12857</v>
      </c>
      <c r="Y671" t="s">
        <v>12858</v>
      </c>
      <c r="Z671" t="s">
        <v>12859</v>
      </c>
      <c r="AA671" t="s">
        <v>12860</v>
      </c>
      <c r="AB671" t="s">
        <v>12861</v>
      </c>
      <c r="AC671" t="s">
        <v>12862</v>
      </c>
      <c r="AD671" t="s">
        <v>12862</v>
      </c>
      <c r="AE671" t="s">
        <v>12863</v>
      </c>
      <c r="AF671" t="s">
        <v>74</v>
      </c>
      <c r="AG671">
        <v>121</v>
      </c>
      <c r="AH671">
        <v>8</v>
      </c>
      <c r="AI671">
        <v>10</v>
      </c>
      <c r="AJ671">
        <v>2</v>
      </c>
      <c r="AK671">
        <v>17</v>
      </c>
      <c r="AL671" t="s">
        <v>1911</v>
      </c>
      <c r="AM671" t="s">
        <v>250</v>
      </c>
      <c r="AN671" t="s">
        <v>1912</v>
      </c>
      <c r="AO671" t="s">
        <v>12864</v>
      </c>
      <c r="AP671" t="s">
        <v>74</v>
      </c>
      <c r="AQ671" t="s">
        <v>74</v>
      </c>
      <c r="AR671" t="s">
        <v>12865</v>
      </c>
      <c r="AS671" t="s">
        <v>12866</v>
      </c>
      <c r="AT671" t="s">
        <v>12867</v>
      </c>
      <c r="AU671">
        <v>2016</v>
      </c>
      <c r="AV671">
        <v>9</v>
      </c>
      <c r="AW671" t="s">
        <v>74</v>
      </c>
      <c r="AX671" t="s">
        <v>74</v>
      </c>
      <c r="AY671" t="s">
        <v>74</v>
      </c>
      <c r="AZ671" t="s">
        <v>74</v>
      </c>
      <c r="BA671" t="s">
        <v>74</v>
      </c>
      <c r="BB671" t="s">
        <v>74</v>
      </c>
      <c r="BC671" t="s">
        <v>74</v>
      </c>
      <c r="BD671">
        <v>403</v>
      </c>
      <c r="BE671" t="s">
        <v>12868</v>
      </c>
      <c r="BF671" t="str">
        <f>HYPERLINK("http://dx.doi.org/10.1186/s13071-016-1688-x","http://dx.doi.org/10.1186/s13071-016-1688-x")</f>
        <v>http://dx.doi.org/10.1186/s13071-016-1688-x</v>
      </c>
      <c r="BG671" t="s">
        <v>74</v>
      </c>
      <c r="BH671" t="s">
        <v>74</v>
      </c>
      <c r="BI671">
        <v>11</v>
      </c>
      <c r="BJ671" t="s">
        <v>12869</v>
      </c>
      <c r="BK671" t="s">
        <v>156</v>
      </c>
      <c r="BL671" t="s">
        <v>12869</v>
      </c>
      <c r="BM671" t="s">
        <v>12870</v>
      </c>
      <c r="BN671">
        <v>27439703</v>
      </c>
      <c r="BO671" t="s">
        <v>133</v>
      </c>
      <c r="BP671" t="s">
        <v>74</v>
      </c>
      <c r="BQ671" t="s">
        <v>74</v>
      </c>
      <c r="BR671" t="s">
        <v>105</v>
      </c>
      <c r="BS671" t="s">
        <v>12871</v>
      </c>
      <c r="BT671" t="str">
        <f>HYPERLINK("https%3A%2F%2Fwww.webofscience.com%2Fwos%2Fwoscc%2Ffull-record%2FWOS:000380327300001","View Full Record in Web of Science")</f>
        <v>View Full Record in Web of Science</v>
      </c>
    </row>
    <row r="672" spans="1:72" x14ac:dyDescent="0.15">
      <c r="A672" t="s">
        <v>72</v>
      </c>
      <c r="B672" t="s">
        <v>12872</v>
      </c>
      <c r="C672" t="s">
        <v>74</v>
      </c>
      <c r="D672" t="s">
        <v>74</v>
      </c>
      <c r="E672" t="s">
        <v>74</v>
      </c>
      <c r="F672" t="s">
        <v>12873</v>
      </c>
      <c r="G672" t="s">
        <v>74</v>
      </c>
      <c r="H672" t="s">
        <v>74</v>
      </c>
      <c r="I672" t="s">
        <v>12874</v>
      </c>
      <c r="J672" t="s">
        <v>12875</v>
      </c>
      <c r="K672" t="s">
        <v>74</v>
      </c>
      <c r="L672" t="s">
        <v>74</v>
      </c>
      <c r="M672" t="s">
        <v>78</v>
      </c>
      <c r="N672" t="s">
        <v>79</v>
      </c>
      <c r="O672" t="s">
        <v>74</v>
      </c>
      <c r="P672" t="s">
        <v>74</v>
      </c>
      <c r="Q672" t="s">
        <v>74</v>
      </c>
      <c r="R672" t="s">
        <v>74</v>
      </c>
      <c r="S672" t="s">
        <v>74</v>
      </c>
      <c r="T672" t="s">
        <v>12876</v>
      </c>
      <c r="U672" t="s">
        <v>12877</v>
      </c>
      <c r="V672" t="s">
        <v>12878</v>
      </c>
      <c r="W672" t="s">
        <v>12879</v>
      </c>
      <c r="X672" t="s">
        <v>12880</v>
      </c>
      <c r="Y672" t="s">
        <v>12881</v>
      </c>
      <c r="Z672" t="s">
        <v>12882</v>
      </c>
      <c r="AA672" t="s">
        <v>74</v>
      </c>
      <c r="AB672" t="s">
        <v>1751</v>
      </c>
      <c r="AC672" t="s">
        <v>12883</v>
      </c>
      <c r="AD672" t="s">
        <v>12884</v>
      </c>
      <c r="AE672" t="s">
        <v>12885</v>
      </c>
      <c r="AF672" t="s">
        <v>74</v>
      </c>
      <c r="AG672">
        <v>9</v>
      </c>
      <c r="AH672">
        <v>2</v>
      </c>
      <c r="AI672">
        <v>2</v>
      </c>
      <c r="AJ672">
        <v>0</v>
      </c>
      <c r="AK672">
        <v>33</v>
      </c>
      <c r="AL672" t="s">
        <v>92</v>
      </c>
      <c r="AM672" t="s">
        <v>93</v>
      </c>
      <c r="AN672" t="s">
        <v>94</v>
      </c>
      <c r="AO672" t="s">
        <v>12886</v>
      </c>
      <c r="AP672" t="s">
        <v>12887</v>
      </c>
      <c r="AQ672" t="s">
        <v>74</v>
      </c>
      <c r="AR672" t="s">
        <v>12888</v>
      </c>
      <c r="AS672" t="s">
        <v>12889</v>
      </c>
      <c r="AT672" t="s">
        <v>12867</v>
      </c>
      <c r="AU672">
        <v>2016</v>
      </c>
      <c r="AV672">
        <v>230</v>
      </c>
      <c r="AW672" t="s">
        <v>74</v>
      </c>
      <c r="AX672" t="s">
        <v>74</v>
      </c>
      <c r="AY672" t="s">
        <v>74</v>
      </c>
      <c r="AZ672" t="s">
        <v>74</v>
      </c>
      <c r="BA672" t="s">
        <v>74</v>
      </c>
      <c r="BB672">
        <v>28</v>
      </c>
      <c r="BC672">
        <v>29</v>
      </c>
      <c r="BD672" t="s">
        <v>74</v>
      </c>
      <c r="BE672" t="s">
        <v>12890</v>
      </c>
      <c r="BF672" t="str">
        <f>HYPERLINK("http://dx.doi.org/10.1016/j.jbiotec.2016.05.013","http://dx.doi.org/10.1016/j.jbiotec.2016.05.013")</f>
        <v>http://dx.doi.org/10.1016/j.jbiotec.2016.05.013</v>
      </c>
      <c r="BG672" t="s">
        <v>74</v>
      </c>
      <c r="BH672" t="s">
        <v>74</v>
      </c>
      <c r="BI672">
        <v>2</v>
      </c>
      <c r="BJ672" t="s">
        <v>12891</v>
      </c>
      <c r="BK672" t="s">
        <v>156</v>
      </c>
      <c r="BL672" t="s">
        <v>12891</v>
      </c>
      <c r="BM672" t="s">
        <v>12892</v>
      </c>
      <c r="BN672">
        <v>27184431</v>
      </c>
      <c r="BO672" t="s">
        <v>74</v>
      </c>
      <c r="BP672" t="s">
        <v>74</v>
      </c>
      <c r="BQ672" t="s">
        <v>74</v>
      </c>
      <c r="BR672" t="s">
        <v>105</v>
      </c>
      <c r="BS672" t="s">
        <v>12893</v>
      </c>
      <c r="BT672" t="str">
        <f>HYPERLINK("https%3A%2F%2Fwww.webofscience.com%2Fwos%2Fwoscc%2Ffull-record%2FWOS:000377981300006","View Full Record in Web of Science")</f>
        <v>View Full Record in Web of Science</v>
      </c>
    </row>
    <row r="673" spans="1:72" x14ac:dyDescent="0.15">
      <c r="A673" t="s">
        <v>72</v>
      </c>
      <c r="B673" t="s">
        <v>12894</v>
      </c>
      <c r="C673" t="s">
        <v>74</v>
      </c>
      <c r="D673" t="s">
        <v>74</v>
      </c>
      <c r="E673" t="s">
        <v>74</v>
      </c>
      <c r="F673" t="s">
        <v>12895</v>
      </c>
      <c r="G673" t="s">
        <v>74</v>
      </c>
      <c r="H673" t="s">
        <v>74</v>
      </c>
      <c r="I673" t="s">
        <v>12896</v>
      </c>
      <c r="J673" t="s">
        <v>12897</v>
      </c>
      <c r="K673" t="s">
        <v>74</v>
      </c>
      <c r="L673" t="s">
        <v>74</v>
      </c>
      <c r="M673" t="s">
        <v>78</v>
      </c>
      <c r="N673" t="s">
        <v>79</v>
      </c>
      <c r="O673" t="s">
        <v>74</v>
      </c>
      <c r="P673" t="s">
        <v>74</v>
      </c>
      <c r="Q673" t="s">
        <v>74</v>
      </c>
      <c r="R673" t="s">
        <v>74</v>
      </c>
      <c r="S673" t="s">
        <v>74</v>
      </c>
      <c r="T673" t="s">
        <v>12898</v>
      </c>
      <c r="U673" t="s">
        <v>12899</v>
      </c>
      <c r="V673" t="s">
        <v>12900</v>
      </c>
      <c r="W673" t="s">
        <v>12901</v>
      </c>
      <c r="X673" t="s">
        <v>12902</v>
      </c>
      <c r="Y673" t="s">
        <v>12903</v>
      </c>
      <c r="Z673" t="s">
        <v>12904</v>
      </c>
      <c r="AA673" t="s">
        <v>74</v>
      </c>
      <c r="AB673" t="s">
        <v>74</v>
      </c>
      <c r="AC673" t="s">
        <v>12905</v>
      </c>
      <c r="AD673" t="s">
        <v>12906</v>
      </c>
      <c r="AE673" t="s">
        <v>12907</v>
      </c>
      <c r="AF673" t="s">
        <v>74</v>
      </c>
      <c r="AG673">
        <v>47</v>
      </c>
      <c r="AH673">
        <v>22</v>
      </c>
      <c r="AI673">
        <v>24</v>
      </c>
      <c r="AJ673">
        <v>6</v>
      </c>
      <c r="AK673">
        <v>69</v>
      </c>
      <c r="AL673" t="s">
        <v>474</v>
      </c>
      <c r="AM673" t="s">
        <v>304</v>
      </c>
      <c r="AN673" t="s">
        <v>475</v>
      </c>
      <c r="AO673" t="s">
        <v>12908</v>
      </c>
      <c r="AP673" t="s">
        <v>12909</v>
      </c>
      <c r="AQ673" t="s">
        <v>74</v>
      </c>
      <c r="AR673" t="s">
        <v>12910</v>
      </c>
      <c r="AS673" t="s">
        <v>12911</v>
      </c>
      <c r="AT673" t="s">
        <v>12867</v>
      </c>
      <c r="AU673">
        <v>2016</v>
      </c>
      <c r="AV673">
        <v>127</v>
      </c>
      <c r="AW673" t="s">
        <v>74</v>
      </c>
      <c r="AX673" t="s">
        <v>74</v>
      </c>
      <c r="AY673" t="s">
        <v>74</v>
      </c>
      <c r="AZ673" t="s">
        <v>74</v>
      </c>
      <c r="BA673" t="s">
        <v>74</v>
      </c>
      <c r="BB673">
        <v>618</v>
      </c>
      <c r="BC673">
        <v>623</v>
      </c>
      <c r="BD673" t="s">
        <v>74</v>
      </c>
      <c r="BE673" t="s">
        <v>12912</v>
      </c>
      <c r="BF673" t="str">
        <f>HYPERLINK("http://dx.doi.org/10.1016/j.jclepro.2016.04.020","http://dx.doi.org/10.1016/j.jclepro.2016.04.020")</f>
        <v>http://dx.doi.org/10.1016/j.jclepro.2016.04.020</v>
      </c>
      <c r="BG673" t="s">
        <v>74</v>
      </c>
      <c r="BH673" t="s">
        <v>74</v>
      </c>
      <c r="BI673">
        <v>6</v>
      </c>
      <c r="BJ673" t="s">
        <v>12913</v>
      </c>
      <c r="BK673" t="s">
        <v>156</v>
      </c>
      <c r="BL673" t="s">
        <v>12914</v>
      </c>
      <c r="BM673" t="s">
        <v>12915</v>
      </c>
      <c r="BN673" t="s">
        <v>74</v>
      </c>
      <c r="BO673" t="s">
        <v>74</v>
      </c>
      <c r="BP673" t="s">
        <v>74</v>
      </c>
      <c r="BQ673" t="s">
        <v>74</v>
      </c>
      <c r="BR673" t="s">
        <v>105</v>
      </c>
      <c r="BS673" t="s">
        <v>12916</v>
      </c>
      <c r="BT673" t="str">
        <f>HYPERLINK("https%3A%2F%2Fwww.webofscience.com%2Fwos%2Fwoscc%2Ffull-record%2FWOS:000377311200060","View Full Record in Web of Science")</f>
        <v>View Full Record in Web of Science</v>
      </c>
    </row>
    <row r="674" spans="1:72" x14ac:dyDescent="0.15">
      <c r="A674" t="s">
        <v>72</v>
      </c>
      <c r="B674" t="s">
        <v>12917</v>
      </c>
      <c r="C674" t="s">
        <v>74</v>
      </c>
      <c r="D674" t="s">
        <v>74</v>
      </c>
      <c r="E674" t="s">
        <v>74</v>
      </c>
      <c r="F674" t="s">
        <v>12918</v>
      </c>
      <c r="G674" t="s">
        <v>74</v>
      </c>
      <c r="H674" t="s">
        <v>74</v>
      </c>
      <c r="I674" t="s">
        <v>12919</v>
      </c>
      <c r="J674" t="s">
        <v>12920</v>
      </c>
      <c r="K674" t="s">
        <v>74</v>
      </c>
      <c r="L674" t="s">
        <v>74</v>
      </c>
      <c r="M674" t="s">
        <v>78</v>
      </c>
      <c r="N674" t="s">
        <v>79</v>
      </c>
      <c r="O674" t="s">
        <v>74</v>
      </c>
      <c r="P674" t="s">
        <v>74</v>
      </c>
      <c r="Q674" t="s">
        <v>74</v>
      </c>
      <c r="R674" t="s">
        <v>74</v>
      </c>
      <c r="S674" t="s">
        <v>74</v>
      </c>
      <c r="T674" t="s">
        <v>74</v>
      </c>
      <c r="U674" t="s">
        <v>12921</v>
      </c>
      <c r="V674" t="s">
        <v>12922</v>
      </c>
      <c r="W674" t="s">
        <v>12923</v>
      </c>
      <c r="X674" t="s">
        <v>12924</v>
      </c>
      <c r="Y674" t="s">
        <v>12925</v>
      </c>
      <c r="Z674" t="s">
        <v>12926</v>
      </c>
      <c r="AA674" t="s">
        <v>74</v>
      </c>
      <c r="AB674" t="s">
        <v>12927</v>
      </c>
      <c r="AC674" t="s">
        <v>74</v>
      </c>
      <c r="AD674" t="s">
        <v>74</v>
      </c>
      <c r="AE674" t="s">
        <v>74</v>
      </c>
      <c r="AF674" t="s">
        <v>74</v>
      </c>
      <c r="AG674">
        <v>46</v>
      </c>
      <c r="AH674">
        <v>8</v>
      </c>
      <c r="AI674">
        <v>10</v>
      </c>
      <c r="AJ674">
        <v>1</v>
      </c>
      <c r="AK674">
        <v>52</v>
      </c>
      <c r="AL674" t="s">
        <v>2175</v>
      </c>
      <c r="AM674" t="s">
        <v>123</v>
      </c>
      <c r="AN674" t="s">
        <v>2176</v>
      </c>
      <c r="AO674" t="s">
        <v>12928</v>
      </c>
      <c r="AP674" t="s">
        <v>74</v>
      </c>
      <c r="AQ674" t="s">
        <v>74</v>
      </c>
      <c r="AR674" t="s">
        <v>12929</v>
      </c>
      <c r="AS674" t="s">
        <v>12930</v>
      </c>
      <c r="AT674" t="s">
        <v>12931</v>
      </c>
      <c r="AU674">
        <v>2016</v>
      </c>
      <c r="AV674">
        <v>55</v>
      </c>
      <c r="AW674">
        <v>28</v>
      </c>
      <c r="AX674" t="s">
        <v>74</v>
      </c>
      <c r="AY674" t="s">
        <v>74</v>
      </c>
      <c r="AZ674" t="s">
        <v>74</v>
      </c>
      <c r="BA674" t="s">
        <v>74</v>
      </c>
      <c r="BB674">
        <v>3975</v>
      </c>
      <c r="BC674">
        <v>3983</v>
      </c>
      <c r="BD674" t="s">
        <v>74</v>
      </c>
      <c r="BE674" t="s">
        <v>12932</v>
      </c>
      <c r="BF674" t="str">
        <f>HYPERLINK("http://dx.doi.org/10.1021/acs.biochem.6b00323","http://dx.doi.org/10.1021/acs.biochem.6b00323")</f>
        <v>http://dx.doi.org/10.1021/acs.biochem.6b00323</v>
      </c>
      <c r="BG674" t="s">
        <v>74</v>
      </c>
      <c r="BH674" t="s">
        <v>74</v>
      </c>
      <c r="BI674">
        <v>9</v>
      </c>
      <c r="BJ674" t="s">
        <v>2547</v>
      </c>
      <c r="BK674" t="s">
        <v>156</v>
      </c>
      <c r="BL674" t="s">
        <v>2547</v>
      </c>
      <c r="BM674" t="s">
        <v>12933</v>
      </c>
      <c r="BN674">
        <v>27359086</v>
      </c>
      <c r="BO674" t="s">
        <v>74</v>
      </c>
      <c r="BP674" t="s">
        <v>74</v>
      </c>
      <c r="BQ674" t="s">
        <v>74</v>
      </c>
      <c r="BR674" t="s">
        <v>105</v>
      </c>
      <c r="BS674" t="s">
        <v>12934</v>
      </c>
      <c r="BT674" t="str">
        <f>HYPERLINK("https%3A%2F%2Fwww.webofscience.com%2Fwos%2Fwoscc%2Ffull-record%2FWOS:000380297100013","View Full Record in Web of Science")</f>
        <v>View Full Record in Web of Science</v>
      </c>
    </row>
    <row r="675" spans="1:72" x14ac:dyDescent="0.15">
      <c r="A675" t="s">
        <v>72</v>
      </c>
      <c r="B675" t="s">
        <v>12935</v>
      </c>
      <c r="C675" t="s">
        <v>74</v>
      </c>
      <c r="D675" t="s">
        <v>74</v>
      </c>
      <c r="E675" t="s">
        <v>74</v>
      </c>
      <c r="F675" t="s">
        <v>12936</v>
      </c>
      <c r="G675" t="s">
        <v>74</v>
      </c>
      <c r="H675" t="s">
        <v>74</v>
      </c>
      <c r="I675" t="s">
        <v>12937</v>
      </c>
      <c r="J675" t="s">
        <v>12938</v>
      </c>
      <c r="K675" t="s">
        <v>74</v>
      </c>
      <c r="L675" t="s">
        <v>74</v>
      </c>
      <c r="M675" t="s">
        <v>78</v>
      </c>
      <c r="N675" t="s">
        <v>1073</v>
      </c>
      <c r="O675" t="s">
        <v>74</v>
      </c>
      <c r="P675" t="s">
        <v>74</v>
      </c>
      <c r="Q675" t="s">
        <v>74</v>
      </c>
      <c r="R675" t="s">
        <v>74</v>
      </c>
      <c r="S675" t="s">
        <v>74</v>
      </c>
      <c r="T675" t="s">
        <v>74</v>
      </c>
      <c r="U675" t="s">
        <v>74</v>
      </c>
      <c r="V675" t="s">
        <v>74</v>
      </c>
      <c r="W675" t="s">
        <v>12939</v>
      </c>
      <c r="X675" t="s">
        <v>12940</v>
      </c>
      <c r="Y675" t="s">
        <v>12941</v>
      </c>
      <c r="Z675" t="s">
        <v>12942</v>
      </c>
      <c r="AA675" t="s">
        <v>12943</v>
      </c>
      <c r="AB675" t="s">
        <v>12944</v>
      </c>
      <c r="AC675" t="s">
        <v>74</v>
      </c>
      <c r="AD675" t="s">
        <v>74</v>
      </c>
      <c r="AE675" t="s">
        <v>74</v>
      </c>
      <c r="AF675" t="s">
        <v>74</v>
      </c>
      <c r="AG675">
        <v>1</v>
      </c>
      <c r="AH675">
        <v>2</v>
      </c>
      <c r="AI675">
        <v>2</v>
      </c>
      <c r="AJ675">
        <v>0</v>
      </c>
      <c r="AK675">
        <v>5</v>
      </c>
      <c r="AL675" t="s">
        <v>12945</v>
      </c>
      <c r="AM675" t="s">
        <v>7471</v>
      </c>
      <c r="AN675" t="s">
        <v>7472</v>
      </c>
      <c r="AO675" t="s">
        <v>12946</v>
      </c>
      <c r="AP675" t="s">
        <v>12947</v>
      </c>
      <c r="AQ675" t="s">
        <v>74</v>
      </c>
      <c r="AR675" t="s">
        <v>12948</v>
      </c>
      <c r="AS675" t="s">
        <v>12949</v>
      </c>
      <c r="AT675" t="s">
        <v>12950</v>
      </c>
      <c r="AU675">
        <v>2016</v>
      </c>
      <c r="AV675">
        <v>7</v>
      </c>
      <c r="AW675" t="s">
        <v>74</v>
      </c>
      <c r="AX675" t="s">
        <v>74</v>
      </c>
      <c r="AY675" t="s">
        <v>74</v>
      </c>
      <c r="AZ675" t="s">
        <v>74</v>
      </c>
      <c r="BA675" t="s">
        <v>74</v>
      </c>
      <c r="BB675" t="s">
        <v>74</v>
      </c>
      <c r="BC675" t="s">
        <v>74</v>
      </c>
      <c r="BD675">
        <v>17</v>
      </c>
      <c r="BE675" t="s">
        <v>12951</v>
      </c>
      <c r="BF675" t="str">
        <f>HYPERLINK("http://dx.doi.org/10.1186/s13167-016-0067-1","http://dx.doi.org/10.1186/s13167-016-0067-1")</f>
        <v>http://dx.doi.org/10.1186/s13167-016-0067-1</v>
      </c>
      <c r="BG675" t="s">
        <v>74</v>
      </c>
      <c r="BH675" t="s">
        <v>74</v>
      </c>
      <c r="BI675">
        <v>1</v>
      </c>
      <c r="BJ675" t="s">
        <v>12952</v>
      </c>
      <c r="BK675" t="s">
        <v>156</v>
      </c>
      <c r="BL675" t="s">
        <v>12953</v>
      </c>
      <c r="BM675" t="s">
        <v>12954</v>
      </c>
      <c r="BN675">
        <v>27437067</v>
      </c>
      <c r="BO675" t="s">
        <v>285</v>
      </c>
      <c r="BP675" t="s">
        <v>74</v>
      </c>
      <c r="BQ675" t="s">
        <v>74</v>
      </c>
      <c r="BR675" t="s">
        <v>105</v>
      </c>
      <c r="BS675" t="s">
        <v>12955</v>
      </c>
      <c r="BT675" t="str">
        <f>HYPERLINK("https%3A%2F%2Fwww.webofscience.com%2Fwos%2Fwoscc%2Ffull-record%2FWOS:000379859700001","View Full Record in Web of Science")</f>
        <v>View Full Record in Web of Science</v>
      </c>
    </row>
    <row r="676" spans="1:72" x14ac:dyDescent="0.15">
      <c r="A676" t="s">
        <v>72</v>
      </c>
      <c r="B676" t="s">
        <v>12956</v>
      </c>
      <c r="C676" t="s">
        <v>74</v>
      </c>
      <c r="D676" t="s">
        <v>74</v>
      </c>
      <c r="E676" t="s">
        <v>74</v>
      </c>
      <c r="F676" t="s">
        <v>12957</v>
      </c>
      <c r="G676" t="s">
        <v>74</v>
      </c>
      <c r="H676" t="s">
        <v>74</v>
      </c>
      <c r="I676" t="s">
        <v>12958</v>
      </c>
      <c r="J676" t="s">
        <v>1088</v>
      </c>
      <c r="K676" t="s">
        <v>74</v>
      </c>
      <c r="L676" t="s">
        <v>74</v>
      </c>
      <c r="M676" t="s">
        <v>78</v>
      </c>
      <c r="N676" t="s">
        <v>79</v>
      </c>
      <c r="O676" t="s">
        <v>74</v>
      </c>
      <c r="P676" t="s">
        <v>74</v>
      </c>
      <c r="Q676" t="s">
        <v>74</v>
      </c>
      <c r="R676" t="s">
        <v>74</v>
      </c>
      <c r="S676" t="s">
        <v>74</v>
      </c>
      <c r="T676" t="s">
        <v>12959</v>
      </c>
      <c r="U676" t="s">
        <v>12960</v>
      </c>
      <c r="V676" t="s">
        <v>12961</v>
      </c>
      <c r="W676" t="s">
        <v>12962</v>
      </c>
      <c r="X676" t="s">
        <v>12963</v>
      </c>
      <c r="Y676" t="s">
        <v>12964</v>
      </c>
      <c r="Z676" t="s">
        <v>12965</v>
      </c>
      <c r="AA676" t="s">
        <v>12966</v>
      </c>
      <c r="AB676" t="s">
        <v>12967</v>
      </c>
      <c r="AC676" t="s">
        <v>12968</v>
      </c>
      <c r="AD676" t="s">
        <v>12969</v>
      </c>
      <c r="AE676" t="s">
        <v>12970</v>
      </c>
      <c r="AF676" t="s">
        <v>74</v>
      </c>
      <c r="AG676">
        <v>40</v>
      </c>
      <c r="AH676">
        <v>67</v>
      </c>
      <c r="AI676">
        <v>75</v>
      </c>
      <c r="AJ676">
        <v>1</v>
      </c>
      <c r="AK676">
        <v>42</v>
      </c>
      <c r="AL676" t="s">
        <v>149</v>
      </c>
      <c r="AM676" t="s">
        <v>123</v>
      </c>
      <c r="AN676" t="s">
        <v>150</v>
      </c>
      <c r="AO676" t="s">
        <v>1100</v>
      </c>
      <c r="AP676" t="s">
        <v>1101</v>
      </c>
      <c r="AQ676" t="s">
        <v>74</v>
      </c>
      <c r="AR676" t="s">
        <v>1102</v>
      </c>
      <c r="AS676" t="s">
        <v>1103</v>
      </c>
      <c r="AT676" t="s">
        <v>12971</v>
      </c>
      <c r="AU676">
        <v>2016</v>
      </c>
      <c r="AV676">
        <v>43</v>
      </c>
      <c r="AW676">
        <v>13</v>
      </c>
      <c r="AX676" t="s">
        <v>74</v>
      </c>
      <c r="AY676" t="s">
        <v>74</v>
      </c>
      <c r="AZ676" t="s">
        <v>74</v>
      </c>
      <c r="BA676" t="s">
        <v>74</v>
      </c>
      <c r="BB676">
        <v>7223</v>
      </c>
      <c r="BC676">
        <v>7230</v>
      </c>
      <c r="BD676" t="s">
        <v>74</v>
      </c>
      <c r="BE676" t="s">
        <v>12972</v>
      </c>
      <c r="BF676" t="str">
        <f>HYPERLINK("http://dx.doi.org/10.1002/2016GL069581","http://dx.doi.org/10.1002/2016GL069581")</f>
        <v>http://dx.doi.org/10.1002/2016GL069581</v>
      </c>
      <c r="BG676" t="s">
        <v>74</v>
      </c>
      <c r="BH676" t="s">
        <v>74</v>
      </c>
      <c r="BI676">
        <v>8</v>
      </c>
      <c r="BJ676" t="s">
        <v>352</v>
      </c>
      <c r="BK676" t="s">
        <v>156</v>
      </c>
      <c r="BL676" t="s">
        <v>177</v>
      </c>
      <c r="BM676" t="s">
        <v>12973</v>
      </c>
      <c r="BN676" t="s">
        <v>74</v>
      </c>
      <c r="BO676" t="s">
        <v>74</v>
      </c>
      <c r="BP676" t="s">
        <v>74</v>
      </c>
      <c r="BQ676" t="s">
        <v>74</v>
      </c>
      <c r="BR676" t="s">
        <v>105</v>
      </c>
      <c r="BS676" t="s">
        <v>12974</v>
      </c>
      <c r="BT676" t="str">
        <f>HYPERLINK("https%3A%2F%2Fwww.webofscience.com%2Fwos%2Fwoscc%2Ffull-record%2FWOS:000380901600065","View Full Record in Web of Science")</f>
        <v>View Full Record in Web of Science</v>
      </c>
    </row>
    <row r="677" spans="1:72" x14ac:dyDescent="0.15">
      <c r="A677" t="s">
        <v>72</v>
      </c>
      <c r="B677" t="s">
        <v>12975</v>
      </c>
      <c r="C677" t="s">
        <v>74</v>
      </c>
      <c r="D677" t="s">
        <v>74</v>
      </c>
      <c r="E677" t="s">
        <v>74</v>
      </c>
      <c r="F677" t="s">
        <v>12976</v>
      </c>
      <c r="G677" t="s">
        <v>74</v>
      </c>
      <c r="H677" t="s">
        <v>74</v>
      </c>
      <c r="I677" t="s">
        <v>12977</v>
      </c>
      <c r="J677" t="s">
        <v>2512</v>
      </c>
      <c r="K677" t="s">
        <v>74</v>
      </c>
      <c r="L677" t="s">
        <v>74</v>
      </c>
      <c r="M677" t="s">
        <v>78</v>
      </c>
      <c r="N677" t="s">
        <v>79</v>
      </c>
      <c r="O677" t="s">
        <v>74</v>
      </c>
      <c r="P677" t="s">
        <v>74</v>
      </c>
      <c r="Q677" t="s">
        <v>74</v>
      </c>
      <c r="R677" t="s">
        <v>74</v>
      </c>
      <c r="S677" t="s">
        <v>74</v>
      </c>
      <c r="T677" t="s">
        <v>12978</v>
      </c>
      <c r="U677" t="s">
        <v>12979</v>
      </c>
      <c r="V677" t="s">
        <v>12980</v>
      </c>
      <c r="W677" t="s">
        <v>12981</v>
      </c>
      <c r="X677" t="s">
        <v>12982</v>
      </c>
      <c r="Y677" t="s">
        <v>12983</v>
      </c>
      <c r="Z677" t="s">
        <v>12984</v>
      </c>
      <c r="AA677" t="s">
        <v>74</v>
      </c>
      <c r="AB677" t="s">
        <v>74</v>
      </c>
      <c r="AC677" t="s">
        <v>12985</v>
      </c>
      <c r="AD677" t="s">
        <v>4995</v>
      </c>
      <c r="AE677" t="s">
        <v>12986</v>
      </c>
      <c r="AF677" t="s">
        <v>74</v>
      </c>
      <c r="AG677">
        <v>45</v>
      </c>
      <c r="AH677">
        <v>8</v>
      </c>
      <c r="AI677">
        <v>9</v>
      </c>
      <c r="AJ677">
        <v>0</v>
      </c>
      <c r="AK677">
        <v>9</v>
      </c>
      <c r="AL677" t="s">
        <v>149</v>
      </c>
      <c r="AM677" t="s">
        <v>123</v>
      </c>
      <c r="AN677" t="s">
        <v>150</v>
      </c>
      <c r="AO677" t="s">
        <v>2525</v>
      </c>
      <c r="AP677" t="s">
        <v>2526</v>
      </c>
      <c r="AQ677" t="s">
        <v>74</v>
      </c>
      <c r="AR677" t="s">
        <v>2527</v>
      </c>
      <c r="AS677" t="s">
        <v>2528</v>
      </c>
      <c r="AT677" t="s">
        <v>12971</v>
      </c>
      <c r="AU677">
        <v>2016</v>
      </c>
      <c r="AV677">
        <v>121</v>
      </c>
      <c r="AW677">
        <v>13</v>
      </c>
      <c r="AX677" t="s">
        <v>74</v>
      </c>
      <c r="AY677" t="s">
        <v>74</v>
      </c>
      <c r="AZ677" t="s">
        <v>74</v>
      </c>
      <c r="BA677" t="s">
        <v>74</v>
      </c>
      <c r="BB677">
        <v>7509</v>
      </c>
      <c r="BC677">
        <v>7527</v>
      </c>
      <c r="BD677" t="s">
        <v>74</v>
      </c>
      <c r="BE677" t="s">
        <v>12987</v>
      </c>
      <c r="BF677" t="str">
        <f>HYPERLINK("http://dx.doi.org/10.1002/2015JD024253","http://dx.doi.org/10.1002/2015JD024253")</f>
        <v>http://dx.doi.org/10.1002/2015JD024253</v>
      </c>
      <c r="BG677" t="s">
        <v>74</v>
      </c>
      <c r="BH677" t="s">
        <v>74</v>
      </c>
      <c r="BI677">
        <v>19</v>
      </c>
      <c r="BJ677" t="s">
        <v>2482</v>
      </c>
      <c r="BK677" t="s">
        <v>156</v>
      </c>
      <c r="BL677" t="s">
        <v>2482</v>
      </c>
      <c r="BM677" t="s">
        <v>12988</v>
      </c>
      <c r="BN677" t="s">
        <v>74</v>
      </c>
      <c r="BO677" t="s">
        <v>258</v>
      </c>
      <c r="BP677" t="s">
        <v>74</v>
      </c>
      <c r="BQ677" t="s">
        <v>74</v>
      </c>
      <c r="BR677" t="s">
        <v>105</v>
      </c>
      <c r="BS677" t="s">
        <v>12989</v>
      </c>
      <c r="BT677" t="str">
        <f>HYPERLINK("https%3A%2F%2Fwww.webofscience.com%2Fwos%2Fwoscc%2Ffull-record%2FWOS:000380730500001","View Full Record in Web of Science")</f>
        <v>View Full Record in Web of Science</v>
      </c>
    </row>
    <row r="678" spans="1:72" x14ac:dyDescent="0.15">
      <c r="A678" t="s">
        <v>72</v>
      </c>
      <c r="B678" t="s">
        <v>12990</v>
      </c>
      <c r="C678" t="s">
        <v>74</v>
      </c>
      <c r="D678" t="s">
        <v>74</v>
      </c>
      <c r="E678" t="s">
        <v>74</v>
      </c>
      <c r="F678" t="s">
        <v>12991</v>
      </c>
      <c r="G678" t="s">
        <v>74</v>
      </c>
      <c r="H678" t="s">
        <v>74</v>
      </c>
      <c r="I678" t="s">
        <v>12992</v>
      </c>
      <c r="J678" t="s">
        <v>2512</v>
      </c>
      <c r="K678" t="s">
        <v>74</v>
      </c>
      <c r="L678" t="s">
        <v>74</v>
      </c>
      <c r="M678" t="s">
        <v>78</v>
      </c>
      <c r="N678" t="s">
        <v>79</v>
      </c>
      <c r="O678" t="s">
        <v>74</v>
      </c>
      <c r="P678" t="s">
        <v>74</v>
      </c>
      <c r="Q678" t="s">
        <v>74</v>
      </c>
      <c r="R678" t="s">
        <v>74</v>
      </c>
      <c r="S678" t="s">
        <v>74</v>
      </c>
      <c r="T678" t="s">
        <v>12993</v>
      </c>
      <c r="U678" t="s">
        <v>12994</v>
      </c>
      <c r="V678" t="s">
        <v>12995</v>
      </c>
      <c r="W678" t="s">
        <v>12996</v>
      </c>
      <c r="X678" t="s">
        <v>12997</v>
      </c>
      <c r="Y678" t="s">
        <v>12998</v>
      </c>
      <c r="Z678" t="s">
        <v>12999</v>
      </c>
      <c r="AA678" t="s">
        <v>13000</v>
      </c>
      <c r="AB678" t="s">
        <v>13001</v>
      </c>
      <c r="AC678" t="s">
        <v>13002</v>
      </c>
      <c r="AD678" t="s">
        <v>13003</v>
      </c>
      <c r="AE678" t="s">
        <v>13004</v>
      </c>
      <c r="AF678" t="s">
        <v>74</v>
      </c>
      <c r="AG678">
        <v>64</v>
      </c>
      <c r="AH678">
        <v>96</v>
      </c>
      <c r="AI678">
        <v>101</v>
      </c>
      <c r="AJ678">
        <v>2</v>
      </c>
      <c r="AK678">
        <v>30</v>
      </c>
      <c r="AL678" t="s">
        <v>149</v>
      </c>
      <c r="AM678" t="s">
        <v>123</v>
      </c>
      <c r="AN678" t="s">
        <v>150</v>
      </c>
      <c r="AO678" t="s">
        <v>2525</v>
      </c>
      <c r="AP678" t="s">
        <v>2526</v>
      </c>
      <c r="AQ678" t="s">
        <v>74</v>
      </c>
      <c r="AR678" t="s">
        <v>2527</v>
      </c>
      <c r="AS678" t="s">
        <v>2528</v>
      </c>
      <c r="AT678" t="s">
        <v>12971</v>
      </c>
      <c r="AU678">
        <v>2016</v>
      </c>
      <c r="AV678">
        <v>121</v>
      </c>
      <c r="AW678">
        <v>13</v>
      </c>
      <c r="AX678" t="s">
        <v>74</v>
      </c>
      <c r="AY678" t="s">
        <v>74</v>
      </c>
      <c r="AZ678" t="s">
        <v>74</v>
      </c>
      <c r="BA678" t="s">
        <v>74</v>
      </c>
      <c r="BB678">
        <v>8125</v>
      </c>
      <c r="BC678">
        <v>8136</v>
      </c>
      <c r="BD678" t="s">
        <v>74</v>
      </c>
      <c r="BE678" t="s">
        <v>13005</v>
      </c>
      <c r="BF678" t="str">
        <f>HYPERLINK("http://dx.doi.org/10.1002/2016JD025034","http://dx.doi.org/10.1002/2016JD025034")</f>
        <v>http://dx.doi.org/10.1002/2016JD025034</v>
      </c>
      <c r="BG678" t="s">
        <v>74</v>
      </c>
      <c r="BH678" t="s">
        <v>74</v>
      </c>
      <c r="BI678">
        <v>12</v>
      </c>
      <c r="BJ678" t="s">
        <v>2482</v>
      </c>
      <c r="BK678" t="s">
        <v>156</v>
      </c>
      <c r="BL678" t="s">
        <v>2482</v>
      </c>
      <c r="BM678" t="s">
        <v>12988</v>
      </c>
      <c r="BN678" t="s">
        <v>74</v>
      </c>
      <c r="BO678" t="s">
        <v>805</v>
      </c>
      <c r="BP678" t="s">
        <v>74</v>
      </c>
      <c r="BQ678" t="s">
        <v>74</v>
      </c>
      <c r="BR678" t="s">
        <v>105</v>
      </c>
      <c r="BS678" t="s">
        <v>13006</v>
      </c>
      <c r="BT678" t="str">
        <f>HYPERLINK("https%3A%2F%2Fwww.webofscience.com%2Fwos%2Fwoscc%2Ffull-record%2FWOS:000380730500037","View Full Record in Web of Science")</f>
        <v>View Full Record in Web of Science</v>
      </c>
    </row>
    <row r="679" spans="1:72" x14ac:dyDescent="0.15">
      <c r="A679" t="s">
        <v>72</v>
      </c>
      <c r="B679" t="s">
        <v>13007</v>
      </c>
      <c r="C679" t="s">
        <v>74</v>
      </c>
      <c r="D679" t="s">
        <v>74</v>
      </c>
      <c r="E679" t="s">
        <v>74</v>
      </c>
      <c r="F679" t="s">
        <v>13008</v>
      </c>
      <c r="G679" t="s">
        <v>74</v>
      </c>
      <c r="H679" t="s">
        <v>74</v>
      </c>
      <c r="I679" t="s">
        <v>13009</v>
      </c>
      <c r="J679" t="s">
        <v>1088</v>
      </c>
      <c r="K679" t="s">
        <v>74</v>
      </c>
      <c r="L679" t="s">
        <v>74</v>
      </c>
      <c r="M679" t="s">
        <v>78</v>
      </c>
      <c r="N679" t="s">
        <v>79</v>
      </c>
      <c r="O679" t="s">
        <v>74</v>
      </c>
      <c r="P679" t="s">
        <v>74</v>
      </c>
      <c r="Q679" t="s">
        <v>74</v>
      </c>
      <c r="R679" t="s">
        <v>74</v>
      </c>
      <c r="S679" t="s">
        <v>74</v>
      </c>
      <c r="T679" t="s">
        <v>13010</v>
      </c>
      <c r="U679" t="s">
        <v>13011</v>
      </c>
      <c r="V679" t="s">
        <v>13012</v>
      </c>
      <c r="W679" t="s">
        <v>13013</v>
      </c>
      <c r="X679" t="s">
        <v>13014</v>
      </c>
      <c r="Y679" t="s">
        <v>13015</v>
      </c>
      <c r="Z679" t="s">
        <v>8028</v>
      </c>
      <c r="AA679" t="s">
        <v>13016</v>
      </c>
      <c r="AB679" t="s">
        <v>13017</v>
      </c>
      <c r="AC679" t="s">
        <v>13018</v>
      </c>
      <c r="AD679" t="s">
        <v>13019</v>
      </c>
      <c r="AE679" t="s">
        <v>13020</v>
      </c>
      <c r="AF679" t="s">
        <v>74</v>
      </c>
      <c r="AG679">
        <v>31</v>
      </c>
      <c r="AH679">
        <v>4</v>
      </c>
      <c r="AI679">
        <v>5</v>
      </c>
      <c r="AJ679">
        <v>0</v>
      </c>
      <c r="AK679">
        <v>8</v>
      </c>
      <c r="AL679" t="s">
        <v>149</v>
      </c>
      <c r="AM679" t="s">
        <v>123</v>
      </c>
      <c r="AN679" t="s">
        <v>150</v>
      </c>
      <c r="AO679" t="s">
        <v>1100</v>
      </c>
      <c r="AP679" t="s">
        <v>1101</v>
      </c>
      <c r="AQ679" t="s">
        <v>74</v>
      </c>
      <c r="AR679" t="s">
        <v>1102</v>
      </c>
      <c r="AS679" t="s">
        <v>1103</v>
      </c>
      <c r="AT679" t="s">
        <v>12971</v>
      </c>
      <c r="AU679">
        <v>2016</v>
      </c>
      <c r="AV679">
        <v>43</v>
      </c>
      <c r="AW679">
        <v>13</v>
      </c>
      <c r="AX679" t="s">
        <v>74</v>
      </c>
      <c r="AY679" t="s">
        <v>74</v>
      </c>
      <c r="AZ679" t="s">
        <v>74</v>
      </c>
      <c r="BA679" t="s">
        <v>74</v>
      </c>
      <c r="BB679">
        <v>6734</v>
      </c>
      <c r="BC679">
        <v>6741</v>
      </c>
      <c r="BD679" t="s">
        <v>74</v>
      </c>
      <c r="BE679" t="s">
        <v>13021</v>
      </c>
      <c r="BF679" t="str">
        <f>HYPERLINK("http://dx.doi.org/10.1002/2016GL069649","http://dx.doi.org/10.1002/2016GL069649")</f>
        <v>http://dx.doi.org/10.1002/2016GL069649</v>
      </c>
      <c r="BG679" t="s">
        <v>74</v>
      </c>
      <c r="BH679" t="s">
        <v>74</v>
      </c>
      <c r="BI679">
        <v>8</v>
      </c>
      <c r="BJ679" t="s">
        <v>352</v>
      </c>
      <c r="BK679" t="s">
        <v>156</v>
      </c>
      <c r="BL679" t="s">
        <v>177</v>
      </c>
      <c r="BM679" t="s">
        <v>12973</v>
      </c>
      <c r="BN679" t="s">
        <v>74</v>
      </c>
      <c r="BO679" t="s">
        <v>74</v>
      </c>
      <c r="BP679" t="s">
        <v>74</v>
      </c>
      <c r="BQ679" t="s">
        <v>74</v>
      </c>
      <c r="BR679" t="s">
        <v>105</v>
      </c>
      <c r="BS679" t="s">
        <v>13022</v>
      </c>
      <c r="BT679" t="str">
        <f>HYPERLINK("https%3A%2F%2Fwww.webofscience.com%2Fwos%2Fwoscc%2Ffull-record%2FWOS:000380901600007","View Full Record in Web of Science")</f>
        <v>View Full Record in Web of Science</v>
      </c>
    </row>
    <row r="680" spans="1:72" x14ac:dyDescent="0.15">
      <c r="A680" t="s">
        <v>72</v>
      </c>
      <c r="B680" t="s">
        <v>13023</v>
      </c>
      <c r="C680" t="s">
        <v>74</v>
      </c>
      <c r="D680" t="s">
        <v>74</v>
      </c>
      <c r="E680" t="s">
        <v>74</v>
      </c>
      <c r="F680" t="s">
        <v>13024</v>
      </c>
      <c r="G680" t="s">
        <v>74</v>
      </c>
      <c r="H680" t="s">
        <v>74</v>
      </c>
      <c r="I680" t="s">
        <v>13025</v>
      </c>
      <c r="J680" t="s">
        <v>1088</v>
      </c>
      <c r="K680" t="s">
        <v>74</v>
      </c>
      <c r="L680" t="s">
        <v>74</v>
      </c>
      <c r="M680" t="s">
        <v>78</v>
      </c>
      <c r="N680" t="s">
        <v>79</v>
      </c>
      <c r="O680" t="s">
        <v>74</v>
      </c>
      <c r="P680" t="s">
        <v>74</v>
      </c>
      <c r="Q680" t="s">
        <v>74</v>
      </c>
      <c r="R680" t="s">
        <v>74</v>
      </c>
      <c r="S680" t="s">
        <v>74</v>
      </c>
      <c r="T680" t="s">
        <v>13026</v>
      </c>
      <c r="U680" t="s">
        <v>13027</v>
      </c>
      <c r="V680" t="s">
        <v>13028</v>
      </c>
      <c r="W680" t="s">
        <v>13029</v>
      </c>
      <c r="X680" t="s">
        <v>13030</v>
      </c>
      <c r="Y680" t="s">
        <v>13031</v>
      </c>
      <c r="Z680" t="s">
        <v>13032</v>
      </c>
      <c r="AA680" t="s">
        <v>13033</v>
      </c>
      <c r="AB680" t="s">
        <v>13034</v>
      </c>
      <c r="AC680" t="s">
        <v>13035</v>
      </c>
      <c r="AD680" t="s">
        <v>13036</v>
      </c>
      <c r="AE680" t="s">
        <v>13037</v>
      </c>
      <c r="AF680" t="s">
        <v>74</v>
      </c>
      <c r="AG680">
        <v>44</v>
      </c>
      <c r="AH680">
        <v>19</v>
      </c>
      <c r="AI680">
        <v>22</v>
      </c>
      <c r="AJ680">
        <v>1</v>
      </c>
      <c r="AK680">
        <v>33</v>
      </c>
      <c r="AL680" t="s">
        <v>149</v>
      </c>
      <c r="AM680" t="s">
        <v>123</v>
      </c>
      <c r="AN680" t="s">
        <v>150</v>
      </c>
      <c r="AO680" t="s">
        <v>1100</v>
      </c>
      <c r="AP680" t="s">
        <v>1101</v>
      </c>
      <c r="AQ680" t="s">
        <v>74</v>
      </c>
      <c r="AR680" t="s">
        <v>1102</v>
      </c>
      <c r="AS680" t="s">
        <v>1103</v>
      </c>
      <c r="AT680" t="s">
        <v>12971</v>
      </c>
      <c r="AU680">
        <v>2016</v>
      </c>
      <c r="AV680">
        <v>43</v>
      </c>
      <c r="AW680">
        <v>13</v>
      </c>
      <c r="AX680" t="s">
        <v>74</v>
      </c>
      <c r="AY680" t="s">
        <v>74</v>
      </c>
      <c r="AZ680" t="s">
        <v>74</v>
      </c>
      <c r="BA680" t="s">
        <v>74</v>
      </c>
      <c r="BB680">
        <v>7089</v>
      </c>
      <c r="BC680">
        <v>7096</v>
      </c>
      <c r="BD680" t="s">
        <v>74</v>
      </c>
      <c r="BE680" t="s">
        <v>13038</v>
      </c>
      <c r="BF680" t="str">
        <f>HYPERLINK("http://dx.doi.org/10.1002/2016GL069479","http://dx.doi.org/10.1002/2016GL069479")</f>
        <v>http://dx.doi.org/10.1002/2016GL069479</v>
      </c>
      <c r="BG680" t="s">
        <v>74</v>
      </c>
      <c r="BH680" t="s">
        <v>74</v>
      </c>
      <c r="BI680">
        <v>8</v>
      </c>
      <c r="BJ680" t="s">
        <v>352</v>
      </c>
      <c r="BK680" t="s">
        <v>156</v>
      </c>
      <c r="BL680" t="s">
        <v>177</v>
      </c>
      <c r="BM680" t="s">
        <v>12973</v>
      </c>
      <c r="BN680" t="s">
        <v>74</v>
      </c>
      <c r="BO680" t="s">
        <v>1607</v>
      </c>
      <c r="BP680" t="s">
        <v>74</v>
      </c>
      <c r="BQ680" t="s">
        <v>74</v>
      </c>
      <c r="BR680" t="s">
        <v>105</v>
      </c>
      <c r="BS680" t="s">
        <v>13039</v>
      </c>
      <c r="BT680" t="str">
        <f>HYPERLINK("https%3A%2F%2Fwww.webofscience.com%2Fwos%2Fwoscc%2Ffull-record%2FWOS:000380901600050","View Full Record in Web of Science")</f>
        <v>View Full Record in Web of Science</v>
      </c>
    </row>
    <row r="681" spans="1:72" x14ac:dyDescent="0.15">
      <c r="A681" t="s">
        <v>72</v>
      </c>
      <c r="B681" t="s">
        <v>13040</v>
      </c>
      <c r="C681" t="s">
        <v>74</v>
      </c>
      <c r="D681" t="s">
        <v>74</v>
      </c>
      <c r="E681" t="s">
        <v>74</v>
      </c>
      <c r="F681" t="s">
        <v>13041</v>
      </c>
      <c r="G681" t="s">
        <v>74</v>
      </c>
      <c r="H681" t="s">
        <v>74</v>
      </c>
      <c r="I681" t="s">
        <v>13042</v>
      </c>
      <c r="J681" t="s">
        <v>1088</v>
      </c>
      <c r="K681" t="s">
        <v>74</v>
      </c>
      <c r="L681" t="s">
        <v>74</v>
      </c>
      <c r="M681" t="s">
        <v>78</v>
      </c>
      <c r="N681" t="s">
        <v>79</v>
      </c>
      <c r="O681" t="s">
        <v>74</v>
      </c>
      <c r="P681" t="s">
        <v>74</v>
      </c>
      <c r="Q681" t="s">
        <v>74</v>
      </c>
      <c r="R681" t="s">
        <v>74</v>
      </c>
      <c r="S681" t="s">
        <v>74</v>
      </c>
      <c r="T681" t="s">
        <v>13043</v>
      </c>
      <c r="U681" t="s">
        <v>13044</v>
      </c>
      <c r="V681" t="s">
        <v>13045</v>
      </c>
      <c r="W681" t="s">
        <v>13046</v>
      </c>
      <c r="X681" t="s">
        <v>13047</v>
      </c>
      <c r="Y681" t="s">
        <v>13048</v>
      </c>
      <c r="Z681" t="s">
        <v>13049</v>
      </c>
      <c r="AA681" t="s">
        <v>13050</v>
      </c>
      <c r="AB681" t="s">
        <v>13051</v>
      </c>
      <c r="AC681" t="s">
        <v>13052</v>
      </c>
      <c r="AD681" t="s">
        <v>13053</v>
      </c>
      <c r="AE681" t="s">
        <v>13054</v>
      </c>
      <c r="AF681" t="s">
        <v>74</v>
      </c>
      <c r="AG681">
        <v>49</v>
      </c>
      <c r="AH681">
        <v>67</v>
      </c>
      <c r="AI681">
        <v>70</v>
      </c>
      <c r="AJ681">
        <v>2</v>
      </c>
      <c r="AK681">
        <v>30</v>
      </c>
      <c r="AL681" t="s">
        <v>149</v>
      </c>
      <c r="AM681" t="s">
        <v>123</v>
      </c>
      <c r="AN681" t="s">
        <v>150</v>
      </c>
      <c r="AO681" t="s">
        <v>1100</v>
      </c>
      <c r="AP681" t="s">
        <v>1101</v>
      </c>
      <c r="AQ681" t="s">
        <v>74</v>
      </c>
      <c r="AR681" t="s">
        <v>1102</v>
      </c>
      <c r="AS681" t="s">
        <v>1103</v>
      </c>
      <c r="AT681" t="s">
        <v>12971</v>
      </c>
      <c r="AU681">
        <v>2016</v>
      </c>
      <c r="AV681">
        <v>43</v>
      </c>
      <c r="AW681">
        <v>13</v>
      </c>
      <c r="AX681" t="s">
        <v>74</v>
      </c>
      <c r="AY681" t="s">
        <v>74</v>
      </c>
      <c r="AZ681" t="s">
        <v>74</v>
      </c>
      <c r="BA681" t="s">
        <v>74</v>
      </c>
      <c r="BB681">
        <v>7160</v>
      </c>
      <c r="BC681">
        <v>7167</v>
      </c>
      <c r="BD681" t="s">
        <v>74</v>
      </c>
      <c r="BE681" t="s">
        <v>13055</v>
      </c>
      <c r="BF681" t="str">
        <f>HYPERLINK("http://dx.doi.org/10.1002/2016GL069453","http://dx.doi.org/10.1002/2016GL069453")</f>
        <v>http://dx.doi.org/10.1002/2016GL069453</v>
      </c>
      <c r="BG681" t="s">
        <v>74</v>
      </c>
      <c r="BH681" t="s">
        <v>74</v>
      </c>
      <c r="BI681">
        <v>8</v>
      </c>
      <c r="BJ681" t="s">
        <v>352</v>
      </c>
      <c r="BK681" t="s">
        <v>156</v>
      </c>
      <c r="BL681" t="s">
        <v>177</v>
      </c>
      <c r="BM681" t="s">
        <v>12973</v>
      </c>
      <c r="BN681" t="s">
        <v>74</v>
      </c>
      <c r="BO681" t="s">
        <v>1002</v>
      </c>
      <c r="BP681" t="s">
        <v>74</v>
      </c>
      <c r="BQ681" t="s">
        <v>74</v>
      </c>
      <c r="BR681" t="s">
        <v>105</v>
      </c>
      <c r="BS681" t="s">
        <v>13056</v>
      </c>
      <c r="BT681" t="str">
        <f>HYPERLINK("https%3A%2F%2Fwww.webofscience.com%2Fwos%2Fwoscc%2Ffull-record%2FWOS:000380901600058","View Full Record in Web of Science")</f>
        <v>View Full Record in Web of Science</v>
      </c>
    </row>
    <row r="682" spans="1:72" x14ac:dyDescent="0.15">
      <c r="A682" t="s">
        <v>72</v>
      </c>
      <c r="B682" t="s">
        <v>13057</v>
      </c>
      <c r="C682" t="s">
        <v>74</v>
      </c>
      <c r="D682" t="s">
        <v>74</v>
      </c>
      <c r="E682" t="s">
        <v>74</v>
      </c>
      <c r="F682" t="s">
        <v>13058</v>
      </c>
      <c r="G682" t="s">
        <v>74</v>
      </c>
      <c r="H682" t="s">
        <v>74</v>
      </c>
      <c r="I682" t="s">
        <v>13059</v>
      </c>
      <c r="J682" t="s">
        <v>1088</v>
      </c>
      <c r="K682" t="s">
        <v>74</v>
      </c>
      <c r="L682" t="s">
        <v>74</v>
      </c>
      <c r="M682" t="s">
        <v>78</v>
      </c>
      <c r="N682" t="s">
        <v>79</v>
      </c>
      <c r="O682" t="s">
        <v>74</v>
      </c>
      <c r="P682" t="s">
        <v>74</v>
      </c>
      <c r="Q682" t="s">
        <v>74</v>
      </c>
      <c r="R682" t="s">
        <v>74</v>
      </c>
      <c r="S682" t="s">
        <v>74</v>
      </c>
      <c r="T682" t="s">
        <v>13060</v>
      </c>
      <c r="U682" t="s">
        <v>13061</v>
      </c>
      <c r="V682" t="s">
        <v>13062</v>
      </c>
      <c r="W682" t="s">
        <v>13063</v>
      </c>
      <c r="X682" t="s">
        <v>13064</v>
      </c>
      <c r="Y682" t="s">
        <v>13065</v>
      </c>
      <c r="Z682" t="s">
        <v>13066</v>
      </c>
      <c r="AA682" t="s">
        <v>74</v>
      </c>
      <c r="AB682" t="s">
        <v>13067</v>
      </c>
      <c r="AC682" t="s">
        <v>13068</v>
      </c>
      <c r="AD682" t="s">
        <v>13069</v>
      </c>
      <c r="AE682" t="s">
        <v>13070</v>
      </c>
      <c r="AF682" t="s">
        <v>74</v>
      </c>
      <c r="AG682">
        <v>47</v>
      </c>
      <c r="AH682">
        <v>22</v>
      </c>
      <c r="AI682">
        <v>25</v>
      </c>
      <c r="AJ682">
        <v>2</v>
      </c>
      <c r="AK682">
        <v>41</v>
      </c>
      <c r="AL682" t="s">
        <v>149</v>
      </c>
      <c r="AM682" t="s">
        <v>123</v>
      </c>
      <c r="AN682" t="s">
        <v>150</v>
      </c>
      <c r="AO682" t="s">
        <v>1100</v>
      </c>
      <c r="AP682" t="s">
        <v>1101</v>
      </c>
      <c r="AQ682" t="s">
        <v>74</v>
      </c>
      <c r="AR682" t="s">
        <v>1102</v>
      </c>
      <c r="AS682" t="s">
        <v>1103</v>
      </c>
      <c r="AT682" t="s">
        <v>12971</v>
      </c>
      <c r="AU682">
        <v>2016</v>
      </c>
      <c r="AV682">
        <v>43</v>
      </c>
      <c r="AW682">
        <v>13</v>
      </c>
      <c r="AX682" t="s">
        <v>74</v>
      </c>
      <c r="AY682" t="s">
        <v>74</v>
      </c>
      <c r="AZ682" t="s">
        <v>74</v>
      </c>
      <c r="BA682" t="s">
        <v>74</v>
      </c>
      <c r="BB682">
        <v>7186</v>
      </c>
      <c r="BC682">
        <v>7195</v>
      </c>
      <c r="BD682" t="s">
        <v>74</v>
      </c>
      <c r="BE682" t="s">
        <v>13071</v>
      </c>
      <c r="BF682" t="str">
        <f>HYPERLINK("http://dx.doi.org/10.1002/2016GL069380","http://dx.doi.org/10.1002/2016GL069380")</f>
        <v>http://dx.doi.org/10.1002/2016GL069380</v>
      </c>
      <c r="BG682" t="s">
        <v>74</v>
      </c>
      <c r="BH682" t="s">
        <v>74</v>
      </c>
      <c r="BI682">
        <v>10</v>
      </c>
      <c r="BJ682" t="s">
        <v>352</v>
      </c>
      <c r="BK682" t="s">
        <v>156</v>
      </c>
      <c r="BL682" t="s">
        <v>177</v>
      </c>
      <c r="BM682" t="s">
        <v>12973</v>
      </c>
      <c r="BN682" t="s">
        <v>74</v>
      </c>
      <c r="BO682" t="s">
        <v>74</v>
      </c>
      <c r="BP682" t="s">
        <v>74</v>
      </c>
      <c r="BQ682" t="s">
        <v>74</v>
      </c>
      <c r="BR682" t="s">
        <v>105</v>
      </c>
      <c r="BS682" t="s">
        <v>13072</v>
      </c>
      <c r="BT682" t="str">
        <f>HYPERLINK("https%3A%2F%2Fwww.webofscience.com%2Fwos%2Fwoscc%2Ffull-record%2FWOS:000380901600061","View Full Record in Web of Science")</f>
        <v>View Full Record in Web of Science</v>
      </c>
    </row>
    <row r="683" spans="1:72" x14ac:dyDescent="0.15">
      <c r="A683" t="s">
        <v>72</v>
      </c>
      <c r="B683" t="s">
        <v>13073</v>
      </c>
      <c r="C683" t="s">
        <v>74</v>
      </c>
      <c r="D683" t="s">
        <v>74</v>
      </c>
      <c r="E683" t="s">
        <v>74</v>
      </c>
      <c r="F683" t="s">
        <v>13074</v>
      </c>
      <c r="G683" t="s">
        <v>74</v>
      </c>
      <c r="H683" t="s">
        <v>74</v>
      </c>
      <c r="I683" t="s">
        <v>13075</v>
      </c>
      <c r="J683" t="s">
        <v>2512</v>
      </c>
      <c r="K683" t="s">
        <v>74</v>
      </c>
      <c r="L683" t="s">
        <v>74</v>
      </c>
      <c r="M683" t="s">
        <v>78</v>
      </c>
      <c r="N683" t="s">
        <v>79</v>
      </c>
      <c r="O683" t="s">
        <v>74</v>
      </c>
      <c r="P683" t="s">
        <v>74</v>
      </c>
      <c r="Q683" t="s">
        <v>74</v>
      </c>
      <c r="R683" t="s">
        <v>74</v>
      </c>
      <c r="S683" t="s">
        <v>74</v>
      </c>
      <c r="T683" t="s">
        <v>13076</v>
      </c>
      <c r="U683" t="s">
        <v>13077</v>
      </c>
      <c r="V683" t="s">
        <v>13078</v>
      </c>
      <c r="W683" t="s">
        <v>13079</v>
      </c>
      <c r="X683" t="s">
        <v>13080</v>
      </c>
      <c r="Y683" t="s">
        <v>13081</v>
      </c>
      <c r="Z683" t="s">
        <v>13082</v>
      </c>
      <c r="AA683" t="s">
        <v>13083</v>
      </c>
      <c r="AB683" t="s">
        <v>13084</v>
      </c>
      <c r="AC683" t="s">
        <v>13085</v>
      </c>
      <c r="AD683" t="s">
        <v>13086</v>
      </c>
      <c r="AE683" t="s">
        <v>13087</v>
      </c>
      <c r="AF683" t="s">
        <v>74</v>
      </c>
      <c r="AG683">
        <v>83</v>
      </c>
      <c r="AH683">
        <v>11</v>
      </c>
      <c r="AI683">
        <v>11</v>
      </c>
      <c r="AJ683">
        <v>0</v>
      </c>
      <c r="AK683">
        <v>21</v>
      </c>
      <c r="AL683" t="s">
        <v>149</v>
      </c>
      <c r="AM683" t="s">
        <v>123</v>
      </c>
      <c r="AN683" t="s">
        <v>150</v>
      </c>
      <c r="AO683" t="s">
        <v>2525</v>
      </c>
      <c r="AP683" t="s">
        <v>2526</v>
      </c>
      <c r="AQ683" t="s">
        <v>74</v>
      </c>
      <c r="AR683" t="s">
        <v>2527</v>
      </c>
      <c r="AS683" t="s">
        <v>2528</v>
      </c>
      <c r="AT683" t="s">
        <v>12971</v>
      </c>
      <c r="AU683">
        <v>2016</v>
      </c>
      <c r="AV683">
        <v>121</v>
      </c>
      <c r="AW683">
        <v>13</v>
      </c>
      <c r="AX683" t="s">
        <v>74</v>
      </c>
      <c r="AY683" t="s">
        <v>74</v>
      </c>
      <c r="AZ683" t="s">
        <v>74</v>
      </c>
      <c r="BA683" t="s">
        <v>74</v>
      </c>
      <c r="BB683">
        <v>7781</v>
      </c>
      <c r="BC683">
        <v>7800</v>
      </c>
      <c r="BD683" t="s">
        <v>74</v>
      </c>
      <c r="BE683" t="s">
        <v>13088</v>
      </c>
      <c r="BF683" t="str">
        <f>HYPERLINK("http://dx.doi.org/10.1002/2016JD024890","http://dx.doi.org/10.1002/2016JD024890")</f>
        <v>http://dx.doi.org/10.1002/2016JD024890</v>
      </c>
      <c r="BG683" t="s">
        <v>74</v>
      </c>
      <c r="BH683" t="s">
        <v>74</v>
      </c>
      <c r="BI683">
        <v>20</v>
      </c>
      <c r="BJ683" t="s">
        <v>2482</v>
      </c>
      <c r="BK683" t="s">
        <v>156</v>
      </c>
      <c r="BL683" t="s">
        <v>2482</v>
      </c>
      <c r="BM683" t="s">
        <v>12988</v>
      </c>
      <c r="BN683" t="s">
        <v>74</v>
      </c>
      <c r="BO683" t="s">
        <v>1124</v>
      </c>
      <c r="BP683" t="s">
        <v>74</v>
      </c>
      <c r="BQ683" t="s">
        <v>74</v>
      </c>
      <c r="BR683" t="s">
        <v>105</v>
      </c>
      <c r="BS683" t="s">
        <v>13089</v>
      </c>
      <c r="BT683" t="str">
        <f>HYPERLINK("https%3A%2F%2Fwww.webofscience.com%2Fwos%2Fwoscc%2Ffull-record%2FWOS:000380730500017","View Full Record in Web of Science")</f>
        <v>View Full Record in Web of Science</v>
      </c>
    </row>
    <row r="684" spans="1:72" x14ac:dyDescent="0.15">
      <c r="A684" t="s">
        <v>72</v>
      </c>
      <c r="B684" t="s">
        <v>13090</v>
      </c>
      <c r="C684" t="s">
        <v>74</v>
      </c>
      <c r="D684" t="s">
        <v>74</v>
      </c>
      <c r="E684" t="s">
        <v>74</v>
      </c>
      <c r="F684" t="s">
        <v>13091</v>
      </c>
      <c r="G684" t="s">
        <v>74</v>
      </c>
      <c r="H684" t="s">
        <v>74</v>
      </c>
      <c r="I684" t="s">
        <v>13092</v>
      </c>
      <c r="J684" t="s">
        <v>2512</v>
      </c>
      <c r="K684" t="s">
        <v>74</v>
      </c>
      <c r="L684" t="s">
        <v>74</v>
      </c>
      <c r="M684" t="s">
        <v>78</v>
      </c>
      <c r="N684" t="s">
        <v>79</v>
      </c>
      <c r="O684" t="s">
        <v>74</v>
      </c>
      <c r="P684" t="s">
        <v>74</v>
      </c>
      <c r="Q684" t="s">
        <v>74</v>
      </c>
      <c r="R684" t="s">
        <v>74</v>
      </c>
      <c r="S684" t="s">
        <v>74</v>
      </c>
      <c r="T684" t="s">
        <v>13093</v>
      </c>
      <c r="U684" t="s">
        <v>13094</v>
      </c>
      <c r="V684" t="s">
        <v>13095</v>
      </c>
      <c r="W684" t="s">
        <v>13096</v>
      </c>
      <c r="X684" t="s">
        <v>13097</v>
      </c>
      <c r="Y684" t="s">
        <v>13098</v>
      </c>
      <c r="Z684" t="s">
        <v>13099</v>
      </c>
      <c r="AA684" t="s">
        <v>13100</v>
      </c>
      <c r="AB684" t="s">
        <v>13101</v>
      </c>
      <c r="AC684" t="s">
        <v>13102</v>
      </c>
      <c r="AD684" t="s">
        <v>13103</v>
      </c>
      <c r="AE684" t="s">
        <v>13104</v>
      </c>
      <c r="AF684" t="s">
        <v>74</v>
      </c>
      <c r="AG684">
        <v>65</v>
      </c>
      <c r="AH684">
        <v>13</v>
      </c>
      <c r="AI684">
        <v>15</v>
      </c>
      <c r="AJ684">
        <v>0</v>
      </c>
      <c r="AK684">
        <v>21</v>
      </c>
      <c r="AL684" t="s">
        <v>149</v>
      </c>
      <c r="AM684" t="s">
        <v>123</v>
      </c>
      <c r="AN684" t="s">
        <v>150</v>
      </c>
      <c r="AO684" t="s">
        <v>2525</v>
      </c>
      <c r="AP684" t="s">
        <v>2526</v>
      </c>
      <c r="AQ684" t="s">
        <v>74</v>
      </c>
      <c r="AR684" t="s">
        <v>2527</v>
      </c>
      <c r="AS684" t="s">
        <v>2528</v>
      </c>
      <c r="AT684" t="s">
        <v>12971</v>
      </c>
      <c r="AU684">
        <v>2016</v>
      </c>
      <c r="AV684">
        <v>121</v>
      </c>
      <c r="AW684">
        <v>13</v>
      </c>
      <c r="AX684" t="s">
        <v>74</v>
      </c>
      <c r="AY684" t="s">
        <v>74</v>
      </c>
      <c r="AZ684" t="s">
        <v>74</v>
      </c>
      <c r="BA684" t="s">
        <v>74</v>
      </c>
      <c r="BB684">
        <v>7853</v>
      </c>
      <c r="BC684">
        <v>7867</v>
      </c>
      <c r="BD684" t="s">
        <v>74</v>
      </c>
      <c r="BE684" t="s">
        <v>13105</v>
      </c>
      <c r="BF684" t="str">
        <f>HYPERLINK("http://dx.doi.org/10.1002/2015JD024633","http://dx.doi.org/10.1002/2015JD024633")</f>
        <v>http://dx.doi.org/10.1002/2015JD024633</v>
      </c>
      <c r="BG684" t="s">
        <v>74</v>
      </c>
      <c r="BH684" t="s">
        <v>74</v>
      </c>
      <c r="BI684">
        <v>15</v>
      </c>
      <c r="BJ684" t="s">
        <v>2482</v>
      </c>
      <c r="BK684" t="s">
        <v>156</v>
      </c>
      <c r="BL684" t="s">
        <v>2482</v>
      </c>
      <c r="BM684" t="s">
        <v>12988</v>
      </c>
      <c r="BN684" t="s">
        <v>74</v>
      </c>
      <c r="BO684" t="s">
        <v>459</v>
      </c>
      <c r="BP684" t="s">
        <v>74</v>
      </c>
      <c r="BQ684" t="s">
        <v>74</v>
      </c>
      <c r="BR684" t="s">
        <v>105</v>
      </c>
      <c r="BS684" t="s">
        <v>13106</v>
      </c>
      <c r="BT684" t="str">
        <f>HYPERLINK("https%3A%2F%2Fwww.webofscience.com%2Fwos%2Fwoscc%2Ffull-record%2FWOS:000380730500021","View Full Record in Web of Science")</f>
        <v>View Full Record in Web of Science</v>
      </c>
    </row>
    <row r="685" spans="1:72" x14ac:dyDescent="0.15">
      <c r="A685" t="s">
        <v>72</v>
      </c>
      <c r="B685" t="s">
        <v>13107</v>
      </c>
      <c r="C685" t="s">
        <v>74</v>
      </c>
      <c r="D685" t="s">
        <v>74</v>
      </c>
      <c r="E685" t="s">
        <v>74</v>
      </c>
      <c r="F685" t="s">
        <v>13108</v>
      </c>
      <c r="G685" t="s">
        <v>74</v>
      </c>
      <c r="H685" t="s">
        <v>74</v>
      </c>
      <c r="I685" t="s">
        <v>13109</v>
      </c>
      <c r="J685" t="s">
        <v>1218</v>
      </c>
      <c r="K685" t="s">
        <v>74</v>
      </c>
      <c r="L685" t="s">
        <v>74</v>
      </c>
      <c r="M685" t="s">
        <v>78</v>
      </c>
      <c r="N685" t="s">
        <v>79</v>
      </c>
      <c r="O685" t="s">
        <v>74</v>
      </c>
      <c r="P685" t="s">
        <v>74</v>
      </c>
      <c r="Q685" t="s">
        <v>74</v>
      </c>
      <c r="R685" t="s">
        <v>74</v>
      </c>
      <c r="S685" t="s">
        <v>74</v>
      </c>
      <c r="T685" t="s">
        <v>74</v>
      </c>
      <c r="U685" t="s">
        <v>13110</v>
      </c>
      <c r="V685" t="s">
        <v>13111</v>
      </c>
      <c r="W685" t="s">
        <v>13112</v>
      </c>
      <c r="X685" t="s">
        <v>13113</v>
      </c>
      <c r="Y685" t="s">
        <v>13114</v>
      </c>
      <c r="Z685" t="s">
        <v>13115</v>
      </c>
      <c r="AA685" t="s">
        <v>13116</v>
      </c>
      <c r="AB685" t="s">
        <v>13117</v>
      </c>
      <c r="AC685" t="s">
        <v>13118</v>
      </c>
      <c r="AD685" t="s">
        <v>13119</v>
      </c>
      <c r="AE685" t="s">
        <v>13120</v>
      </c>
      <c r="AF685" t="s">
        <v>74</v>
      </c>
      <c r="AG685">
        <v>36</v>
      </c>
      <c r="AH685">
        <v>398</v>
      </c>
      <c r="AI685">
        <v>425</v>
      </c>
      <c r="AJ685">
        <v>19</v>
      </c>
      <c r="AK685">
        <v>333</v>
      </c>
      <c r="AL685" t="s">
        <v>1230</v>
      </c>
      <c r="AM685" t="s">
        <v>123</v>
      </c>
      <c r="AN685" t="s">
        <v>1231</v>
      </c>
      <c r="AO685" t="s">
        <v>1232</v>
      </c>
      <c r="AP685" t="s">
        <v>1233</v>
      </c>
      <c r="AQ685" t="s">
        <v>74</v>
      </c>
      <c r="AR685" t="s">
        <v>1218</v>
      </c>
      <c r="AS685" t="s">
        <v>1234</v>
      </c>
      <c r="AT685" t="s">
        <v>13121</v>
      </c>
      <c r="AU685">
        <v>2016</v>
      </c>
      <c r="AV685">
        <v>353</v>
      </c>
      <c r="AW685">
        <v>6296</v>
      </c>
      <c r="AX685" t="s">
        <v>74</v>
      </c>
      <c r="AY685" t="s">
        <v>74</v>
      </c>
      <c r="AZ685" t="s">
        <v>74</v>
      </c>
      <c r="BA685" t="s">
        <v>74</v>
      </c>
      <c r="BB685">
        <v>269</v>
      </c>
      <c r="BC685">
        <v>274</v>
      </c>
      <c r="BD685" t="s">
        <v>74</v>
      </c>
      <c r="BE685" t="s">
        <v>13122</v>
      </c>
      <c r="BF685" t="str">
        <f>HYPERLINK("http://dx.doi.org/10.1126/science.aae0061","http://dx.doi.org/10.1126/science.aae0061")</f>
        <v>http://dx.doi.org/10.1126/science.aae0061</v>
      </c>
      <c r="BG685" t="s">
        <v>74</v>
      </c>
      <c r="BH685" t="s">
        <v>74</v>
      </c>
      <c r="BI685">
        <v>6</v>
      </c>
      <c r="BJ685" t="s">
        <v>719</v>
      </c>
      <c r="BK685" t="s">
        <v>156</v>
      </c>
      <c r="BL685" t="s">
        <v>720</v>
      </c>
      <c r="BM685" t="s">
        <v>13123</v>
      </c>
      <c r="BN685">
        <v>27365314</v>
      </c>
      <c r="BO685" t="s">
        <v>1124</v>
      </c>
      <c r="BP685" t="s">
        <v>1447</v>
      </c>
      <c r="BQ685" t="s">
        <v>1448</v>
      </c>
      <c r="BR685" t="s">
        <v>105</v>
      </c>
      <c r="BS685" t="s">
        <v>13124</v>
      </c>
      <c r="BT685" t="str">
        <f>HYPERLINK("https%3A%2F%2Fwww.webofscience.com%2Fwos%2Fwoscc%2Ffull-record%2FWOS:000379580800044","View Full Record in Web of Science")</f>
        <v>View Full Record in Web of Science</v>
      </c>
    </row>
    <row r="686" spans="1:72" x14ac:dyDescent="0.15">
      <c r="A686" t="s">
        <v>72</v>
      </c>
      <c r="B686" t="s">
        <v>13125</v>
      </c>
      <c r="C686" t="s">
        <v>74</v>
      </c>
      <c r="D686" t="s">
        <v>74</v>
      </c>
      <c r="E686" t="s">
        <v>74</v>
      </c>
      <c r="F686" t="s">
        <v>13126</v>
      </c>
      <c r="G686" t="s">
        <v>74</v>
      </c>
      <c r="H686" t="s">
        <v>74</v>
      </c>
      <c r="I686" t="s">
        <v>13127</v>
      </c>
      <c r="J686" t="s">
        <v>1218</v>
      </c>
      <c r="K686" t="s">
        <v>74</v>
      </c>
      <c r="L686" t="s">
        <v>74</v>
      </c>
      <c r="M686" t="s">
        <v>78</v>
      </c>
      <c r="N686" t="s">
        <v>79</v>
      </c>
      <c r="O686" t="s">
        <v>74</v>
      </c>
      <c r="P686" t="s">
        <v>74</v>
      </c>
      <c r="Q686" t="s">
        <v>74</v>
      </c>
      <c r="R686" t="s">
        <v>74</v>
      </c>
      <c r="S686" t="s">
        <v>74</v>
      </c>
      <c r="T686" t="s">
        <v>74</v>
      </c>
      <c r="U686" t="s">
        <v>13128</v>
      </c>
      <c r="V686" t="s">
        <v>13129</v>
      </c>
      <c r="W686" t="s">
        <v>13130</v>
      </c>
      <c r="X686" t="s">
        <v>13131</v>
      </c>
      <c r="Y686" t="s">
        <v>13132</v>
      </c>
      <c r="Z686" t="s">
        <v>13133</v>
      </c>
      <c r="AA686" t="s">
        <v>13134</v>
      </c>
      <c r="AB686" t="s">
        <v>13135</v>
      </c>
      <c r="AC686" t="s">
        <v>13136</v>
      </c>
      <c r="AD686" t="s">
        <v>13137</v>
      </c>
      <c r="AE686" t="s">
        <v>13138</v>
      </c>
      <c r="AF686" t="s">
        <v>74</v>
      </c>
      <c r="AG686">
        <v>31</v>
      </c>
      <c r="AH686">
        <v>312</v>
      </c>
      <c r="AI686">
        <v>352</v>
      </c>
      <c r="AJ686">
        <v>9</v>
      </c>
      <c r="AK686">
        <v>116</v>
      </c>
      <c r="AL686" t="s">
        <v>1230</v>
      </c>
      <c r="AM686" t="s">
        <v>123</v>
      </c>
      <c r="AN686" t="s">
        <v>1231</v>
      </c>
      <c r="AO686" t="s">
        <v>1232</v>
      </c>
      <c r="AP686" t="s">
        <v>1233</v>
      </c>
      <c r="AQ686" t="s">
        <v>74</v>
      </c>
      <c r="AR686" t="s">
        <v>1218</v>
      </c>
      <c r="AS686" t="s">
        <v>1234</v>
      </c>
      <c r="AT686" t="s">
        <v>13121</v>
      </c>
      <c r="AU686">
        <v>2016</v>
      </c>
      <c r="AV686">
        <v>353</v>
      </c>
      <c r="AW686">
        <v>6296</v>
      </c>
      <c r="AX686" t="s">
        <v>74</v>
      </c>
      <c r="AY686" t="s">
        <v>74</v>
      </c>
      <c r="AZ686" t="s">
        <v>74</v>
      </c>
      <c r="BA686" t="s">
        <v>74</v>
      </c>
      <c r="BB686">
        <v>283</v>
      </c>
      <c r="BC686">
        <v>286</v>
      </c>
      <c r="BD686" t="s">
        <v>74</v>
      </c>
      <c r="BE686" t="s">
        <v>13139</v>
      </c>
      <c r="BF686" t="str">
        <f>HYPERLINK("http://dx.doi.org/10.1126/science.aae0017","http://dx.doi.org/10.1126/science.aae0017")</f>
        <v>http://dx.doi.org/10.1126/science.aae0017</v>
      </c>
      <c r="BG686" t="s">
        <v>74</v>
      </c>
      <c r="BH686" t="s">
        <v>74</v>
      </c>
      <c r="BI686">
        <v>4</v>
      </c>
      <c r="BJ686" t="s">
        <v>719</v>
      </c>
      <c r="BK686" t="s">
        <v>156</v>
      </c>
      <c r="BL686" t="s">
        <v>720</v>
      </c>
      <c r="BM686" t="s">
        <v>13123</v>
      </c>
      <c r="BN686">
        <v>27418507</v>
      </c>
      <c r="BO686" t="s">
        <v>459</v>
      </c>
      <c r="BP686" t="s">
        <v>1447</v>
      </c>
      <c r="BQ686" t="s">
        <v>1448</v>
      </c>
      <c r="BR686" t="s">
        <v>105</v>
      </c>
      <c r="BS686" t="s">
        <v>13140</v>
      </c>
      <c r="BT686" t="str">
        <f>HYPERLINK("https%3A%2F%2Fwww.webofscience.com%2Fwos%2Fwoscc%2Ffull-record%2FWOS:000379580800047","View Full Record in Web of Science")</f>
        <v>View Full Record in Web of Science</v>
      </c>
    </row>
    <row r="687" spans="1:72" x14ac:dyDescent="0.15">
      <c r="A687" t="s">
        <v>72</v>
      </c>
      <c r="B687" t="s">
        <v>13141</v>
      </c>
      <c r="C687" t="s">
        <v>74</v>
      </c>
      <c r="D687" t="s">
        <v>74</v>
      </c>
      <c r="E687" t="s">
        <v>74</v>
      </c>
      <c r="F687" t="s">
        <v>13142</v>
      </c>
      <c r="G687" t="s">
        <v>74</v>
      </c>
      <c r="H687" t="s">
        <v>74</v>
      </c>
      <c r="I687" t="s">
        <v>13143</v>
      </c>
      <c r="J687" t="s">
        <v>13144</v>
      </c>
      <c r="K687" t="s">
        <v>74</v>
      </c>
      <c r="L687" t="s">
        <v>74</v>
      </c>
      <c r="M687" t="s">
        <v>78</v>
      </c>
      <c r="N687" t="s">
        <v>79</v>
      </c>
      <c r="O687" t="s">
        <v>74</v>
      </c>
      <c r="P687" t="s">
        <v>74</v>
      </c>
      <c r="Q687" t="s">
        <v>74</v>
      </c>
      <c r="R687" t="s">
        <v>74</v>
      </c>
      <c r="S687" t="s">
        <v>74</v>
      </c>
      <c r="T687" t="s">
        <v>13145</v>
      </c>
      <c r="U687" t="s">
        <v>13146</v>
      </c>
      <c r="V687" t="s">
        <v>13147</v>
      </c>
      <c r="W687" t="s">
        <v>13148</v>
      </c>
      <c r="X687" t="s">
        <v>13149</v>
      </c>
      <c r="Y687" t="s">
        <v>13150</v>
      </c>
      <c r="Z687" t="s">
        <v>13151</v>
      </c>
      <c r="AA687" t="s">
        <v>13152</v>
      </c>
      <c r="AB687" t="s">
        <v>74</v>
      </c>
      <c r="AC687" t="s">
        <v>13153</v>
      </c>
      <c r="AD687" t="s">
        <v>13154</v>
      </c>
      <c r="AE687" t="s">
        <v>13155</v>
      </c>
      <c r="AF687" t="s">
        <v>74</v>
      </c>
      <c r="AG687">
        <v>58</v>
      </c>
      <c r="AH687">
        <v>30</v>
      </c>
      <c r="AI687">
        <v>33</v>
      </c>
      <c r="AJ687">
        <v>0</v>
      </c>
      <c r="AK687">
        <v>23</v>
      </c>
      <c r="AL687" t="s">
        <v>1437</v>
      </c>
      <c r="AM687" t="s">
        <v>594</v>
      </c>
      <c r="AN687" t="s">
        <v>13156</v>
      </c>
      <c r="AO687" t="s">
        <v>13157</v>
      </c>
      <c r="AP687" t="s">
        <v>13158</v>
      </c>
      <c r="AQ687" t="s">
        <v>74</v>
      </c>
      <c r="AR687" t="s">
        <v>13144</v>
      </c>
      <c r="AS687" t="s">
        <v>13159</v>
      </c>
      <c r="AT687" t="s">
        <v>13121</v>
      </c>
      <c r="AU687">
        <v>2016</v>
      </c>
      <c r="AV687">
        <v>86</v>
      </c>
      <c r="AW687">
        <v>2</v>
      </c>
      <c r="AX687" t="s">
        <v>74</v>
      </c>
      <c r="AY687" t="s">
        <v>74</v>
      </c>
      <c r="AZ687" t="s">
        <v>74</v>
      </c>
      <c r="BA687" t="s">
        <v>74</v>
      </c>
      <c r="BB687">
        <v>485</v>
      </c>
      <c r="BC687">
        <v>494</v>
      </c>
      <c r="BD687" t="s">
        <v>74</v>
      </c>
      <c r="BE687" t="s">
        <v>13160</v>
      </c>
      <c r="BF687" t="str">
        <f>HYPERLINK("http://dx.doi.org/10.1016/j.theriogenology.2016.01.032","http://dx.doi.org/10.1016/j.theriogenology.2016.01.032")</f>
        <v>http://dx.doi.org/10.1016/j.theriogenology.2016.01.032</v>
      </c>
      <c r="BG687" t="s">
        <v>74</v>
      </c>
      <c r="BH687" t="s">
        <v>74</v>
      </c>
      <c r="BI687">
        <v>10</v>
      </c>
      <c r="BJ687" t="s">
        <v>13161</v>
      </c>
      <c r="BK687" t="s">
        <v>156</v>
      </c>
      <c r="BL687" t="s">
        <v>13161</v>
      </c>
      <c r="BM687" t="s">
        <v>13162</v>
      </c>
      <c r="BN687">
        <v>26948296</v>
      </c>
      <c r="BO687" t="s">
        <v>74</v>
      </c>
      <c r="BP687" t="s">
        <v>74</v>
      </c>
      <c r="BQ687" t="s">
        <v>74</v>
      </c>
      <c r="BR687" t="s">
        <v>105</v>
      </c>
      <c r="BS687" t="s">
        <v>13163</v>
      </c>
      <c r="BT687" t="str">
        <f>HYPERLINK("https%3A%2F%2Fwww.webofscience.com%2Fwos%2Fwoscc%2Ffull-record%2FWOS:000377843400003","View Full Record in Web of Science")</f>
        <v>View Full Record in Web of Science</v>
      </c>
    </row>
    <row r="688" spans="1:72" x14ac:dyDescent="0.15">
      <c r="A688" t="s">
        <v>72</v>
      </c>
      <c r="B688" t="s">
        <v>13164</v>
      </c>
      <c r="C688" t="s">
        <v>74</v>
      </c>
      <c r="D688" t="s">
        <v>74</v>
      </c>
      <c r="E688" t="s">
        <v>74</v>
      </c>
      <c r="F688" t="s">
        <v>13165</v>
      </c>
      <c r="G688" t="s">
        <v>74</v>
      </c>
      <c r="H688" t="s">
        <v>74</v>
      </c>
      <c r="I688" t="s">
        <v>13166</v>
      </c>
      <c r="J688" t="s">
        <v>3753</v>
      </c>
      <c r="K688" t="s">
        <v>74</v>
      </c>
      <c r="L688" t="s">
        <v>74</v>
      </c>
      <c r="M688" t="s">
        <v>78</v>
      </c>
      <c r="N688" t="s">
        <v>79</v>
      </c>
      <c r="O688" t="s">
        <v>74</v>
      </c>
      <c r="P688" t="s">
        <v>74</v>
      </c>
      <c r="Q688" t="s">
        <v>74</v>
      </c>
      <c r="R688" t="s">
        <v>74</v>
      </c>
      <c r="S688" t="s">
        <v>74</v>
      </c>
      <c r="T688" t="s">
        <v>13167</v>
      </c>
      <c r="U688" t="s">
        <v>13168</v>
      </c>
      <c r="V688" t="s">
        <v>13169</v>
      </c>
      <c r="W688" t="s">
        <v>13170</v>
      </c>
      <c r="X688" t="s">
        <v>13171</v>
      </c>
      <c r="Y688" t="s">
        <v>13172</v>
      </c>
      <c r="Z688" t="s">
        <v>13173</v>
      </c>
      <c r="AA688" t="s">
        <v>13174</v>
      </c>
      <c r="AB688" t="s">
        <v>13175</v>
      </c>
      <c r="AC688" t="s">
        <v>13176</v>
      </c>
      <c r="AD688" t="s">
        <v>13177</v>
      </c>
      <c r="AE688" t="s">
        <v>13178</v>
      </c>
      <c r="AF688" t="s">
        <v>74</v>
      </c>
      <c r="AG688">
        <v>46</v>
      </c>
      <c r="AH688">
        <v>22</v>
      </c>
      <c r="AI688">
        <v>23</v>
      </c>
      <c r="AJ688">
        <v>0</v>
      </c>
      <c r="AK688">
        <v>17</v>
      </c>
      <c r="AL688" t="s">
        <v>2112</v>
      </c>
      <c r="AM688" t="s">
        <v>250</v>
      </c>
      <c r="AN688" t="s">
        <v>2113</v>
      </c>
      <c r="AO688" t="s">
        <v>3762</v>
      </c>
      <c r="AP688" t="s">
        <v>3763</v>
      </c>
      <c r="AQ688" t="s">
        <v>74</v>
      </c>
      <c r="AR688" t="s">
        <v>3764</v>
      </c>
      <c r="AS688" t="s">
        <v>3765</v>
      </c>
      <c r="AT688" t="s">
        <v>13121</v>
      </c>
      <c r="AU688">
        <v>2016</v>
      </c>
      <c r="AV688">
        <v>177</v>
      </c>
      <c r="AW688" t="s">
        <v>74</v>
      </c>
      <c r="AX688" t="s">
        <v>74</v>
      </c>
      <c r="AY688" t="s">
        <v>74</v>
      </c>
      <c r="AZ688" t="s">
        <v>74</v>
      </c>
      <c r="BA688" t="s">
        <v>74</v>
      </c>
      <c r="BB688">
        <v>320</v>
      </c>
      <c r="BC688">
        <v>330</v>
      </c>
      <c r="BD688" t="s">
        <v>74</v>
      </c>
      <c r="BE688" t="s">
        <v>13179</v>
      </c>
      <c r="BF688" t="str">
        <f>HYPERLINK("http://dx.doi.org/10.1016/j.jenvman.2016.04.032","http://dx.doi.org/10.1016/j.jenvman.2016.04.032")</f>
        <v>http://dx.doi.org/10.1016/j.jenvman.2016.04.032</v>
      </c>
      <c r="BG688" t="s">
        <v>74</v>
      </c>
      <c r="BH688" t="s">
        <v>74</v>
      </c>
      <c r="BI688">
        <v>11</v>
      </c>
      <c r="BJ688" t="s">
        <v>846</v>
      </c>
      <c r="BK688" t="s">
        <v>156</v>
      </c>
      <c r="BL688" t="s">
        <v>532</v>
      </c>
      <c r="BM688" t="s">
        <v>13180</v>
      </c>
      <c r="BN688">
        <v>27111650</v>
      </c>
      <c r="BO688" t="s">
        <v>74</v>
      </c>
      <c r="BP688" t="s">
        <v>74</v>
      </c>
      <c r="BQ688" t="s">
        <v>74</v>
      </c>
      <c r="BR688" t="s">
        <v>105</v>
      </c>
      <c r="BS688" t="s">
        <v>13181</v>
      </c>
      <c r="BT688" t="str">
        <f>HYPERLINK("https%3A%2F%2Fwww.webofscience.com%2Fwos%2Fwoscc%2Ffull-record%2FWOS:000376805300036","View Full Record in Web of Science")</f>
        <v>View Full Record in Web of Science</v>
      </c>
    </row>
    <row r="689" spans="1:72" x14ac:dyDescent="0.15">
      <c r="A689" t="s">
        <v>72</v>
      </c>
      <c r="B689" t="s">
        <v>13182</v>
      </c>
      <c r="C689" t="s">
        <v>74</v>
      </c>
      <c r="D689" t="s">
        <v>74</v>
      </c>
      <c r="E689" t="s">
        <v>74</v>
      </c>
      <c r="F689" t="s">
        <v>13183</v>
      </c>
      <c r="G689" t="s">
        <v>74</v>
      </c>
      <c r="H689" t="s">
        <v>74</v>
      </c>
      <c r="I689" t="s">
        <v>13184</v>
      </c>
      <c r="J689" t="s">
        <v>4556</v>
      </c>
      <c r="K689" t="s">
        <v>74</v>
      </c>
      <c r="L689" t="s">
        <v>74</v>
      </c>
      <c r="M689" t="s">
        <v>78</v>
      </c>
      <c r="N689" t="s">
        <v>79</v>
      </c>
      <c r="O689" t="s">
        <v>74</v>
      </c>
      <c r="P689" t="s">
        <v>74</v>
      </c>
      <c r="Q689" t="s">
        <v>74</v>
      </c>
      <c r="R689" t="s">
        <v>74</v>
      </c>
      <c r="S689" t="s">
        <v>74</v>
      </c>
      <c r="T689" t="s">
        <v>13185</v>
      </c>
      <c r="U689" t="s">
        <v>13186</v>
      </c>
      <c r="V689" t="s">
        <v>13187</v>
      </c>
      <c r="W689" t="s">
        <v>13188</v>
      </c>
      <c r="X689" t="s">
        <v>13189</v>
      </c>
      <c r="Y689" t="s">
        <v>13190</v>
      </c>
      <c r="Z689" t="s">
        <v>13191</v>
      </c>
      <c r="AA689" t="s">
        <v>13192</v>
      </c>
      <c r="AB689" t="s">
        <v>13193</v>
      </c>
      <c r="AC689" t="s">
        <v>13194</v>
      </c>
      <c r="AD689" t="s">
        <v>13195</v>
      </c>
      <c r="AE689" t="s">
        <v>13196</v>
      </c>
      <c r="AF689" t="s">
        <v>74</v>
      </c>
      <c r="AG689">
        <v>52</v>
      </c>
      <c r="AH689">
        <v>4</v>
      </c>
      <c r="AI689">
        <v>4</v>
      </c>
      <c r="AJ689">
        <v>2</v>
      </c>
      <c r="AK689">
        <v>36</v>
      </c>
      <c r="AL689" t="s">
        <v>4569</v>
      </c>
      <c r="AM689" t="s">
        <v>4570</v>
      </c>
      <c r="AN689" t="s">
        <v>4571</v>
      </c>
      <c r="AO689" t="s">
        <v>4572</v>
      </c>
      <c r="AP689" t="s">
        <v>4573</v>
      </c>
      <c r="AQ689" t="s">
        <v>74</v>
      </c>
      <c r="AR689" t="s">
        <v>4574</v>
      </c>
      <c r="AS689" t="s">
        <v>4575</v>
      </c>
      <c r="AT689" t="s">
        <v>13197</v>
      </c>
      <c r="AU689">
        <v>2016</v>
      </c>
      <c r="AV689">
        <v>553</v>
      </c>
      <c r="AW689" t="s">
        <v>74</v>
      </c>
      <c r="AX689" t="s">
        <v>74</v>
      </c>
      <c r="AY689" t="s">
        <v>74</v>
      </c>
      <c r="AZ689" t="s">
        <v>74</v>
      </c>
      <c r="BA689" t="s">
        <v>74</v>
      </c>
      <c r="BB689">
        <v>155</v>
      </c>
      <c r="BC689">
        <v>162</v>
      </c>
      <c r="BD689" t="s">
        <v>74</v>
      </c>
      <c r="BE689" t="s">
        <v>13198</v>
      </c>
      <c r="BF689" t="str">
        <f>HYPERLINK("http://dx.doi.org/10.3354/meps11739","http://dx.doi.org/10.3354/meps11739")</f>
        <v>http://dx.doi.org/10.3354/meps11739</v>
      </c>
      <c r="BG689" t="s">
        <v>74</v>
      </c>
      <c r="BH689" t="s">
        <v>74</v>
      </c>
      <c r="BI689">
        <v>8</v>
      </c>
      <c r="BJ689" t="s">
        <v>4578</v>
      </c>
      <c r="BK689" t="s">
        <v>156</v>
      </c>
      <c r="BL689" t="s">
        <v>4579</v>
      </c>
      <c r="BM689" t="s">
        <v>13199</v>
      </c>
      <c r="BN689" t="s">
        <v>74</v>
      </c>
      <c r="BO689" t="s">
        <v>1494</v>
      </c>
      <c r="BP689" t="s">
        <v>74</v>
      </c>
      <c r="BQ689" t="s">
        <v>74</v>
      </c>
      <c r="BR689" t="s">
        <v>105</v>
      </c>
      <c r="BS689" t="s">
        <v>13200</v>
      </c>
      <c r="BT689" t="str">
        <f>HYPERLINK("https%3A%2F%2Fwww.webofscience.com%2Fwos%2Fwoscc%2Ffull-record%2FWOS:000383800600011","View Full Record in Web of Science")</f>
        <v>View Full Record in Web of Science</v>
      </c>
    </row>
    <row r="690" spans="1:72" x14ac:dyDescent="0.15">
      <c r="A690" t="s">
        <v>72</v>
      </c>
      <c r="B690" t="s">
        <v>13201</v>
      </c>
      <c r="C690" t="s">
        <v>74</v>
      </c>
      <c r="D690" t="s">
        <v>74</v>
      </c>
      <c r="E690" t="s">
        <v>74</v>
      </c>
      <c r="F690" t="s">
        <v>13202</v>
      </c>
      <c r="G690" t="s">
        <v>74</v>
      </c>
      <c r="H690" t="s">
        <v>74</v>
      </c>
      <c r="I690" t="s">
        <v>13203</v>
      </c>
      <c r="J690" t="s">
        <v>4556</v>
      </c>
      <c r="K690" t="s">
        <v>74</v>
      </c>
      <c r="L690" t="s">
        <v>74</v>
      </c>
      <c r="M690" t="s">
        <v>78</v>
      </c>
      <c r="N690" t="s">
        <v>79</v>
      </c>
      <c r="O690" t="s">
        <v>74</v>
      </c>
      <c r="P690" t="s">
        <v>74</v>
      </c>
      <c r="Q690" t="s">
        <v>74</v>
      </c>
      <c r="R690" t="s">
        <v>74</v>
      </c>
      <c r="S690" t="s">
        <v>74</v>
      </c>
      <c r="T690" t="s">
        <v>13204</v>
      </c>
      <c r="U690" t="s">
        <v>13205</v>
      </c>
      <c r="V690" t="s">
        <v>13206</v>
      </c>
      <c r="W690" t="s">
        <v>13207</v>
      </c>
      <c r="X690" t="s">
        <v>13208</v>
      </c>
      <c r="Y690" t="s">
        <v>13209</v>
      </c>
      <c r="Z690" t="s">
        <v>13210</v>
      </c>
      <c r="AA690" t="s">
        <v>13211</v>
      </c>
      <c r="AB690" t="s">
        <v>13212</v>
      </c>
      <c r="AC690" t="s">
        <v>13213</v>
      </c>
      <c r="AD690" t="s">
        <v>13214</v>
      </c>
      <c r="AE690" t="s">
        <v>13215</v>
      </c>
      <c r="AF690" t="s">
        <v>74</v>
      </c>
      <c r="AG690">
        <v>91</v>
      </c>
      <c r="AH690">
        <v>26</v>
      </c>
      <c r="AI690">
        <v>26</v>
      </c>
      <c r="AJ690">
        <v>0</v>
      </c>
      <c r="AK690">
        <v>46</v>
      </c>
      <c r="AL690" t="s">
        <v>4569</v>
      </c>
      <c r="AM690" t="s">
        <v>4570</v>
      </c>
      <c r="AN690" t="s">
        <v>4571</v>
      </c>
      <c r="AO690" t="s">
        <v>4572</v>
      </c>
      <c r="AP690" t="s">
        <v>4573</v>
      </c>
      <c r="AQ690" t="s">
        <v>74</v>
      </c>
      <c r="AR690" t="s">
        <v>4574</v>
      </c>
      <c r="AS690" t="s">
        <v>4575</v>
      </c>
      <c r="AT690" t="s">
        <v>13197</v>
      </c>
      <c r="AU690">
        <v>2016</v>
      </c>
      <c r="AV690">
        <v>553</v>
      </c>
      <c r="AW690" t="s">
        <v>74</v>
      </c>
      <c r="AX690" t="s">
        <v>74</v>
      </c>
      <c r="AY690" t="s">
        <v>74</v>
      </c>
      <c r="AZ690" t="s">
        <v>74</v>
      </c>
      <c r="BA690" t="s">
        <v>74</v>
      </c>
      <c r="BB690">
        <v>267</v>
      </c>
      <c r="BC690">
        <v>281</v>
      </c>
      <c r="BD690" t="s">
        <v>74</v>
      </c>
      <c r="BE690" t="s">
        <v>13216</v>
      </c>
      <c r="BF690" t="str">
        <f>HYPERLINK("http://dx.doi.org/10.3354/meps11781","http://dx.doi.org/10.3354/meps11781")</f>
        <v>http://dx.doi.org/10.3354/meps11781</v>
      </c>
      <c r="BG690" t="s">
        <v>74</v>
      </c>
      <c r="BH690" t="s">
        <v>74</v>
      </c>
      <c r="BI690">
        <v>15</v>
      </c>
      <c r="BJ690" t="s">
        <v>4578</v>
      </c>
      <c r="BK690" t="s">
        <v>156</v>
      </c>
      <c r="BL690" t="s">
        <v>4579</v>
      </c>
      <c r="BM690" t="s">
        <v>13199</v>
      </c>
      <c r="BN690" t="s">
        <v>74</v>
      </c>
      <c r="BO690" t="s">
        <v>8268</v>
      </c>
      <c r="BP690" t="s">
        <v>74</v>
      </c>
      <c r="BQ690" t="s">
        <v>74</v>
      </c>
      <c r="BR690" t="s">
        <v>105</v>
      </c>
      <c r="BS690" t="s">
        <v>13217</v>
      </c>
      <c r="BT690" t="str">
        <f>HYPERLINK("https%3A%2F%2Fwww.webofscience.com%2Fwos%2Fwoscc%2Ffull-record%2FWOS:000383800600019","View Full Record in Web of Science")</f>
        <v>View Full Record in Web of Science</v>
      </c>
    </row>
    <row r="691" spans="1:72" x14ac:dyDescent="0.15">
      <c r="A691" t="s">
        <v>72</v>
      </c>
      <c r="B691" t="s">
        <v>13218</v>
      </c>
      <c r="C691" t="s">
        <v>74</v>
      </c>
      <c r="D691" t="s">
        <v>74</v>
      </c>
      <c r="E691" t="s">
        <v>74</v>
      </c>
      <c r="F691" t="s">
        <v>13219</v>
      </c>
      <c r="G691" t="s">
        <v>74</v>
      </c>
      <c r="H691" t="s">
        <v>74</v>
      </c>
      <c r="I691" t="s">
        <v>13220</v>
      </c>
      <c r="J691" t="s">
        <v>1072</v>
      </c>
      <c r="K691" t="s">
        <v>74</v>
      </c>
      <c r="L691" t="s">
        <v>74</v>
      </c>
      <c r="M691" t="s">
        <v>78</v>
      </c>
      <c r="N691" t="s">
        <v>79</v>
      </c>
      <c r="O691" t="s">
        <v>74</v>
      </c>
      <c r="P691" t="s">
        <v>74</v>
      </c>
      <c r="Q691" t="s">
        <v>74</v>
      </c>
      <c r="R691" t="s">
        <v>74</v>
      </c>
      <c r="S691" t="s">
        <v>74</v>
      </c>
      <c r="T691" t="s">
        <v>74</v>
      </c>
      <c r="U691" t="s">
        <v>13221</v>
      </c>
      <c r="V691" t="s">
        <v>13222</v>
      </c>
      <c r="W691" t="s">
        <v>13223</v>
      </c>
      <c r="X691" t="s">
        <v>5404</v>
      </c>
      <c r="Y691" t="s">
        <v>5405</v>
      </c>
      <c r="Z691" t="s">
        <v>5406</v>
      </c>
      <c r="AA691" t="s">
        <v>13224</v>
      </c>
      <c r="AB691" t="s">
        <v>13225</v>
      </c>
      <c r="AC691" t="s">
        <v>13226</v>
      </c>
      <c r="AD691" t="s">
        <v>13226</v>
      </c>
      <c r="AE691" t="s">
        <v>13227</v>
      </c>
      <c r="AF691" t="s">
        <v>74</v>
      </c>
      <c r="AG691">
        <v>37</v>
      </c>
      <c r="AH691">
        <v>27</v>
      </c>
      <c r="AI691">
        <v>29</v>
      </c>
      <c r="AJ691">
        <v>1</v>
      </c>
      <c r="AK691">
        <v>19</v>
      </c>
      <c r="AL691" t="s">
        <v>1074</v>
      </c>
      <c r="AM691" t="s">
        <v>1075</v>
      </c>
      <c r="AN691" t="s">
        <v>1076</v>
      </c>
      <c r="AO691" t="s">
        <v>1077</v>
      </c>
      <c r="AP691" t="s">
        <v>74</v>
      </c>
      <c r="AQ691" t="s">
        <v>74</v>
      </c>
      <c r="AR691" t="s">
        <v>1072</v>
      </c>
      <c r="AS691" t="s">
        <v>1078</v>
      </c>
      <c r="AT691" t="s">
        <v>13228</v>
      </c>
      <c r="AU691">
        <v>2016</v>
      </c>
      <c r="AV691">
        <v>11</v>
      </c>
      <c r="AW691">
        <v>7</v>
      </c>
      <c r="AX691" t="s">
        <v>74</v>
      </c>
      <c r="AY691" t="s">
        <v>74</v>
      </c>
      <c r="AZ691" t="s">
        <v>74</v>
      </c>
      <c r="BA691" t="s">
        <v>74</v>
      </c>
      <c r="BB691" t="s">
        <v>74</v>
      </c>
      <c r="BC691" t="s">
        <v>74</v>
      </c>
      <c r="BD691" t="s">
        <v>13229</v>
      </c>
      <c r="BE691" t="s">
        <v>13230</v>
      </c>
      <c r="BF691" t="str">
        <f>HYPERLINK("http://dx.doi.org/10.1371/journal.pone.0158415","http://dx.doi.org/10.1371/journal.pone.0158415")</f>
        <v>http://dx.doi.org/10.1371/journal.pone.0158415</v>
      </c>
      <c r="BG691" t="s">
        <v>74</v>
      </c>
      <c r="BH691" t="s">
        <v>74</v>
      </c>
      <c r="BI691">
        <v>20</v>
      </c>
      <c r="BJ691" t="s">
        <v>719</v>
      </c>
      <c r="BK691" t="s">
        <v>156</v>
      </c>
      <c r="BL691" t="s">
        <v>720</v>
      </c>
      <c r="BM691" t="s">
        <v>13231</v>
      </c>
      <c r="BN691">
        <v>27410682</v>
      </c>
      <c r="BO691" t="s">
        <v>6332</v>
      </c>
      <c r="BP691" t="s">
        <v>74</v>
      </c>
      <c r="BQ691" t="s">
        <v>74</v>
      </c>
      <c r="BR691" t="s">
        <v>105</v>
      </c>
      <c r="BS691" t="s">
        <v>13232</v>
      </c>
      <c r="BT691" t="str">
        <f>HYPERLINK("https%3A%2F%2Fwww.webofscience.com%2Fwos%2Fwoscc%2Ffull-record%2FWOS:000379508300023","View Full Record in Web of Science")</f>
        <v>View Full Record in Web of Science</v>
      </c>
    </row>
    <row r="692" spans="1:72" x14ac:dyDescent="0.15">
      <c r="A692" t="s">
        <v>72</v>
      </c>
      <c r="B692" t="s">
        <v>13233</v>
      </c>
      <c r="C692" t="s">
        <v>74</v>
      </c>
      <c r="D692" t="s">
        <v>74</v>
      </c>
      <c r="E692" t="s">
        <v>74</v>
      </c>
      <c r="F692" t="s">
        <v>13234</v>
      </c>
      <c r="G692" t="s">
        <v>74</v>
      </c>
      <c r="H692" t="s">
        <v>74</v>
      </c>
      <c r="I692" t="s">
        <v>13235</v>
      </c>
      <c r="J692" t="s">
        <v>1072</v>
      </c>
      <c r="K692" t="s">
        <v>74</v>
      </c>
      <c r="L692" t="s">
        <v>74</v>
      </c>
      <c r="M692" t="s">
        <v>78</v>
      </c>
      <c r="N692" t="s">
        <v>79</v>
      </c>
      <c r="O692" t="s">
        <v>74</v>
      </c>
      <c r="P692" t="s">
        <v>74</v>
      </c>
      <c r="Q692" t="s">
        <v>74</v>
      </c>
      <c r="R692" t="s">
        <v>74</v>
      </c>
      <c r="S692" t="s">
        <v>74</v>
      </c>
      <c r="T692" t="s">
        <v>74</v>
      </c>
      <c r="U692" t="s">
        <v>13236</v>
      </c>
      <c r="V692" t="s">
        <v>13237</v>
      </c>
      <c r="W692" t="s">
        <v>13238</v>
      </c>
      <c r="X692" t="s">
        <v>13239</v>
      </c>
      <c r="Y692" t="s">
        <v>13240</v>
      </c>
      <c r="Z692" t="s">
        <v>13241</v>
      </c>
      <c r="AA692" t="s">
        <v>13242</v>
      </c>
      <c r="AB692" t="s">
        <v>13243</v>
      </c>
      <c r="AC692" t="s">
        <v>13244</v>
      </c>
      <c r="AD692" t="s">
        <v>13245</v>
      </c>
      <c r="AE692" t="s">
        <v>13246</v>
      </c>
      <c r="AF692" t="s">
        <v>74</v>
      </c>
      <c r="AG692">
        <v>66</v>
      </c>
      <c r="AH692">
        <v>11</v>
      </c>
      <c r="AI692">
        <v>11</v>
      </c>
      <c r="AJ692">
        <v>0</v>
      </c>
      <c r="AK692">
        <v>11</v>
      </c>
      <c r="AL692" t="s">
        <v>1074</v>
      </c>
      <c r="AM692" t="s">
        <v>1075</v>
      </c>
      <c r="AN692" t="s">
        <v>1076</v>
      </c>
      <c r="AO692" t="s">
        <v>1077</v>
      </c>
      <c r="AP692" t="s">
        <v>74</v>
      </c>
      <c r="AQ692" t="s">
        <v>74</v>
      </c>
      <c r="AR692" t="s">
        <v>1072</v>
      </c>
      <c r="AS692" t="s">
        <v>1078</v>
      </c>
      <c r="AT692" t="s">
        <v>13228</v>
      </c>
      <c r="AU692">
        <v>2016</v>
      </c>
      <c r="AV692">
        <v>11</v>
      </c>
      <c r="AW692">
        <v>7</v>
      </c>
      <c r="AX692" t="s">
        <v>74</v>
      </c>
      <c r="AY692" t="s">
        <v>74</v>
      </c>
      <c r="AZ692" t="s">
        <v>74</v>
      </c>
      <c r="BA692" t="s">
        <v>74</v>
      </c>
      <c r="BB692" t="s">
        <v>74</v>
      </c>
      <c r="BC692" t="s">
        <v>74</v>
      </c>
      <c r="BD692" t="s">
        <v>13247</v>
      </c>
      <c r="BE692" t="s">
        <v>13248</v>
      </c>
      <c r="BF692" t="str">
        <f>HYPERLINK("http://dx.doi.org/10.1371/journal.pone.0157941","http://dx.doi.org/10.1371/journal.pone.0157941")</f>
        <v>http://dx.doi.org/10.1371/journal.pone.0157941</v>
      </c>
      <c r="BG692" t="s">
        <v>74</v>
      </c>
      <c r="BH692" t="s">
        <v>74</v>
      </c>
      <c r="BI692">
        <v>22</v>
      </c>
      <c r="BJ692" t="s">
        <v>719</v>
      </c>
      <c r="BK692" t="s">
        <v>156</v>
      </c>
      <c r="BL692" t="s">
        <v>720</v>
      </c>
      <c r="BM692" t="s">
        <v>13231</v>
      </c>
      <c r="BN692">
        <v>27411060</v>
      </c>
      <c r="BO692" t="s">
        <v>6332</v>
      </c>
      <c r="BP692" t="s">
        <v>74</v>
      </c>
      <c r="BQ692" t="s">
        <v>74</v>
      </c>
      <c r="BR692" t="s">
        <v>105</v>
      </c>
      <c r="BS692" t="s">
        <v>13249</v>
      </c>
      <c r="BT692" t="str">
        <f>HYPERLINK("https%3A%2F%2Fwww.webofscience.com%2Fwos%2Fwoscc%2Ffull-record%2FWOS:000379508300014","View Full Record in Web of Science")</f>
        <v>View Full Record in Web of Science</v>
      </c>
    </row>
    <row r="693" spans="1:72" x14ac:dyDescent="0.15">
      <c r="A693" t="s">
        <v>72</v>
      </c>
      <c r="B693" t="s">
        <v>12740</v>
      </c>
      <c r="C693" t="s">
        <v>74</v>
      </c>
      <c r="D693" t="s">
        <v>74</v>
      </c>
      <c r="E693" t="s">
        <v>74</v>
      </c>
      <c r="F693" t="s">
        <v>12741</v>
      </c>
      <c r="G693" t="s">
        <v>74</v>
      </c>
      <c r="H693" t="s">
        <v>74</v>
      </c>
      <c r="I693" t="s">
        <v>13250</v>
      </c>
      <c r="J693" t="s">
        <v>4498</v>
      </c>
      <c r="K693" t="s">
        <v>74</v>
      </c>
      <c r="L693" t="s">
        <v>74</v>
      </c>
      <c r="M693" t="s">
        <v>78</v>
      </c>
      <c r="N693" t="s">
        <v>79</v>
      </c>
      <c r="O693" t="s">
        <v>74</v>
      </c>
      <c r="P693" t="s">
        <v>74</v>
      </c>
      <c r="Q693" t="s">
        <v>74</v>
      </c>
      <c r="R693" t="s">
        <v>74</v>
      </c>
      <c r="S693" t="s">
        <v>74</v>
      </c>
      <c r="T693" t="s">
        <v>13251</v>
      </c>
      <c r="U693" t="s">
        <v>74</v>
      </c>
      <c r="V693" t="s">
        <v>13252</v>
      </c>
      <c r="W693" t="s">
        <v>13253</v>
      </c>
      <c r="X693" t="s">
        <v>12746</v>
      </c>
      <c r="Y693" t="s">
        <v>13254</v>
      </c>
      <c r="Z693" t="s">
        <v>12748</v>
      </c>
      <c r="AA693" t="s">
        <v>12749</v>
      </c>
      <c r="AB693" t="s">
        <v>74</v>
      </c>
      <c r="AC693" t="s">
        <v>74</v>
      </c>
      <c r="AD693" t="s">
        <v>74</v>
      </c>
      <c r="AE693" t="s">
        <v>74</v>
      </c>
      <c r="AF693" t="s">
        <v>74</v>
      </c>
      <c r="AG693">
        <v>18</v>
      </c>
      <c r="AH693">
        <v>3</v>
      </c>
      <c r="AI693">
        <v>3</v>
      </c>
      <c r="AJ693">
        <v>0</v>
      </c>
      <c r="AK693">
        <v>2</v>
      </c>
      <c r="AL693" t="s">
        <v>1572</v>
      </c>
      <c r="AM693" t="s">
        <v>1573</v>
      </c>
      <c r="AN693" t="s">
        <v>1574</v>
      </c>
      <c r="AO693" t="s">
        <v>4511</v>
      </c>
      <c r="AP693" t="s">
        <v>4512</v>
      </c>
      <c r="AQ693" t="s">
        <v>74</v>
      </c>
      <c r="AR693" t="s">
        <v>4498</v>
      </c>
      <c r="AS693" t="s">
        <v>4513</v>
      </c>
      <c r="AT693" t="s">
        <v>13255</v>
      </c>
      <c r="AU693">
        <v>2016</v>
      </c>
      <c r="AV693">
        <v>4137</v>
      </c>
      <c r="AW693">
        <v>3</v>
      </c>
      <c r="AX693" t="s">
        <v>74</v>
      </c>
      <c r="AY693" t="s">
        <v>74</v>
      </c>
      <c r="AZ693" t="s">
        <v>74</v>
      </c>
      <c r="BA693" t="s">
        <v>74</v>
      </c>
      <c r="BB693">
        <v>301</v>
      </c>
      <c r="BC693">
        <v>329</v>
      </c>
      <c r="BD693" t="s">
        <v>74</v>
      </c>
      <c r="BE693" t="s">
        <v>13256</v>
      </c>
      <c r="BF693" t="str">
        <f>HYPERLINK("http://dx.doi.org/10.11646/zootaxa.4137.3.1","http://dx.doi.org/10.11646/zootaxa.4137.3.1")</f>
        <v>http://dx.doi.org/10.11646/zootaxa.4137.3.1</v>
      </c>
      <c r="BG693" t="s">
        <v>74</v>
      </c>
      <c r="BH693" t="s">
        <v>74</v>
      </c>
      <c r="BI693">
        <v>29</v>
      </c>
      <c r="BJ693" t="s">
        <v>3306</v>
      </c>
      <c r="BK693" t="s">
        <v>156</v>
      </c>
      <c r="BL693" t="s">
        <v>3306</v>
      </c>
      <c r="BM693" t="s">
        <v>13257</v>
      </c>
      <c r="BN693">
        <v>27470726</v>
      </c>
      <c r="BO693" t="s">
        <v>74</v>
      </c>
      <c r="BP693" t="s">
        <v>74</v>
      </c>
      <c r="BQ693" t="s">
        <v>74</v>
      </c>
      <c r="BR693" t="s">
        <v>105</v>
      </c>
      <c r="BS693" t="s">
        <v>13258</v>
      </c>
      <c r="BT693" t="str">
        <f>HYPERLINK("https%3A%2F%2Fwww.webofscience.com%2Fwos%2Fwoscc%2Ffull-record%2FWOS:000379518500001","View Full Record in Web of Science")</f>
        <v>View Full Record in Web of Science</v>
      </c>
    </row>
    <row r="694" spans="1:72" x14ac:dyDescent="0.15">
      <c r="A694" t="s">
        <v>72</v>
      </c>
      <c r="B694" t="s">
        <v>13259</v>
      </c>
      <c r="C694" t="s">
        <v>74</v>
      </c>
      <c r="D694" t="s">
        <v>74</v>
      </c>
      <c r="E694" t="s">
        <v>74</v>
      </c>
      <c r="F694" t="s">
        <v>13260</v>
      </c>
      <c r="G694" t="s">
        <v>74</v>
      </c>
      <c r="H694" t="s">
        <v>74</v>
      </c>
      <c r="I694" t="s">
        <v>13261</v>
      </c>
      <c r="J694" t="s">
        <v>1472</v>
      </c>
      <c r="K694" t="s">
        <v>74</v>
      </c>
      <c r="L694" t="s">
        <v>74</v>
      </c>
      <c r="M694" t="s">
        <v>78</v>
      </c>
      <c r="N694" t="s">
        <v>79</v>
      </c>
      <c r="O694" t="s">
        <v>74</v>
      </c>
      <c r="P694" t="s">
        <v>74</v>
      </c>
      <c r="Q694" t="s">
        <v>74</v>
      </c>
      <c r="R694" t="s">
        <v>74</v>
      </c>
      <c r="S694" t="s">
        <v>74</v>
      </c>
      <c r="T694" t="s">
        <v>13262</v>
      </c>
      <c r="U694" t="s">
        <v>13263</v>
      </c>
      <c r="V694" t="s">
        <v>13264</v>
      </c>
      <c r="W694" t="s">
        <v>13265</v>
      </c>
      <c r="X694" t="s">
        <v>13266</v>
      </c>
      <c r="Y694" t="s">
        <v>13267</v>
      </c>
      <c r="Z694" t="s">
        <v>13268</v>
      </c>
      <c r="AA694" t="s">
        <v>13269</v>
      </c>
      <c r="AB694" t="s">
        <v>13270</v>
      </c>
      <c r="AC694" t="s">
        <v>13271</v>
      </c>
      <c r="AD694" t="s">
        <v>13272</v>
      </c>
      <c r="AE694" t="s">
        <v>13273</v>
      </c>
      <c r="AF694" t="s">
        <v>74</v>
      </c>
      <c r="AG694">
        <v>66</v>
      </c>
      <c r="AH694">
        <v>5</v>
      </c>
      <c r="AI694">
        <v>5</v>
      </c>
      <c r="AJ694">
        <v>0</v>
      </c>
      <c r="AK694">
        <v>8</v>
      </c>
      <c r="AL694" t="s">
        <v>1484</v>
      </c>
      <c r="AM694" t="s">
        <v>1485</v>
      </c>
      <c r="AN694" t="s">
        <v>1486</v>
      </c>
      <c r="AO694" t="s">
        <v>1487</v>
      </c>
      <c r="AP694" t="s">
        <v>1488</v>
      </c>
      <c r="AQ694" t="s">
        <v>74</v>
      </c>
      <c r="AR694" t="s">
        <v>1489</v>
      </c>
      <c r="AS694" t="s">
        <v>1490</v>
      </c>
      <c r="AT694" t="s">
        <v>13274</v>
      </c>
      <c r="AU694">
        <v>2016</v>
      </c>
      <c r="AV694">
        <v>825</v>
      </c>
      <c r="AW694">
        <v>2</v>
      </c>
      <c r="AX694" t="s">
        <v>74</v>
      </c>
      <c r="AY694" t="s">
        <v>74</v>
      </c>
      <c r="AZ694" t="s">
        <v>74</v>
      </c>
      <c r="BA694" t="s">
        <v>74</v>
      </c>
      <c r="BB694" t="s">
        <v>74</v>
      </c>
      <c r="BC694" t="s">
        <v>74</v>
      </c>
      <c r="BD694">
        <v>100</v>
      </c>
      <c r="BE694" t="s">
        <v>13275</v>
      </c>
      <c r="BF694" t="str">
        <f>HYPERLINK("http://dx.doi.org/10.3847/0004-637X/825/2/100","http://dx.doi.org/10.3847/0004-637X/825/2/100")</f>
        <v>http://dx.doi.org/10.3847/0004-637X/825/2/100</v>
      </c>
      <c r="BG694" t="s">
        <v>74</v>
      </c>
      <c r="BH694" t="s">
        <v>74</v>
      </c>
      <c r="BI694">
        <v>19</v>
      </c>
      <c r="BJ694" t="s">
        <v>748</v>
      </c>
      <c r="BK694" t="s">
        <v>156</v>
      </c>
      <c r="BL694" t="s">
        <v>748</v>
      </c>
      <c r="BM694" t="s">
        <v>13276</v>
      </c>
      <c r="BN694" t="s">
        <v>74</v>
      </c>
      <c r="BO694" t="s">
        <v>13277</v>
      </c>
      <c r="BP694" t="s">
        <v>74</v>
      </c>
      <c r="BQ694" t="s">
        <v>74</v>
      </c>
      <c r="BR694" t="s">
        <v>105</v>
      </c>
      <c r="BS694" t="s">
        <v>13278</v>
      </c>
      <c r="BT694" t="str">
        <f>HYPERLINK("https%3A%2F%2Fwww.webofscience.com%2Fwos%2Fwoscc%2Ffull-record%2FWOS:000381940800018","View Full Record in Web of Science")</f>
        <v>View Full Record in Web of Science</v>
      </c>
    </row>
    <row r="695" spans="1:72" x14ac:dyDescent="0.15">
      <c r="A695" t="s">
        <v>72</v>
      </c>
      <c r="B695" t="s">
        <v>13279</v>
      </c>
      <c r="C695" t="s">
        <v>74</v>
      </c>
      <c r="D695" t="s">
        <v>74</v>
      </c>
      <c r="E695" t="s">
        <v>74</v>
      </c>
      <c r="F695" t="s">
        <v>13280</v>
      </c>
      <c r="G695" t="s">
        <v>74</v>
      </c>
      <c r="H695" t="s">
        <v>74</v>
      </c>
      <c r="I695" t="s">
        <v>13281</v>
      </c>
      <c r="J695" t="s">
        <v>1072</v>
      </c>
      <c r="K695" t="s">
        <v>74</v>
      </c>
      <c r="L695" t="s">
        <v>74</v>
      </c>
      <c r="M695" t="s">
        <v>78</v>
      </c>
      <c r="N695" t="s">
        <v>79</v>
      </c>
      <c r="O695" t="s">
        <v>74</v>
      </c>
      <c r="P695" t="s">
        <v>74</v>
      </c>
      <c r="Q695" t="s">
        <v>74</v>
      </c>
      <c r="R695" t="s">
        <v>74</v>
      </c>
      <c r="S695" t="s">
        <v>74</v>
      </c>
      <c r="T695" t="s">
        <v>74</v>
      </c>
      <c r="U695" t="s">
        <v>13282</v>
      </c>
      <c r="V695" t="s">
        <v>13283</v>
      </c>
      <c r="W695" t="s">
        <v>13284</v>
      </c>
      <c r="X695" t="s">
        <v>13285</v>
      </c>
      <c r="Y695" t="s">
        <v>13286</v>
      </c>
      <c r="Z695" t="s">
        <v>13287</v>
      </c>
      <c r="AA695" t="s">
        <v>13288</v>
      </c>
      <c r="AB695" t="s">
        <v>13289</v>
      </c>
      <c r="AC695" t="s">
        <v>13290</v>
      </c>
      <c r="AD695" t="s">
        <v>13291</v>
      </c>
      <c r="AE695" t="s">
        <v>13292</v>
      </c>
      <c r="AF695" t="s">
        <v>74</v>
      </c>
      <c r="AG695">
        <v>84</v>
      </c>
      <c r="AH695">
        <v>10</v>
      </c>
      <c r="AI695">
        <v>11</v>
      </c>
      <c r="AJ695">
        <v>1</v>
      </c>
      <c r="AK695">
        <v>8</v>
      </c>
      <c r="AL695" t="s">
        <v>1074</v>
      </c>
      <c r="AM695" t="s">
        <v>1075</v>
      </c>
      <c r="AN695" t="s">
        <v>1076</v>
      </c>
      <c r="AO695" t="s">
        <v>1077</v>
      </c>
      <c r="AP695" t="s">
        <v>74</v>
      </c>
      <c r="AQ695" t="s">
        <v>74</v>
      </c>
      <c r="AR695" t="s">
        <v>1072</v>
      </c>
      <c r="AS695" t="s">
        <v>1078</v>
      </c>
      <c r="AT695" t="s">
        <v>13293</v>
      </c>
      <c r="AU695">
        <v>2016</v>
      </c>
      <c r="AV695">
        <v>11</v>
      </c>
      <c r="AW695">
        <v>7</v>
      </c>
      <c r="AX695" t="s">
        <v>74</v>
      </c>
      <c r="AY695" t="s">
        <v>74</v>
      </c>
      <c r="AZ695" t="s">
        <v>74</v>
      </c>
      <c r="BA695" t="s">
        <v>74</v>
      </c>
      <c r="BB695" t="s">
        <v>74</v>
      </c>
      <c r="BC695" t="s">
        <v>74</v>
      </c>
      <c r="BD695" t="s">
        <v>13294</v>
      </c>
      <c r="BE695" t="s">
        <v>13295</v>
      </c>
      <c r="BF695" t="str">
        <f>HYPERLINK("http://dx.doi.org/10.1371/journal.pone.0158889","http://dx.doi.org/10.1371/journal.pone.0158889")</f>
        <v>http://dx.doi.org/10.1371/journal.pone.0158889</v>
      </c>
      <c r="BG695" t="s">
        <v>74</v>
      </c>
      <c r="BH695" t="s">
        <v>74</v>
      </c>
      <c r="BI695">
        <v>27</v>
      </c>
      <c r="BJ695" t="s">
        <v>719</v>
      </c>
      <c r="BK695" t="s">
        <v>156</v>
      </c>
      <c r="BL695" t="s">
        <v>720</v>
      </c>
      <c r="BM695" t="s">
        <v>13296</v>
      </c>
      <c r="BN695">
        <v>27387973</v>
      </c>
      <c r="BO695" t="s">
        <v>1083</v>
      </c>
      <c r="BP695" t="s">
        <v>74</v>
      </c>
      <c r="BQ695" t="s">
        <v>74</v>
      </c>
      <c r="BR695" t="s">
        <v>105</v>
      </c>
      <c r="BS695" t="s">
        <v>13297</v>
      </c>
      <c r="BT695" t="str">
        <f>HYPERLINK("https%3A%2F%2Fwww.webofscience.com%2Fwos%2Fwoscc%2Ffull-record%2FWOS:000379811500060","View Full Record in Web of Science")</f>
        <v>View Full Record in Web of Science</v>
      </c>
    </row>
    <row r="696" spans="1:72" x14ac:dyDescent="0.15">
      <c r="A696" t="s">
        <v>72</v>
      </c>
      <c r="B696" t="s">
        <v>13298</v>
      </c>
      <c r="C696" t="s">
        <v>74</v>
      </c>
      <c r="D696" t="s">
        <v>74</v>
      </c>
      <c r="E696" t="s">
        <v>74</v>
      </c>
      <c r="F696" t="s">
        <v>13299</v>
      </c>
      <c r="G696" t="s">
        <v>74</v>
      </c>
      <c r="H696" t="s">
        <v>74</v>
      </c>
      <c r="I696" t="s">
        <v>13300</v>
      </c>
      <c r="J696" t="s">
        <v>1072</v>
      </c>
      <c r="K696" t="s">
        <v>74</v>
      </c>
      <c r="L696" t="s">
        <v>74</v>
      </c>
      <c r="M696" t="s">
        <v>78</v>
      </c>
      <c r="N696" t="s">
        <v>79</v>
      </c>
      <c r="O696" t="s">
        <v>74</v>
      </c>
      <c r="P696" t="s">
        <v>74</v>
      </c>
      <c r="Q696" t="s">
        <v>74</v>
      </c>
      <c r="R696" t="s">
        <v>74</v>
      </c>
      <c r="S696" t="s">
        <v>74</v>
      </c>
      <c r="T696" t="s">
        <v>74</v>
      </c>
      <c r="U696" t="s">
        <v>13301</v>
      </c>
      <c r="V696" t="s">
        <v>13302</v>
      </c>
      <c r="W696" t="s">
        <v>13303</v>
      </c>
      <c r="X696" t="s">
        <v>13304</v>
      </c>
      <c r="Y696" t="s">
        <v>13305</v>
      </c>
      <c r="Z696" t="s">
        <v>13306</v>
      </c>
      <c r="AA696" t="s">
        <v>13307</v>
      </c>
      <c r="AB696" t="s">
        <v>13308</v>
      </c>
      <c r="AC696" t="s">
        <v>13309</v>
      </c>
      <c r="AD696" t="s">
        <v>13310</v>
      </c>
      <c r="AE696" t="s">
        <v>13311</v>
      </c>
      <c r="AF696" t="s">
        <v>74</v>
      </c>
      <c r="AG696">
        <v>91</v>
      </c>
      <c r="AH696">
        <v>4</v>
      </c>
      <c r="AI696">
        <v>4</v>
      </c>
      <c r="AJ696">
        <v>2</v>
      </c>
      <c r="AK696">
        <v>33</v>
      </c>
      <c r="AL696" t="s">
        <v>1074</v>
      </c>
      <c r="AM696" t="s">
        <v>1075</v>
      </c>
      <c r="AN696" t="s">
        <v>1076</v>
      </c>
      <c r="AO696" t="s">
        <v>1077</v>
      </c>
      <c r="AP696" t="s">
        <v>74</v>
      </c>
      <c r="AQ696" t="s">
        <v>74</v>
      </c>
      <c r="AR696" t="s">
        <v>1072</v>
      </c>
      <c r="AS696" t="s">
        <v>1078</v>
      </c>
      <c r="AT696" t="s">
        <v>13312</v>
      </c>
      <c r="AU696">
        <v>2016</v>
      </c>
      <c r="AV696">
        <v>11</v>
      </c>
      <c r="AW696">
        <v>7</v>
      </c>
      <c r="AX696" t="s">
        <v>74</v>
      </c>
      <c r="AY696" t="s">
        <v>74</v>
      </c>
      <c r="AZ696" t="s">
        <v>74</v>
      </c>
      <c r="BA696" t="s">
        <v>74</v>
      </c>
      <c r="BB696" t="s">
        <v>74</v>
      </c>
      <c r="BC696" t="s">
        <v>74</v>
      </c>
      <c r="BD696" t="s">
        <v>13313</v>
      </c>
      <c r="BE696" t="s">
        <v>13314</v>
      </c>
      <c r="BF696" t="str">
        <f>HYPERLINK("http://dx.doi.org/10.1371/journal.pone.0158553","http://dx.doi.org/10.1371/journal.pone.0158553")</f>
        <v>http://dx.doi.org/10.1371/journal.pone.0158553</v>
      </c>
      <c r="BG696" t="s">
        <v>74</v>
      </c>
      <c r="BH696" t="s">
        <v>74</v>
      </c>
      <c r="BI696">
        <v>23</v>
      </c>
      <c r="BJ696" t="s">
        <v>719</v>
      </c>
      <c r="BK696" t="s">
        <v>156</v>
      </c>
      <c r="BL696" t="s">
        <v>720</v>
      </c>
      <c r="BM696" t="s">
        <v>13315</v>
      </c>
      <c r="BN696">
        <v>27384948</v>
      </c>
      <c r="BO696" t="s">
        <v>12829</v>
      </c>
      <c r="BP696" t="s">
        <v>74</v>
      </c>
      <c r="BQ696" t="s">
        <v>74</v>
      </c>
      <c r="BR696" t="s">
        <v>105</v>
      </c>
      <c r="BS696" t="s">
        <v>13316</v>
      </c>
      <c r="BT696" t="str">
        <f>HYPERLINK("https%3A%2F%2Fwww.webofscience.com%2Fwos%2Fwoscc%2Ffull-record%2FWOS:000379809400059","View Full Record in Web of Science")</f>
        <v>View Full Record in Web of Science</v>
      </c>
    </row>
    <row r="697" spans="1:72" x14ac:dyDescent="0.15">
      <c r="A697" t="s">
        <v>72</v>
      </c>
      <c r="B697" t="s">
        <v>13317</v>
      </c>
      <c r="C697" t="s">
        <v>74</v>
      </c>
      <c r="D697" t="s">
        <v>74</v>
      </c>
      <c r="E697" t="s">
        <v>74</v>
      </c>
      <c r="F697" t="s">
        <v>13318</v>
      </c>
      <c r="G697" t="s">
        <v>74</v>
      </c>
      <c r="H697" t="s">
        <v>74</v>
      </c>
      <c r="I697" t="s">
        <v>13319</v>
      </c>
      <c r="J697" t="s">
        <v>2163</v>
      </c>
      <c r="K697" t="s">
        <v>74</v>
      </c>
      <c r="L697" t="s">
        <v>74</v>
      </c>
      <c r="M697" t="s">
        <v>78</v>
      </c>
      <c r="N697" t="s">
        <v>317</v>
      </c>
      <c r="O697" t="s">
        <v>74</v>
      </c>
      <c r="P697" t="s">
        <v>74</v>
      </c>
      <c r="Q697" t="s">
        <v>74</v>
      </c>
      <c r="R697" t="s">
        <v>74</v>
      </c>
      <c r="S697" t="s">
        <v>74</v>
      </c>
      <c r="T697" t="s">
        <v>74</v>
      </c>
      <c r="U697" t="s">
        <v>13320</v>
      </c>
      <c r="V697" t="s">
        <v>13321</v>
      </c>
      <c r="W697" t="s">
        <v>13322</v>
      </c>
      <c r="X697" t="s">
        <v>13323</v>
      </c>
      <c r="Y697" t="s">
        <v>13324</v>
      </c>
      <c r="Z697" t="s">
        <v>13325</v>
      </c>
      <c r="AA697" t="s">
        <v>13326</v>
      </c>
      <c r="AB697" t="s">
        <v>13327</v>
      </c>
      <c r="AC697" t="s">
        <v>74</v>
      </c>
      <c r="AD697" t="s">
        <v>74</v>
      </c>
      <c r="AE697" t="s">
        <v>74</v>
      </c>
      <c r="AF697" t="s">
        <v>74</v>
      </c>
      <c r="AG697">
        <v>150</v>
      </c>
      <c r="AH697">
        <v>13</v>
      </c>
      <c r="AI697">
        <v>16</v>
      </c>
      <c r="AJ697">
        <v>4</v>
      </c>
      <c r="AK697">
        <v>103</v>
      </c>
      <c r="AL697" t="s">
        <v>2175</v>
      </c>
      <c r="AM697" t="s">
        <v>123</v>
      </c>
      <c r="AN697" t="s">
        <v>2176</v>
      </c>
      <c r="AO697" t="s">
        <v>2177</v>
      </c>
      <c r="AP697" t="s">
        <v>2178</v>
      </c>
      <c r="AQ697" t="s">
        <v>74</v>
      </c>
      <c r="AR697" t="s">
        <v>2179</v>
      </c>
      <c r="AS697" t="s">
        <v>2180</v>
      </c>
      <c r="AT697" t="s">
        <v>13328</v>
      </c>
      <c r="AU697">
        <v>2016</v>
      </c>
      <c r="AV697">
        <v>50</v>
      </c>
      <c r="AW697">
        <v>13</v>
      </c>
      <c r="AX697" t="s">
        <v>74</v>
      </c>
      <c r="AY697" t="s">
        <v>74</v>
      </c>
      <c r="AZ697" t="s">
        <v>650</v>
      </c>
      <c r="BA697" t="s">
        <v>74</v>
      </c>
      <c r="BB697">
        <v>6621</v>
      </c>
      <c r="BC697">
        <v>6631</v>
      </c>
      <c r="BD697" t="s">
        <v>74</v>
      </c>
      <c r="BE697" t="s">
        <v>13329</v>
      </c>
      <c r="BF697" t="str">
        <f>HYPERLINK("http://dx.doi.org/10.1021/acs.est.5b05994","http://dx.doi.org/10.1021/acs.est.5b05994")</f>
        <v>http://dx.doi.org/10.1021/acs.est.5b05994</v>
      </c>
      <c r="BG697" t="s">
        <v>74</v>
      </c>
      <c r="BH697" t="s">
        <v>74</v>
      </c>
      <c r="BI697">
        <v>11</v>
      </c>
      <c r="BJ697" t="s">
        <v>2182</v>
      </c>
      <c r="BK697" t="s">
        <v>156</v>
      </c>
      <c r="BL697" t="s">
        <v>2183</v>
      </c>
      <c r="BM697" t="s">
        <v>13330</v>
      </c>
      <c r="BN697">
        <v>27110903</v>
      </c>
      <c r="BO697" t="s">
        <v>3229</v>
      </c>
      <c r="BP697" t="s">
        <v>74</v>
      </c>
      <c r="BQ697" t="s">
        <v>74</v>
      </c>
      <c r="BR697" t="s">
        <v>105</v>
      </c>
      <c r="BS697" t="s">
        <v>13331</v>
      </c>
      <c r="BT697" t="str">
        <f>HYPERLINK("https%3A%2F%2Fwww.webofscience.com%2Fwos%2Fwoscc%2Ffull-record%2FWOS:000379366300007","View Full Record in Web of Science")</f>
        <v>View Full Record in Web of Science</v>
      </c>
    </row>
    <row r="698" spans="1:72" x14ac:dyDescent="0.15">
      <c r="A698" t="s">
        <v>72</v>
      </c>
      <c r="B698" t="s">
        <v>13332</v>
      </c>
      <c r="C698" t="s">
        <v>74</v>
      </c>
      <c r="D698" t="s">
        <v>74</v>
      </c>
      <c r="E698" t="s">
        <v>74</v>
      </c>
      <c r="F698" t="s">
        <v>13333</v>
      </c>
      <c r="G698" t="s">
        <v>74</v>
      </c>
      <c r="H698" t="s">
        <v>74</v>
      </c>
      <c r="I698" t="s">
        <v>13334</v>
      </c>
      <c r="J698" t="s">
        <v>2163</v>
      </c>
      <c r="K698" t="s">
        <v>74</v>
      </c>
      <c r="L698" t="s">
        <v>74</v>
      </c>
      <c r="M698" t="s">
        <v>78</v>
      </c>
      <c r="N698" t="s">
        <v>79</v>
      </c>
      <c r="O698" t="s">
        <v>74</v>
      </c>
      <c r="P698" t="s">
        <v>74</v>
      </c>
      <c r="Q698" t="s">
        <v>74</v>
      </c>
      <c r="R698" t="s">
        <v>74</v>
      </c>
      <c r="S698" t="s">
        <v>74</v>
      </c>
      <c r="T698" t="s">
        <v>74</v>
      </c>
      <c r="U698" t="s">
        <v>13335</v>
      </c>
      <c r="V698" t="s">
        <v>13336</v>
      </c>
      <c r="W698" t="s">
        <v>13337</v>
      </c>
      <c r="X698" t="s">
        <v>13338</v>
      </c>
      <c r="Y698" t="s">
        <v>13339</v>
      </c>
      <c r="Z698" t="s">
        <v>13340</v>
      </c>
      <c r="AA698" t="s">
        <v>13341</v>
      </c>
      <c r="AB698" t="s">
        <v>13342</v>
      </c>
      <c r="AC698" t="s">
        <v>13343</v>
      </c>
      <c r="AD698" t="s">
        <v>13344</v>
      </c>
      <c r="AE698" t="s">
        <v>13345</v>
      </c>
      <c r="AF698" t="s">
        <v>74</v>
      </c>
      <c r="AG698">
        <v>40</v>
      </c>
      <c r="AH698">
        <v>35</v>
      </c>
      <c r="AI698">
        <v>37</v>
      </c>
      <c r="AJ698">
        <v>4</v>
      </c>
      <c r="AK698">
        <v>30</v>
      </c>
      <c r="AL698" t="s">
        <v>2175</v>
      </c>
      <c r="AM698" t="s">
        <v>123</v>
      </c>
      <c r="AN698" t="s">
        <v>2176</v>
      </c>
      <c r="AO698" t="s">
        <v>2177</v>
      </c>
      <c r="AP698" t="s">
        <v>2178</v>
      </c>
      <c r="AQ698" t="s">
        <v>74</v>
      </c>
      <c r="AR698" t="s">
        <v>2179</v>
      </c>
      <c r="AS698" t="s">
        <v>2180</v>
      </c>
      <c r="AT698" t="s">
        <v>13328</v>
      </c>
      <c r="AU698">
        <v>2016</v>
      </c>
      <c r="AV698">
        <v>50</v>
      </c>
      <c r="AW698">
        <v>13</v>
      </c>
      <c r="AX698" t="s">
        <v>74</v>
      </c>
      <c r="AY698" t="s">
        <v>74</v>
      </c>
      <c r="AZ698" t="s">
        <v>650</v>
      </c>
      <c r="BA698" t="s">
        <v>74</v>
      </c>
      <c r="BB698">
        <v>7066</v>
      </c>
      <c r="BC698">
        <v>7073</v>
      </c>
      <c r="BD698" t="s">
        <v>74</v>
      </c>
      <c r="BE698" t="s">
        <v>13346</v>
      </c>
      <c r="BF698" t="str">
        <f>HYPERLINK("http://dx.doi.org/10.1021/acs.est.6b01108","http://dx.doi.org/10.1021/acs.est.6b01108")</f>
        <v>http://dx.doi.org/10.1021/acs.est.6b01108</v>
      </c>
      <c r="BG698" t="s">
        <v>74</v>
      </c>
      <c r="BH698" t="s">
        <v>74</v>
      </c>
      <c r="BI698">
        <v>8</v>
      </c>
      <c r="BJ698" t="s">
        <v>2182</v>
      </c>
      <c r="BK698" t="s">
        <v>156</v>
      </c>
      <c r="BL698" t="s">
        <v>2183</v>
      </c>
      <c r="BM698" t="s">
        <v>13330</v>
      </c>
      <c r="BN698">
        <v>27244483</v>
      </c>
      <c r="BO698" t="s">
        <v>459</v>
      </c>
      <c r="BP698" t="s">
        <v>74</v>
      </c>
      <c r="BQ698" t="s">
        <v>74</v>
      </c>
      <c r="BR698" t="s">
        <v>105</v>
      </c>
      <c r="BS698" t="s">
        <v>13347</v>
      </c>
      <c r="BT698" t="str">
        <f>HYPERLINK("https%3A%2F%2Fwww.webofscience.com%2Fwos%2Fwoscc%2Ffull-record%2FWOS:000379366300056","View Full Record in Web of Science")</f>
        <v>View Full Record in Web of Science</v>
      </c>
    </row>
    <row r="699" spans="1:72" x14ac:dyDescent="0.15">
      <c r="A699" t="s">
        <v>72</v>
      </c>
      <c r="B699" t="s">
        <v>13348</v>
      </c>
      <c r="C699" t="s">
        <v>74</v>
      </c>
      <c r="D699" t="s">
        <v>74</v>
      </c>
      <c r="E699" t="s">
        <v>74</v>
      </c>
      <c r="F699" t="s">
        <v>13349</v>
      </c>
      <c r="G699" t="s">
        <v>74</v>
      </c>
      <c r="H699" t="s">
        <v>74</v>
      </c>
      <c r="I699" t="s">
        <v>13350</v>
      </c>
      <c r="J699" t="s">
        <v>2100</v>
      </c>
      <c r="K699" t="s">
        <v>74</v>
      </c>
      <c r="L699" t="s">
        <v>74</v>
      </c>
      <c r="M699" t="s">
        <v>78</v>
      </c>
      <c r="N699" t="s">
        <v>79</v>
      </c>
      <c r="O699" t="s">
        <v>74</v>
      </c>
      <c r="P699" t="s">
        <v>74</v>
      </c>
      <c r="Q699" t="s">
        <v>74</v>
      </c>
      <c r="R699" t="s">
        <v>74</v>
      </c>
      <c r="S699" t="s">
        <v>74</v>
      </c>
      <c r="T699" t="s">
        <v>13351</v>
      </c>
      <c r="U699" t="s">
        <v>13352</v>
      </c>
      <c r="V699" t="s">
        <v>13353</v>
      </c>
      <c r="W699" t="s">
        <v>13354</v>
      </c>
      <c r="X699" t="s">
        <v>2738</v>
      </c>
      <c r="Y699" t="s">
        <v>13355</v>
      </c>
      <c r="Z699" t="s">
        <v>13356</v>
      </c>
      <c r="AA699" t="s">
        <v>13357</v>
      </c>
      <c r="AB699" t="s">
        <v>13358</v>
      </c>
      <c r="AC699" t="s">
        <v>13359</v>
      </c>
      <c r="AD699" t="s">
        <v>13360</v>
      </c>
      <c r="AE699" t="s">
        <v>13361</v>
      </c>
      <c r="AF699" t="s">
        <v>74</v>
      </c>
      <c r="AG699">
        <v>39</v>
      </c>
      <c r="AH699">
        <v>24</v>
      </c>
      <c r="AI699">
        <v>25</v>
      </c>
      <c r="AJ699">
        <v>1</v>
      </c>
      <c r="AK699">
        <v>15</v>
      </c>
      <c r="AL699" t="s">
        <v>2112</v>
      </c>
      <c r="AM699" t="s">
        <v>250</v>
      </c>
      <c r="AN699" t="s">
        <v>2113</v>
      </c>
      <c r="AO699" t="s">
        <v>2114</v>
      </c>
      <c r="AP699" t="s">
        <v>2115</v>
      </c>
      <c r="AQ699" t="s">
        <v>74</v>
      </c>
      <c r="AR699" t="s">
        <v>2116</v>
      </c>
      <c r="AS699" t="s">
        <v>2117</v>
      </c>
      <c r="AT699" t="s">
        <v>13328</v>
      </c>
      <c r="AU699">
        <v>2016</v>
      </c>
      <c r="AV699">
        <v>176</v>
      </c>
      <c r="AW699" t="s">
        <v>74</v>
      </c>
      <c r="AX699" t="s">
        <v>74</v>
      </c>
      <c r="AY699" t="s">
        <v>74</v>
      </c>
      <c r="AZ699" t="s">
        <v>74</v>
      </c>
      <c r="BA699" t="s">
        <v>74</v>
      </c>
      <c r="BB699">
        <v>36</v>
      </c>
      <c r="BC699">
        <v>46</v>
      </c>
      <c r="BD699" t="s">
        <v>74</v>
      </c>
      <c r="BE699" t="s">
        <v>13362</v>
      </c>
      <c r="BF699" t="str">
        <f>HYPERLINK("http://dx.doi.org/10.1016/j.ecss.2016.04.005","http://dx.doi.org/10.1016/j.ecss.2016.04.005")</f>
        <v>http://dx.doi.org/10.1016/j.ecss.2016.04.005</v>
      </c>
      <c r="BG699" t="s">
        <v>74</v>
      </c>
      <c r="BH699" t="s">
        <v>74</v>
      </c>
      <c r="BI699">
        <v>11</v>
      </c>
      <c r="BJ699" t="s">
        <v>2120</v>
      </c>
      <c r="BK699" t="s">
        <v>156</v>
      </c>
      <c r="BL699" t="s">
        <v>2120</v>
      </c>
      <c r="BM699" t="s">
        <v>13363</v>
      </c>
      <c r="BN699" t="s">
        <v>74</v>
      </c>
      <c r="BO699" t="s">
        <v>74</v>
      </c>
      <c r="BP699" t="s">
        <v>74</v>
      </c>
      <c r="BQ699" t="s">
        <v>74</v>
      </c>
      <c r="BR699" t="s">
        <v>105</v>
      </c>
      <c r="BS699" t="s">
        <v>13364</v>
      </c>
      <c r="BT699" t="str">
        <f>HYPERLINK("https%3A%2F%2Fwww.webofscience.com%2Fwos%2Fwoscc%2Ffull-record%2FWOS:000378759000003","View Full Record in Web of Science")</f>
        <v>View Full Record in Web of Science</v>
      </c>
    </row>
    <row r="700" spans="1:72" x14ac:dyDescent="0.15">
      <c r="A700" t="s">
        <v>72</v>
      </c>
      <c r="B700" t="s">
        <v>13365</v>
      </c>
      <c r="C700" t="s">
        <v>74</v>
      </c>
      <c r="D700" t="s">
        <v>74</v>
      </c>
      <c r="E700" t="s">
        <v>74</v>
      </c>
      <c r="F700" t="s">
        <v>13366</v>
      </c>
      <c r="G700" t="s">
        <v>74</v>
      </c>
      <c r="H700" t="s">
        <v>74</v>
      </c>
      <c r="I700" t="s">
        <v>13367</v>
      </c>
      <c r="J700" t="s">
        <v>2078</v>
      </c>
      <c r="K700" t="s">
        <v>74</v>
      </c>
      <c r="L700" t="s">
        <v>74</v>
      </c>
      <c r="M700" t="s">
        <v>78</v>
      </c>
      <c r="N700" t="s">
        <v>79</v>
      </c>
      <c r="O700" t="s">
        <v>74</v>
      </c>
      <c r="P700" t="s">
        <v>74</v>
      </c>
      <c r="Q700" t="s">
        <v>74</v>
      </c>
      <c r="R700" t="s">
        <v>74</v>
      </c>
      <c r="S700" t="s">
        <v>74</v>
      </c>
      <c r="T700" t="s">
        <v>74</v>
      </c>
      <c r="U700" t="s">
        <v>13368</v>
      </c>
      <c r="V700" t="s">
        <v>13369</v>
      </c>
      <c r="W700" t="s">
        <v>13370</v>
      </c>
      <c r="X700" t="s">
        <v>13371</v>
      </c>
      <c r="Y700" t="s">
        <v>13372</v>
      </c>
      <c r="Z700" t="s">
        <v>13373</v>
      </c>
      <c r="AA700" t="s">
        <v>13374</v>
      </c>
      <c r="AB700" t="s">
        <v>13375</v>
      </c>
      <c r="AC700" t="s">
        <v>13376</v>
      </c>
      <c r="AD700" t="s">
        <v>13377</v>
      </c>
      <c r="AE700" t="s">
        <v>13378</v>
      </c>
      <c r="AF700" t="s">
        <v>74</v>
      </c>
      <c r="AG700">
        <v>60</v>
      </c>
      <c r="AH700">
        <v>27</v>
      </c>
      <c r="AI700">
        <v>30</v>
      </c>
      <c r="AJ700">
        <v>0</v>
      </c>
      <c r="AK700">
        <v>47</v>
      </c>
      <c r="AL700" t="s">
        <v>574</v>
      </c>
      <c r="AM700" t="s">
        <v>575</v>
      </c>
      <c r="AN700" t="s">
        <v>576</v>
      </c>
      <c r="AO700" t="s">
        <v>2090</v>
      </c>
      <c r="AP700" t="s">
        <v>74</v>
      </c>
      <c r="AQ700" t="s">
        <v>74</v>
      </c>
      <c r="AR700" t="s">
        <v>2091</v>
      </c>
      <c r="AS700" t="s">
        <v>2092</v>
      </c>
      <c r="AT700" t="s">
        <v>13379</v>
      </c>
      <c r="AU700">
        <v>2016</v>
      </c>
      <c r="AV700">
        <v>6</v>
      </c>
      <c r="AW700" t="s">
        <v>74</v>
      </c>
      <c r="AX700" t="s">
        <v>74</v>
      </c>
      <c r="AY700" t="s">
        <v>74</v>
      </c>
      <c r="AZ700" t="s">
        <v>74</v>
      </c>
      <c r="BA700" t="s">
        <v>74</v>
      </c>
      <c r="BB700" t="s">
        <v>74</v>
      </c>
      <c r="BC700" t="s">
        <v>74</v>
      </c>
      <c r="BD700">
        <v>28762</v>
      </c>
      <c r="BE700" t="s">
        <v>13380</v>
      </c>
      <c r="BF700" t="str">
        <f>HYPERLINK("http://dx.doi.org/10.1038/srep28762","http://dx.doi.org/10.1038/srep28762")</f>
        <v>http://dx.doi.org/10.1038/srep28762</v>
      </c>
      <c r="BG700" t="s">
        <v>74</v>
      </c>
      <c r="BH700" t="s">
        <v>74</v>
      </c>
      <c r="BI700">
        <v>9</v>
      </c>
      <c r="BJ700" t="s">
        <v>719</v>
      </c>
      <c r="BK700" t="s">
        <v>156</v>
      </c>
      <c r="BL700" t="s">
        <v>720</v>
      </c>
      <c r="BM700" t="s">
        <v>13381</v>
      </c>
      <c r="BN700">
        <v>27373803</v>
      </c>
      <c r="BO700" t="s">
        <v>1916</v>
      </c>
      <c r="BP700" t="s">
        <v>74</v>
      </c>
      <c r="BQ700" t="s">
        <v>74</v>
      </c>
      <c r="BR700" t="s">
        <v>105</v>
      </c>
      <c r="BS700" t="s">
        <v>13382</v>
      </c>
      <c r="BT700" t="str">
        <f>HYPERLINK("https%3A%2F%2Fwww.webofscience.com%2Fwos%2Fwoscc%2Ffull-record%2FWOS:000379004900001","View Full Record in Web of Science")</f>
        <v>View Full Record in Web of Science</v>
      </c>
    </row>
    <row r="701" spans="1:72" x14ac:dyDescent="0.15">
      <c r="A701" t="s">
        <v>72</v>
      </c>
      <c r="B701" t="s">
        <v>13383</v>
      </c>
      <c r="C701" t="s">
        <v>74</v>
      </c>
      <c r="D701" t="s">
        <v>74</v>
      </c>
      <c r="E701" t="s">
        <v>74</v>
      </c>
      <c r="F701" t="s">
        <v>13384</v>
      </c>
      <c r="G701" t="s">
        <v>74</v>
      </c>
      <c r="H701" t="s">
        <v>74</v>
      </c>
      <c r="I701" t="s">
        <v>13385</v>
      </c>
      <c r="J701" t="s">
        <v>13386</v>
      </c>
      <c r="K701" t="s">
        <v>74</v>
      </c>
      <c r="L701" t="s">
        <v>74</v>
      </c>
      <c r="M701" t="s">
        <v>78</v>
      </c>
      <c r="N701" t="s">
        <v>79</v>
      </c>
      <c r="O701" t="s">
        <v>74</v>
      </c>
      <c r="P701" t="s">
        <v>74</v>
      </c>
      <c r="Q701" t="s">
        <v>74</v>
      </c>
      <c r="R701" t="s">
        <v>74</v>
      </c>
      <c r="S701" t="s">
        <v>74</v>
      </c>
      <c r="T701" t="s">
        <v>13387</v>
      </c>
      <c r="U701" t="s">
        <v>13388</v>
      </c>
      <c r="V701" t="s">
        <v>13389</v>
      </c>
      <c r="W701" t="s">
        <v>13390</v>
      </c>
      <c r="X701" t="s">
        <v>13391</v>
      </c>
      <c r="Y701" t="s">
        <v>13392</v>
      </c>
      <c r="Z701" t="s">
        <v>13393</v>
      </c>
      <c r="AA701" t="s">
        <v>13394</v>
      </c>
      <c r="AB701" t="s">
        <v>13395</v>
      </c>
      <c r="AC701" t="s">
        <v>74</v>
      </c>
      <c r="AD701" t="s">
        <v>74</v>
      </c>
      <c r="AE701" t="s">
        <v>74</v>
      </c>
      <c r="AF701" t="s">
        <v>74</v>
      </c>
      <c r="AG701">
        <v>41</v>
      </c>
      <c r="AH701">
        <v>8</v>
      </c>
      <c r="AI701">
        <v>9</v>
      </c>
      <c r="AJ701">
        <v>0</v>
      </c>
      <c r="AK701">
        <v>58</v>
      </c>
      <c r="AL701" t="s">
        <v>860</v>
      </c>
      <c r="AM701" t="s">
        <v>861</v>
      </c>
      <c r="AN701" t="s">
        <v>862</v>
      </c>
      <c r="AO701" t="s">
        <v>13396</v>
      </c>
      <c r="AP701" t="s">
        <v>13397</v>
      </c>
      <c r="AQ701" t="s">
        <v>74</v>
      </c>
      <c r="AR701" t="s">
        <v>13398</v>
      </c>
      <c r="AS701" t="s">
        <v>13399</v>
      </c>
      <c r="AT701" t="s">
        <v>13400</v>
      </c>
      <c r="AU701">
        <v>2016</v>
      </c>
      <c r="AV701">
        <v>31</v>
      </c>
      <c r="AW701">
        <v>6</v>
      </c>
      <c r="AX701" t="s">
        <v>74</v>
      </c>
      <c r="AY701" t="s">
        <v>74</v>
      </c>
      <c r="AZ701" t="s">
        <v>74</v>
      </c>
      <c r="BA701" t="s">
        <v>74</v>
      </c>
      <c r="BB701">
        <v>694</v>
      </c>
      <c r="BC701">
        <v>713</v>
      </c>
      <c r="BD701" t="s">
        <v>74</v>
      </c>
      <c r="BE701" t="s">
        <v>13401</v>
      </c>
      <c r="BF701" t="str">
        <f>HYPERLINK("http://dx.doi.org/10.1080/10106049.2015.1076060","http://dx.doi.org/10.1080/10106049.2015.1076060")</f>
        <v>http://dx.doi.org/10.1080/10106049.2015.1076060</v>
      </c>
      <c r="BG701" t="s">
        <v>74</v>
      </c>
      <c r="BH701" t="s">
        <v>74</v>
      </c>
      <c r="BI701">
        <v>20</v>
      </c>
      <c r="BJ701" t="s">
        <v>2573</v>
      </c>
      <c r="BK701" t="s">
        <v>156</v>
      </c>
      <c r="BL701" t="s">
        <v>2574</v>
      </c>
      <c r="BM701" t="s">
        <v>13402</v>
      </c>
      <c r="BN701" t="s">
        <v>74</v>
      </c>
      <c r="BO701" t="s">
        <v>74</v>
      </c>
      <c r="BP701" t="s">
        <v>74</v>
      </c>
      <c r="BQ701" t="s">
        <v>74</v>
      </c>
      <c r="BR701" t="s">
        <v>105</v>
      </c>
      <c r="BS701" t="s">
        <v>13403</v>
      </c>
      <c r="BT701" t="str">
        <f>HYPERLINK("https%3A%2F%2Fwww.webofscience.com%2Fwos%2Fwoscc%2Ffull-record%2FWOS:000371638000007","View Full Record in Web of Science")</f>
        <v>View Full Record in Web of Science</v>
      </c>
    </row>
    <row r="702" spans="1:72" x14ac:dyDescent="0.15">
      <c r="A702" t="s">
        <v>72</v>
      </c>
      <c r="B702" t="s">
        <v>13404</v>
      </c>
      <c r="C702" t="s">
        <v>74</v>
      </c>
      <c r="D702" t="s">
        <v>74</v>
      </c>
      <c r="E702" t="s">
        <v>74</v>
      </c>
      <c r="F702" t="s">
        <v>13405</v>
      </c>
      <c r="G702" t="s">
        <v>74</v>
      </c>
      <c r="H702" t="s">
        <v>74</v>
      </c>
      <c r="I702" t="s">
        <v>13406</v>
      </c>
      <c r="J702" t="s">
        <v>13407</v>
      </c>
      <c r="K702" t="s">
        <v>74</v>
      </c>
      <c r="L702" t="s">
        <v>74</v>
      </c>
      <c r="M702" t="s">
        <v>78</v>
      </c>
      <c r="N702" t="s">
        <v>2730</v>
      </c>
      <c r="O702" t="s">
        <v>13408</v>
      </c>
      <c r="P702" t="s">
        <v>13409</v>
      </c>
      <c r="Q702" t="s">
        <v>6784</v>
      </c>
      <c r="R702" t="s">
        <v>74</v>
      </c>
      <c r="S702" t="s">
        <v>74</v>
      </c>
      <c r="T702" t="s">
        <v>13410</v>
      </c>
      <c r="U702" t="s">
        <v>13411</v>
      </c>
      <c r="V702" t="s">
        <v>13412</v>
      </c>
      <c r="W702" t="s">
        <v>13413</v>
      </c>
      <c r="X702" t="s">
        <v>13414</v>
      </c>
      <c r="Y702" t="s">
        <v>13415</v>
      </c>
      <c r="Z702" t="s">
        <v>13416</v>
      </c>
      <c r="AA702" t="s">
        <v>13417</v>
      </c>
      <c r="AB702" t="s">
        <v>74</v>
      </c>
      <c r="AC702" t="s">
        <v>13418</v>
      </c>
      <c r="AD702" t="s">
        <v>1278</v>
      </c>
      <c r="AE702" t="s">
        <v>74</v>
      </c>
      <c r="AF702" t="s">
        <v>74</v>
      </c>
      <c r="AG702">
        <v>70</v>
      </c>
      <c r="AH702">
        <v>15</v>
      </c>
      <c r="AI702">
        <v>16</v>
      </c>
      <c r="AJ702">
        <v>0</v>
      </c>
      <c r="AK702">
        <v>3</v>
      </c>
      <c r="AL702" t="s">
        <v>2501</v>
      </c>
      <c r="AM702" t="s">
        <v>304</v>
      </c>
      <c r="AN702" t="s">
        <v>2502</v>
      </c>
      <c r="AO702" t="s">
        <v>13419</v>
      </c>
      <c r="AP702" t="s">
        <v>13420</v>
      </c>
      <c r="AQ702" t="s">
        <v>74</v>
      </c>
      <c r="AR702" t="s">
        <v>13421</v>
      </c>
      <c r="AS702" t="s">
        <v>13422</v>
      </c>
      <c r="AT702" t="s">
        <v>13423</v>
      </c>
      <c r="AU702">
        <v>2016</v>
      </c>
      <c r="AV702">
        <v>36</v>
      </c>
      <c r="AW702">
        <v>4</v>
      </c>
      <c r="AX702" t="s">
        <v>74</v>
      </c>
      <c r="AY702" t="s">
        <v>74</v>
      </c>
      <c r="AZ702" t="s">
        <v>74</v>
      </c>
      <c r="BA702" t="s">
        <v>74</v>
      </c>
      <c r="BB702">
        <v>495</v>
      </c>
      <c r="BC702">
        <v>506</v>
      </c>
      <c r="BD702" t="s">
        <v>74</v>
      </c>
      <c r="BE702" t="s">
        <v>13424</v>
      </c>
      <c r="BF702" t="str">
        <f>HYPERLINK("http://dx.doi.org/10.1163/1937240X-00002457","http://dx.doi.org/10.1163/1937240X-00002457")</f>
        <v>http://dx.doi.org/10.1163/1937240X-00002457</v>
      </c>
      <c r="BG702" t="s">
        <v>74</v>
      </c>
      <c r="BH702" t="s">
        <v>74</v>
      </c>
      <c r="BI702">
        <v>12</v>
      </c>
      <c r="BJ702" t="s">
        <v>4122</v>
      </c>
      <c r="BK702" t="s">
        <v>2548</v>
      </c>
      <c r="BL702" t="s">
        <v>4122</v>
      </c>
      <c r="BM702" t="s">
        <v>13425</v>
      </c>
      <c r="BN702" t="s">
        <v>74</v>
      </c>
      <c r="BO702" t="s">
        <v>258</v>
      </c>
      <c r="BP702" t="s">
        <v>74</v>
      </c>
      <c r="BQ702" t="s">
        <v>74</v>
      </c>
      <c r="BR702" t="s">
        <v>105</v>
      </c>
      <c r="BS702" t="s">
        <v>13426</v>
      </c>
      <c r="BT702" t="str">
        <f>HYPERLINK("https%3A%2F%2Fwww.webofscience.com%2Fwos%2Fwoscc%2Ffull-record%2FWOS:000387307300008","View Full Record in Web of Science")</f>
        <v>View Full Record in Web of Science</v>
      </c>
    </row>
    <row r="703" spans="1:72" x14ac:dyDescent="0.15">
      <c r="A703" t="s">
        <v>72</v>
      </c>
      <c r="B703" t="s">
        <v>13427</v>
      </c>
      <c r="C703" t="s">
        <v>74</v>
      </c>
      <c r="D703" t="s">
        <v>74</v>
      </c>
      <c r="E703" t="s">
        <v>74</v>
      </c>
      <c r="F703" t="s">
        <v>13428</v>
      </c>
      <c r="G703" t="s">
        <v>74</v>
      </c>
      <c r="H703" t="s">
        <v>74</v>
      </c>
      <c r="I703" t="s">
        <v>13429</v>
      </c>
      <c r="J703" t="s">
        <v>13430</v>
      </c>
      <c r="K703" t="s">
        <v>74</v>
      </c>
      <c r="L703" t="s">
        <v>74</v>
      </c>
      <c r="M703" t="s">
        <v>2227</v>
      </c>
      <c r="N703" t="s">
        <v>79</v>
      </c>
      <c r="O703" t="s">
        <v>74</v>
      </c>
      <c r="P703" t="s">
        <v>74</v>
      </c>
      <c r="Q703" t="s">
        <v>74</v>
      </c>
      <c r="R703" t="s">
        <v>74</v>
      </c>
      <c r="S703" t="s">
        <v>74</v>
      </c>
      <c r="T703" t="s">
        <v>13431</v>
      </c>
      <c r="U703" t="s">
        <v>74</v>
      </c>
      <c r="V703" t="s">
        <v>13432</v>
      </c>
      <c r="W703" t="s">
        <v>13433</v>
      </c>
      <c r="X703" t="s">
        <v>74</v>
      </c>
      <c r="Y703" t="s">
        <v>13434</v>
      </c>
      <c r="Z703" t="s">
        <v>13435</v>
      </c>
      <c r="AA703" t="s">
        <v>13436</v>
      </c>
      <c r="AB703" t="s">
        <v>13437</v>
      </c>
      <c r="AC703" t="s">
        <v>74</v>
      </c>
      <c r="AD703" t="s">
        <v>74</v>
      </c>
      <c r="AE703" t="s">
        <v>74</v>
      </c>
      <c r="AF703" t="s">
        <v>74</v>
      </c>
      <c r="AG703">
        <v>13</v>
      </c>
      <c r="AH703">
        <v>0</v>
      </c>
      <c r="AI703">
        <v>0</v>
      </c>
      <c r="AJ703">
        <v>0</v>
      </c>
      <c r="AK703">
        <v>5</v>
      </c>
      <c r="AL703" t="s">
        <v>13438</v>
      </c>
      <c r="AM703" t="s">
        <v>13439</v>
      </c>
      <c r="AN703" t="s">
        <v>13440</v>
      </c>
      <c r="AO703" t="s">
        <v>13441</v>
      </c>
      <c r="AP703" t="s">
        <v>74</v>
      </c>
      <c r="AQ703" t="s">
        <v>74</v>
      </c>
      <c r="AR703" t="s">
        <v>13442</v>
      </c>
      <c r="AS703" t="s">
        <v>13443</v>
      </c>
      <c r="AT703" t="s">
        <v>13423</v>
      </c>
      <c r="AU703">
        <v>2016</v>
      </c>
      <c r="AV703">
        <v>14</v>
      </c>
      <c r="AW703">
        <v>4</v>
      </c>
      <c r="AX703" t="s">
        <v>74</v>
      </c>
      <c r="AY703" t="s">
        <v>74</v>
      </c>
      <c r="AZ703" t="s">
        <v>74</v>
      </c>
      <c r="BA703" t="s">
        <v>74</v>
      </c>
      <c r="BB703">
        <v>797</v>
      </c>
      <c r="BC703">
        <v>810</v>
      </c>
      <c r="BD703" t="s">
        <v>74</v>
      </c>
      <c r="BE703" t="s">
        <v>74</v>
      </c>
      <c r="BF703" t="s">
        <v>74</v>
      </c>
      <c r="BG703" t="s">
        <v>74</v>
      </c>
      <c r="BH703" t="s">
        <v>74</v>
      </c>
      <c r="BI703">
        <v>14</v>
      </c>
      <c r="BJ703" t="s">
        <v>13444</v>
      </c>
      <c r="BK703" t="s">
        <v>131</v>
      </c>
      <c r="BL703" t="s">
        <v>13445</v>
      </c>
      <c r="BM703" t="s">
        <v>13446</v>
      </c>
      <c r="BN703" t="s">
        <v>74</v>
      </c>
      <c r="BO703" t="s">
        <v>74</v>
      </c>
      <c r="BP703" t="s">
        <v>74</v>
      </c>
      <c r="BQ703" t="s">
        <v>74</v>
      </c>
      <c r="BR703" t="s">
        <v>105</v>
      </c>
      <c r="BS703" t="s">
        <v>13447</v>
      </c>
      <c r="BT703" t="str">
        <f>HYPERLINK("https%3A%2F%2Fwww.webofscience.com%2Fwos%2Fwoscc%2Ffull-record%2FWOS:000388668000002","View Full Record in Web of Science")</f>
        <v>View Full Record in Web of Science</v>
      </c>
    </row>
    <row r="704" spans="1:72" x14ac:dyDescent="0.15">
      <c r="A704" t="s">
        <v>72</v>
      </c>
      <c r="B704" t="s">
        <v>13448</v>
      </c>
      <c r="C704" t="s">
        <v>74</v>
      </c>
      <c r="D704" t="s">
        <v>74</v>
      </c>
      <c r="E704" t="s">
        <v>74</v>
      </c>
      <c r="F704" t="s">
        <v>13449</v>
      </c>
      <c r="G704" t="s">
        <v>74</v>
      </c>
      <c r="H704" t="s">
        <v>74</v>
      </c>
      <c r="I704" t="s">
        <v>13450</v>
      </c>
      <c r="J704" t="s">
        <v>9955</v>
      </c>
      <c r="K704" t="s">
        <v>74</v>
      </c>
      <c r="L704" t="s">
        <v>74</v>
      </c>
      <c r="M704" t="s">
        <v>78</v>
      </c>
      <c r="N704" t="s">
        <v>79</v>
      </c>
      <c r="O704" t="s">
        <v>74</v>
      </c>
      <c r="P704" t="s">
        <v>74</v>
      </c>
      <c r="Q704" t="s">
        <v>74</v>
      </c>
      <c r="R704" t="s">
        <v>74</v>
      </c>
      <c r="S704" t="s">
        <v>74</v>
      </c>
      <c r="T704" t="s">
        <v>13451</v>
      </c>
      <c r="U704" t="s">
        <v>13452</v>
      </c>
      <c r="V704" t="s">
        <v>13453</v>
      </c>
      <c r="W704" t="s">
        <v>13454</v>
      </c>
      <c r="X704" t="s">
        <v>2471</v>
      </c>
      <c r="Y704" t="s">
        <v>13455</v>
      </c>
      <c r="Z704" t="s">
        <v>10291</v>
      </c>
      <c r="AA704" t="s">
        <v>13456</v>
      </c>
      <c r="AB704" t="s">
        <v>13457</v>
      </c>
      <c r="AC704" t="s">
        <v>13458</v>
      </c>
      <c r="AD704" t="s">
        <v>13459</v>
      </c>
      <c r="AE704" t="s">
        <v>13460</v>
      </c>
      <c r="AF704" t="s">
        <v>74</v>
      </c>
      <c r="AG704">
        <v>36</v>
      </c>
      <c r="AH704">
        <v>25</v>
      </c>
      <c r="AI704">
        <v>28</v>
      </c>
      <c r="AJ704">
        <v>2</v>
      </c>
      <c r="AK704">
        <v>32</v>
      </c>
      <c r="AL704" t="s">
        <v>501</v>
      </c>
      <c r="AM704" t="s">
        <v>502</v>
      </c>
      <c r="AN704" t="s">
        <v>503</v>
      </c>
      <c r="AO704" t="s">
        <v>9964</v>
      </c>
      <c r="AP704" t="s">
        <v>9965</v>
      </c>
      <c r="AQ704" t="s">
        <v>74</v>
      </c>
      <c r="AR704" t="s">
        <v>9966</v>
      </c>
      <c r="AS704" t="s">
        <v>9967</v>
      </c>
      <c r="AT704" t="s">
        <v>13423</v>
      </c>
      <c r="AU704">
        <v>2016</v>
      </c>
      <c r="AV704">
        <v>36</v>
      </c>
      <c r="AW704">
        <v>9</v>
      </c>
      <c r="AX704" t="s">
        <v>74</v>
      </c>
      <c r="AY704" t="s">
        <v>74</v>
      </c>
      <c r="AZ704" t="s">
        <v>74</v>
      </c>
      <c r="BA704" t="s">
        <v>74</v>
      </c>
      <c r="BB704">
        <v>3407</v>
      </c>
      <c r="BC704">
        <v>3412</v>
      </c>
      <c r="BD704" t="s">
        <v>74</v>
      </c>
      <c r="BE704" t="s">
        <v>13461</v>
      </c>
      <c r="BF704" t="str">
        <f>HYPERLINK("http://dx.doi.org/10.1002/joc.4550","http://dx.doi.org/10.1002/joc.4550")</f>
        <v>http://dx.doi.org/10.1002/joc.4550</v>
      </c>
      <c r="BG704" t="s">
        <v>74</v>
      </c>
      <c r="BH704" t="s">
        <v>74</v>
      </c>
      <c r="BI704">
        <v>6</v>
      </c>
      <c r="BJ704" t="s">
        <v>2482</v>
      </c>
      <c r="BK704" t="s">
        <v>156</v>
      </c>
      <c r="BL704" t="s">
        <v>2482</v>
      </c>
      <c r="BM704" t="s">
        <v>13462</v>
      </c>
      <c r="BN704" t="s">
        <v>74</v>
      </c>
      <c r="BO704" t="s">
        <v>74</v>
      </c>
      <c r="BP704" t="s">
        <v>74</v>
      </c>
      <c r="BQ704" t="s">
        <v>74</v>
      </c>
      <c r="BR704" t="s">
        <v>105</v>
      </c>
      <c r="BS704" t="s">
        <v>13463</v>
      </c>
      <c r="BT704" t="str">
        <f>HYPERLINK("https%3A%2F%2Fwww.webofscience.com%2Fwos%2Fwoscc%2Ffull-record%2FWOS:000383608000018","View Full Record in Web of Science")</f>
        <v>View Full Record in Web of Science</v>
      </c>
    </row>
    <row r="705" spans="1:72" x14ac:dyDescent="0.15">
      <c r="A705" t="s">
        <v>72</v>
      </c>
      <c r="B705" t="s">
        <v>13464</v>
      </c>
      <c r="C705" t="s">
        <v>74</v>
      </c>
      <c r="D705" t="s">
        <v>74</v>
      </c>
      <c r="E705" t="s">
        <v>74</v>
      </c>
      <c r="F705" t="s">
        <v>13465</v>
      </c>
      <c r="G705" t="s">
        <v>74</v>
      </c>
      <c r="H705" t="s">
        <v>74</v>
      </c>
      <c r="I705" t="s">
        <v>13466</v>
      </c>
      <c r="J705" t="s">
        <v>13467</v>
      </c>
      <c r="K705" t="s">
        <v>74</v>
      </c>
      <c r="L705" t="s">
        <v>74</v>
      </c>
      <c r="M705" t="s">
        <v>2227</v>
      </c>
      <c r="N705" t="s">
        <v>79</v>
      </c>
      <c r="O705" t="s">
        <v>74</v>
      </c>
      <c r="P705" t="s">
        <v>74</v>
      </c>
      <c r="Q705" t="s">
        <v>74</v>
      </c>
      <c r="R705" t="s">
        <v>74</v>
      </c>
      <c r="S705" t="s">
        <v>74</v>
      </c>
      <c r="T705" t="s">
        <v>13468</v>
      </c>
      <c r="U705" t="s">
        <v>74</v>
      </c>
      <c r="V705" t="s">
        <v>13469</v>
      </c>
      <c r="W705" t="s">
        <v>13470</v>
      </c>
      <c r="X705" t="s">
        <v>13471</v>
      </c>
      <c r="Y705" t="s">
        <v>13472</v>
      </c>
      <c r="Z705" t="s">
        <v>13473</v>
      </c>
      <c r="AA705" t="s">
        <v>74</v>
      </c>
      <c r="AB705" t="s">
        <v>13474</v>
      </c>
      <c r="AC705" t="s">
        <v>74</v>
      </c>
      <c r="AD705" t="s">
        <v>74</v>
      </c>
      <c r="AE705" t="s">
        <v>74</v>
      </c>
      <c r="AF705" t="s">
        <v>74</v>
      </c>
      <c r="AG705">
        <v>14</v>
      </c>
      <c r="AH705">
        <v>7</v>
      </c>
      <c r="AI705">
        <v>9</v>
      </c>
      <c r="AJ705">
        <v>0</v>
      </c>
      <c r="AK705">
        <v>2</v>
      </c>
      <c r="AL705" t="s">
        <v>13475</v>
      </c>
      <c r="AM705" t="s">
        <v>13476</v>
      </c>
      <c r="AN705" t="s">
        <v>13477</v>
      </c>
      <c r="AO705" t="s">
        <v>13478</v>
      </c>
      <c r="AP705" t="s">
        <v>74</v>
      </c>
      <c r="AQ705" t="s">
        <v>74</v>
      </c>
      <c r="AR705" t="s">
        <v>13479</v>
      </c>
      <c r="AS705" t="s">
        <v>13480</v>
      </c>
      <c r="AT705" t="s">
        <v>13481</v>
      </c>
      <c r="AU705">
        <v>2016</v>
      </c>
      <c r="AV705">
        <v>17</v>
      </c>
      <c r="AW705">
        <v>34</v>
      </c>
      <c r="AX705" t="s">
        <v>74</v>
      </c>
      <c r="AY705" t="s">
        <v>74</v>
      </c>
      <c r="AZ705" t="s">
        <v>74</v>
      </c>
      <c r="BA705" t="s">
        <v>74</v>
      </c>
      <c r="BB705">
        <v>85</v>
      </c>
      <c r="BC705">
        <v>99</v>
      </c>
      <c r="BD705" t="s">
        <v>74</v>
      </c>
      <c r="BE705" t="s">
        <v>13482</v>
      </c>
      <c r="BF705" t="str">
        <f>HYPERLINK("http://dx.doi.org/10.21670/ref.2016.34.a05","http://dx.doi.org/10.21670/ref.2016.34.a05")</f>
        <v>http://dx.doi.org/10.21670/ref.2016.34.a05</v>
      </c>
      <c r="BG705" t="s">
        <v>74</v>
      </c>
      <c r="BH705" t="s">
        <v>74</v>
      </c>
      <c r="BI705">
        <v>15</v>
      </c>
      <c r="BJ705" t="s">
        <v>13483</v>
      </c>
      <c r="BK705" t="s">
        <v>131</v>
      </c>
      <c r="BL705" t="s">
        <v>13483</v>
      </c>
      <c r="BM705" t="s">
        <v>13484</v>
      </c>
      <c r="BN705" t="s">
        <v>74</v>
      </c>
      <c r="BO705" t="s">
        <v>1975</v>
      </c>
      <c r="BP705" t="s">
        <v>74</v>
      </c>
      <c r="BQ705" t="s">
        <v>74</v>
      </c>
      <c r="BR705" t="s">
        <v>105</v>
      </c>
      <c r="BS705" t="s">
        <v>13485</v>
      </c>
      <c r="BT705" t="str">
        <f>HYPERLINK("https%3A%2F%2Fwww.webofscience.com%2Fwos%2Fwoscc%2Ffull-record%2FWOS:000386510400005","View Full Record in Web of Science")</f>
        <v>View Full Record in Web of Science</v>
      </c>
    </row>
    <row r="706" spans="1:72" x14ac:dyDescent="0.15">
      <c r="A706" t="s">
        <v>72</v>
      </c>
      <c r="B706" t="s">
        <v>13486</v>
      </c>
      <c r="C706" t="s">
        <v>74</v>
      </c>
      <c r="D706" t="s">
        <v>74</v>
      </c>
      <c r="E706" t="s">
        <v>74</v>
      </c>
      <c r="F706" t="s">
        <v>13487</v>
      </c>
      <c r="G706" t="s">
        <v>74</v>
      </c>
      <c r="H706" t="s">
        <v>74</v>
      </c>
      <c r="I706" t="s">
        <v>13488</v>
      </c>
      <c r="J706" t="s">
        <v>5745</v>
      </c>
      <c r="K706" t="s">
        <v>74</v>
      </c>
      <c r="L706" t="s">
        <v>74</v>
      </c>
      <c r="M706" t="s">
        <v>78</v>
      </c>
      <c r="N706" t="s">
        <v>2730</v>
      </c>
      <c r="O706" t="s">
        <v>13489</v>
      </c>
      <c r="P706" t="s">
        <v>13490</v>
      </c>
      <c r="Q706" t="s">
        <v>13491</v>
      </c>
      <c r="R706" t="s">
        <v>74</v>
      </c>
      <c r="S706" t="s">
        <v>74</v>
      </c>
      <c r="T706" t="s">
        <v>13492</v>
      </c>
      <c r="U706" t="s">
        <v>13493</v>
      </c>
      <c r="V706" t="s">
        <v>13494</v>
      </c>
      <c r="W706" t="s">
        <v>13495</v>
      </c>
      <c r="X706" t="s">
        <v>13496</v>
      </c>
      <c r="Y706" t="s">
        <v>13497</v>
      </c>
      <c r="Z706" t="s">
        <v>13498</v>
      </c>
      <c r="AA706" t="s">
        <v>13499</v>
      </c>
      <c r="AB706" t="s">
        <v>13500</v>
      </c>
      <c r="AC706" t="s">
        <v>74</v>
      </c>
      <c r="AD706" t="s">
        <v>74</v>
      </c>
      <c r="AE706" t="s">
        <v>74</v>
      </c>
      <c r="AF706" t="s">
        <v>74</v>
      </c>
      <c r="AG706">
        <v>14</v>
      </c>
      <c r="AH706">
        <v>5</v>
      </c>
      <c r="AI706">
        <v>5</v>
      </c>
      <c r="AJ706">
        <v>0</v>
      </c>
      <c r="AK706">
        <v>4</v>
      </c>
      <c r="AL706" t="s">
        <v>2670</v>
      </c>
      <c r="AM706" t="s">
        <v>2026</v>
      </c>
      <c r="AN706" t="s">
        <v>2671</v>
      </c>
      <c r="AO706" t="s">
        <v>5757</v>
      </c>
      <c r="AP706" t="s">
        <v>5758</v>
      </c>
      <c r="AQ706" t="s">
        <v>74</v>
      </c>
      <c r="AR706" t="s">
        <v>5759</v>
      </c>
      <c r="AS706" t="s">
        <v>5760</v>
      </c>
      <c r="AT706" t="s">
        <v>13423</v>
      </c>
      <c r="AU706">
        <v>2016</v>
      </c>
      <c r="AV706">
        <v>57</v>
      </c>
      <c r="AW706">
        <v>72</v>
      </c>
      <c r="AX706" t="s">
        <v>74</v>
      </c>
      <c r="AY706" t="s">
        <v>74</v>
      </c>
      <c r="AZ706" t="s">
        <v>74</v>
      </c>
      <c r="BA706" t="s">
        <v>74</v>
      </c>
      <c r="BB706">
        <v>39</v>
      </c>
      <c r="BC706">
        <v>46</v>
      </c>
      <c r="BD706" t="s">
        <v>74</v>
      </c>
      <c r="BE706" t="s">
        <v>13501</v>
      </c>
      <c r="BF706" t="str">
        <f>HYPERLINK("http://dx.doi.org/10.1017/aog.2016.12","http://dx.doi.org/10.1017/aog.2016.12")</f>
        <v>http://dx.doi.org/10.1017/aog.2016.12</v>
      </c>
      <c r="BG706" t="s">
        <v>74</v>
      </c>
      <c r="BH706" t="s">
        <v>74</v>
      </c>
      <c r="BI706">
        <v>8</v>
      </c>
      <c r="BJ706" t="s">
        <v>203</v>
      </c>
      <c r="BK706" t="s">
        <v>2548</v>
      </c>
      <c r="BL706" t="s">
        <v>204</v>
      </c>
      <c r="BM706" t="s">
        <v>13502</v>
      </c>
      <c r="BN706" t="s">
        <v>74</v>
      </c>
      <c r="BO706" t="s">
        <v>777</v>
      </c>
      <c r="BP706" t="s">
        <v>74</v>
      </c>
      <c r="BQ706" t="s">
        <v>74</v>
      </c>
      <c r="BR706" t="s">
        <v>105</v>
      </c>
      <c r="BS706" t="s">
        <v>13503</v>
      </c>
      <c r="BT706" t="str">
        <f>HYPERLINK("https%3A%2F%2Fwww.webofscience.com%2Fwos%2Fwoscc%2Ffull-record%2FWOS:000385592800006","View Full Record in Web of Science")</f>
        <v>View Full Record in Web of Science</v>
      </c>
    </row>
    <row r="707" spans="1:72" x14ac:dyDescent="0.15">
      <c r="A707" t="s">
        <v>72</v>
      </c>
      <c r="B707" t="s">
        <v>13504</v>
      </c>
      <c r="C707" t="s">
        <v>74</v>
      </c>
      <c r="D707" t="s">
        <v>74</v>
      </c>
      <c r="E707" t="s">
        <v>74</v>
      </c>
      <c r="F707" t="s">
        <v>13505</v>
      </c>
      <c r="G707" t="s">
        <v>74</v>
      </c>
      <c r="H707" t="s">
        <v>74</v>
      </c>
      <c r="I707" t="s">
        <v>13506</v>
      </c>
      <c r="J707" t="s">
        <v>5745</v>
      </c>
      <c r="K707" t="s">
        <v>74</v>
      </c>
      <c r="L707" t="s">
        <v>74</v>
      </c>
      <c r="M707" t="s">
        <v>78</v>
      </c>
      <c r="N707" t="s">
        <v>2730</v>
      </c>
      <c r="O707" t="s">
        <v>13489</v>
      </c>
      <c r="P707" t="s">
        <v>13490</v>
      </c>
      <c r="Q707" t="s">
        <v>13491</v>
      </c>
      <c r="R707" t="s">
        <v>74</v>
      </c>
      <c r="S707" t="s">
        <v>74</v>
      </c>
      <c r="T707" t="s">
        <v>13507</v>
      </c>
      <c r="U707" t="s">
        <v>13508</v>
      </c>
      <c r="V707" t="s">
        <v>13509</v>
      </c>
      <c r="W707" t="s">
        <v>13510</v>
      </c>
      <c r="X707" t="s">
        <v>3145</v>
      </c>
      <c r="Y707" t="s">
        <v>13511</v>
      </c>
      <c r="Z707" t="s">
        <v>13512</v>
      </c>
      <c r="AA707" t="s">
        <v>74</v>
      </c>
      <c r="AB707" t="s">
        <v>13513</v>
      </c>
      <c r="AC707" t="s">
        <v>74</v>
      </c>
      <c r="AD707" t="s">
        <v>74</v>
      </c>
      <c r="AE707" t="s">
        <v>74</v>
      </c>
      <c r="AF707" t="s">
        <v>74</v>
      </c>
      <c r="AG707">
        <v>58</v>
      </c>
      <c r="AH707">
        <v>13</v>
      </c>
      <c r="AI707">
        <v>16</v>
      </c>
      <c r="AJ707">
        <v>2</v>
      </c>
      <c r="AK707">
        <v>37</v>
      </c>
      <c r="AL707" t="s">
        <v>2670</v>
      </c>
      <c r="AM707" t="s">
        <v>2026</v>
      </c>
      <c r="AN707" t="s">
        <v>2671</v>
      </c>
      <c r="AO707" t="s">
        <v>5757</v>
      </c>
      <c r="AP707" t="s">
        <v>5758</v>
      </c>
      <c r="AQ707" t="s">
        <v>74</v>
      </c>
      <c r="AR707" t="s">
        <v>5759</v>
      </c>
      <c r="AS707" t="s">
        <v>5760</v>
      </c>
      <c r="AT707" t="s">
        <v>13423</v>
      </c>
      <c r="AU707">
        <v>2016</v>
      </c>
      <c r="AV707">
        <v>57</v>
      </c>
      <c r="AW707">
        <v>72</v>
      </c>
      <c r="AX707" t="s">
        <v>74</v>
      </c>
      <c r="AY707" t="s">
        <v>74</v>
      </c>
      <c r="AZ707" t="s">
        <v>74</v>
      </c>
      <c r="BA707" t="s">
        <v>74</v>
      </c>
      <c r="BB707">
        <v>109</v>
      </c>
      <c r="BC707">
        <v>117</v>
      </c>
      <c r="BD707" t="s">
        <v>74</v>
      </c>
      <c r="BE707" t="s">
        <v>13514</v>
      </c>
      <c r="BF707" t="str">
        <f>HYPERLINK("http://dx.doi.org/10.1017/aog.2016.23","http://dx.doi.org/10.1017/aog.2016.23")</f>
        <v>http://dx.doi.org/10.1017/aog.2016.23</v>
      </c>
      <c r="BG707" t="s">
        <v>74</v>
      </c>
      <c r="BH707" t="s">
        <v>74</v>
      </c>
      <c r="BI707">
        <v>9</v>
      </c>
      <c r="BJ707" t="s">
        <v>203</v>
      </c>
      <c r="BK707" t="s">
        <v>2548</v>
      </c>
      <c r="BL707" t="s">
        <v>204</v>
      </c>
      <c r="BM707" t="s">
        <v>13502</v>
      </c>
      <c r="BN707" t="s">
        <v>74</v>
      </c>
      <c r="BO707" t="s">
        <v>1975</v>
      </c>
      <c r="BP707" t="s">
        <v>74</v>
      </c>
      <c r="BQ707" t="s">
        <v>74</v>
      </c>
      <c r="BR707" t="s">
        <v>105</v>
      </c>
      <c r="BS707" t="s">
        <v>13515</v>
      </c>
      <c r="BT707" t="str">
        <f>HYPERLINK("https%3A%2F%2Fwww.webofscience.com%2Fwos%2Fwoscc%2Ffull-record%2FWOS:000385592800012","View Full Record in Web of Science")</f>
        <v>View Full Record in Web of Science</v>
      </c>
    </row>
    <row r="708" spans="1:72" x14ac:dyDescent="0.15">
      <c r="A708" t="s">
        <v>72</v>
      </c>
      <c r="B708" t="s">
        <v>13516</v>
      </c>
      <c r="C708" t="s">
        <v>74</v>
      </c>
      <c r="D708" t="s">
        <v>74</v>
      </c>
      <c r="E708" t="s">
        <v>74</v>
      </c>
      <c r="F708" t="s">
        <v>13517</v>
      </c>
      <c r="G708" t="s">
        <v>74</v>
      </c>
      <c r="H708" t="s">
        <v>74</v>
      </c>
      <c r="I708" t="s">
        <v>13518</v>
      </c>
      <c r="J708" t="s">
        <v>4268</v>
      </c>
      <c r="K708" t="s">
        <v>74</v>
      </c>
      <c r="L708" t="s">
        <v>74</v>
      </c>
      <c r="M708" t="s">
        <v>78</v>
      </c>
      <c r="N708" t="s">
        <v>79</v>
      </c>
      <c r="O708" t="s">
        <v>74</v>
      </c>
      <c r="P708" t="s">
        <v>74</v>
      </c>
      <c r="Q708" t="s">
        <v>74</v>
      </c>
      <c r="R708" t="s">
        <v>74</v>
      </c>
      <c r="S708" t="s">
        <v>74</v>
      </c>
      <c r="T708" t="s">
        <v>13519</v>
      </c>
      <c r="U708" t="s">
        <v>13520</v>
      </c>
      <c r="V708" t="s">
        <v>13521</v>
      </c>
      <c r="W708" t="s">
        <v>13522</v>
      </c>
      <c r="X708" t="s">
        <v>13523</v>
      </c>
      <c r="Y708" t="s">
        <v>13524</v>
      </c>
      <c r="Z708" t="s">
        <v>13525</v>
      </c>
      <c r="AA708" t="s">
        <v>74</v>
      </c>
      <c r="AB708" t="s">
        <v>74</v>
      </c>
      <c r="AC708" t="s">
        <v>13523</v>
      </c>
      <c r="AD708" t="s">
        <v>13523</v>
      </c>
      <c r="AE708" t="s">
        <v>13526</v>
      </c>
      <c r="AF708" t="s">
        <v>74</v>
      </c>
      <c r="AG708">
        <v>53</v>
      </c>
      <c r="AH708">
        <v>1</v>
      </c>
      <c r="AI708">
        <v>1</v>
      </c>
      <c r="AJ708">
        <v>2</v>
      </c>
      <c r="AK708">
        <v>7</v>
      </c>
      <c r="AL708" t="s">
        <v>501</v>
      </c>
      <c r="AM708" t="s">
        <v>502</v>
      </c>
      <c r="AN708" t="s">
        <v>503</v>
      </c>
      <c r="AO708" t="s">
        <v>4281</v>
      </c>
      <c r="AP708" t="s">
        <v>4282</v>
      </c>
      <c r="AQ708" t="s">
        <v>74</v>
      </c>
      <c r="AR708" t="s">
        <v>4283</v>
      </c>
      <c r="AS708" t="s">
        <v>4284</v>
      </c>
      <c r="AT708" t="s">
        <v>13423</v>
      </c>
      <c r="AU708">
        <v>2016</v>
      </c>
      <c r="AV708">
        <v>142</v>
      </c>
      <c r="AW708">
        <v>699</v>
      </c>
      <c r="AX708" t="s">
        <v>13527</v>
      </c>
      <c r="AY708" t="s">
        <v>74</v>
      </c>
      <c r="AZ708" t="s">
        <v>74</v>
      </c>
      <c r="BA708" t="s">
        <v>74</v>
      </c>
      <c r="BB708">
        <v>2373</v>
      </c>
      <c r="BC708">
        <v>2385</v>
      </c>
      <c r="BD708" t="s">
        <v>74</v>
      </c>
      <c r="BE708" t="s">
        <v>13528</v>
      </c>
      <c r="BF708" t="str">
        <f>HYPERLINK("http://dx.doi.org/10.1002/qj.2830","http://dx.doi.org/10.1002/qj.2830")</f>
        <v>http://dx.doi.org/10.1002/qj.2830</v>
      </c>
      <c r="BG708" t="s">
        <v>74</v>
      </c>
      <c r="BH708" t="s">
        <v>74</v>
      </c>
      <c r="BI708">
        <v>13</v>
      </c>
      <c r="BJ708" t="s">
        <v>2482</v>
      </c>
      <c r="BK708" t="s">
        <v>156</v>
      </c>
      <c r="BL708" t="s">
        <v>2482</v>
      </c>
      <c r="BM708" t="s">
        <v>13529</v>
      </c>
      <c r="BN708" t="s">
        <v>74</v>
      </c>
      <c r="BO708" t="s">
        <v>459</v>
      </c>
      <c r="BP708" t="s">
        <v>74</v>
      </c>
      <c r="BQ708" t="s">
        <v>74</v>
      </c>
      <c r="BR708" t="s">
        <v>105</v>
      </c>
      <c r="BS708" t="s">
        <v>13530</v>
      </c>
      <c r="BT708" t="str">
        <f>HYPERLINK("https%3A%2F%2Fwww.webofscience.com%2Fwos%2Fwoscc%2Ffull-record%2FWOS:000385367000013","View Full Record in Web of Science")</f>
        <v>View Full Record in Web of Science</v>
      </c>
    </row>
    <row r="709" spans="1:72" x14ac:dyDescent="0.15">
      <c r="A709" t="s">
        <v>72</v>
      </c>
      <c r="B709" t="s">
        <v>13531</v>
      </c>
      <c r="C709" t="s">
        <v>74</v>
      </c>
      <c r="D709" t="s">
        <v>74</v>
      </c>
      <c r="E709" t="s">
        <v>74</v>
      </c>
      <c r="F709" t="s">
        <v>13532</v>
      </c>
      <c r="G709" t="s">
        <v>74</v>
      </c>
      <c r="H709" t="s">
        <v>74</v>
      </c>
      <c r="I709" t="s">
        <v>13533</v>
      </c>
      <c r="J709" t="s">
        <v>13534</v>
      </c>
      <c r="K709" t="s">
        <v>74</v>
      </c>
      <c r="L709" t="s">
        <v>74</v>
      </c>
      <c r="M709" t="s">
        <v>78</v>
      </c>
      <c r="N709" t="s">
        <v>79</v>
      </c>
      <c r="O709" t="s">
        <v>74</v>
      </c>
      <c r="P709" t="s">
        <v>74</v>
      </c>
      <c r="Q709" t="s">
        <v>74</v>
      </c>
      <c r="R709" t="s">
        <v>74</v>
      </c>
      <c r="S709" t="s">
        <v>74</v>
      </c>
      <c r="T709" t="s">
        <v>74</v>
      </c>
      <c r="U709" t="s">
        <v>13535</v>
      </c>
      <c r="V709" t="s">
        <v>13536</v>
      </c>
      <c r="W709" t="s">
        <v>13537</v>
      </c>
      <c r="X709" t="s">
        <v>13538</v>
      </c>
      <c r="Y709" t="s">
        <v>13539</v>
      </c>
      <c r="Z709" t="s">
        <v>13540</v>
      </c>
      <c r="AA709" t="s">
        <v>74</v>
      </c>
      <c r="AB709" t="s">
        <v>13541</v>
      </c>
      <c r="AC709" t="s">
        <v>74</v>
      </c>
      <c r="AD709" t="s">
        <v>74</v>
      </c>
      <c r="AE709" t="s">
        <v>74</v>
      </c>
      <c r="AF709" t="s">
        <v>74</v>
      </c>
      <c r="AG709">
        <v>36</v>
      </c>
      <c r="AH709">
        <v>6</v>
      </c>
      <c r="AI709">
        <v>6</v>
      </c>
      <c r="AJ709">
        <v>0</v>
      </c>
      <c r="AK709">
        <v>6</v>
      </c>
      <c r="AL709" t="s">
        <v>13542</v>
      </c>
      <c r="AM709" t="s">
        <v>1060</v>
      </c>
      <c r="AN709" t="s">
        <v>13543</v>
      </c>
      <c r="AO709" t="s">
        <v>13544</v>
      </c>
      <c r="AP709" t="s">
        <v>13545</v>
      </c>
      <c r="AQ709" t="s">
        <v>74</v>
      </c>
      <c r="AR709" t="s">
        <v>13534</v>
      </c>
      <c r="AS709" t="s">
        <v>13546</v>
      </c>
      <c r="AT709" t="s">
        <v>13423</v>
      </c>
      <c r="AU709">
        <v>2016</v>
      </c>
      <c r="AV709">
        <v>125</v>
      </c>
      <c r="AW709">
        <v>1</v>
      </c>
      <c r="AX709" t="s">
        <v>74</v>
      </c>
      <c r="AY709" t="s">
        <v>74</v>
      </c>
      <c r="AZ709" t="s">
        <v>74</v>
      </c>
      <c r="BA709" t="s">
        <v>74</v>
      </c>
      <c r="BB709">
        <v>25</v>
      </c>
      <c r="BC709">
        <v>33</v>
      </c>
      <c r="BD709" t="s">
        <v>74</v>
      </c>
      <c r="BE709" t="s">
        <v>13547</v>
      </c>
      <c r="BF709" t="str">
        <f>HYPERLINK("http://dx.doi.org/10.1097/ALN.0000000000001151","http://dx.doi.org/10.1097/ALN.0000000000001151")</f>
        <v>http://dx.doi.org/10.1097/ALN.0000000000001151</v>
      </c>
      <c r="BG709" t="s">
        <v>74</v>
      </c>
      <c r="BH709" t="s">
        <v>74</v>
      </c>
      <c r="BI709">
        <v>9</v>
      </c>
      <c r="BJ709" t="s">
        <v>13546</v>
      </c>
      <c r="BK709" t="s">
        <v>156</v>
      </c>
      <c r="BL709" t="s">
        <v>13546</v>
      </c>
      <c r="BM709" t="s">
        <v>13548</v>
      </c>
      <c r="BN709">
        <v>27148920</v>
      </c>
      <c r="BO709" t="s">
        <v>74</v>
      </c>
      <c r="BP709" t="s">
        <v>74</v>
      </c>
      <c r="BQ709" t="s">
        <v>74</v>
      </c>
      <c r="BR709" t="s">
        <v>105</v>
      </c>
      <c r="BS709" t="s">
        <v>13549</v>
      </c>
      <c r="BT709" t="str">
        <f>HYPERLINK("https%3A%2F%2Fwww.webofscience.com%2Fwos%2Fwoscc%2Ffull-record%2FWOS:000384919100014","View Full Record in Web of Science")</f>
        <v>View Full Record in Web of Science</v>
      </c>
    </row>
    <row r="710" spans="1:72" x14ac:dyDescent="0.15">
      <c r="A710" t="s">
        <v>72</v>
      </c>
      <c r="B710" t="s">
        <v>13550</v>
      </c>
      <c r="C710" t="s">
        <v>74</v>
      </c>
      <c r="D710" t="s">
        <v>74</v>
      </c>
      <c r="E710" t="s">
        <v>74</v>
      </c>
      <c r="F710" t="s">
        <v>13551</v>
      </c>
      <c r="G710" t="s">
        <v>74</v>
      </c>
      <c r="H710" t="s">
        <v>74</v>
      </c>
      <c r="I710" t="s">
        <v>13552</v>
      </c>
      <c r="J710" t="s">
        <v>4106</v>
      </c>
      <c r="K710" t="s">
        <v>74</v>
      </c>
      <c r="L710" t="s">
        <v>74</v>
      </c>
      <c r="M710" t="s">
        <v>78</v>
      </c>
      <c r="N710" t="s">
        <v>79</v>
      </c>
      <c r="O710" t="s">
        <v>74</v>
      </c>
      <c r="P710" t="s">
        <v>74</v>
      </c>
      <c r="Q710" t="s">
        <v>74</v>
      </c>
      <c r="R710" t="s">
        <v>74</v>
      </c>
      <c r="S710" t="s">
        <v>74</v>
      </c>
      <c r="T710" t="s">
        <v>13553</v>
      </c>
      <c r="U710" t="s">
        <v>13554</v>
      </c>
      <c r="V710" t="s">
        <v>13555</v>
      </c>
      <c r="W710" t="s">
        <v>13556</v>
      </c>
      <c r="X710" t="s">
        <v>5006</v>
      </c>
      <c r="Y710" t="s">
        <v>13557</v>
      </c>
      <c r="Z710" t="s">
        <v>13558</v>
      </c>
      <c r="AA710" t="s">
        <v>74</v>
      </c>
      <c r="AB710" t="s">
        <v>13559</v>
      </c>
      <c r="AC710" t="s">
        <v>13560</v>
      </c>
      <c r="AD710" t="s">
        <v>13561</v>
      </c>
      <c r="AE710" t="s">
        <v>13562</v>
      </c>
      <c r="AF710" t="s">
        <v>74</v>
      </c>
      <c r="AG710">
        <v>49</v>
      </c>
      <c r="AH710">
        <v>28</v>
      </c>
      <c r="AI710">
        <v>31</v>
      </c>
      <c r="AJ710">
        <v>0</v>
      </c>
      <c r="AK710">
        <v>16</v>
      </c>
      <c r="AL710" t="s">
        <v>501</v>
      </c>
      <c r="AM710" t="s">
        <v>502</v>
      </c>
      <c r="AN710" t="s">
        <v>503</v>
      </c>
      <c r="AO710" t="s">
        <v>4117</v>
      </c>
      <c r="AP710" t="s">
        <v>4118</v>
      </c>
      <c r="AQ710" t="s">
        <v>74</v>
      </c>
      <c r="AR710" t="s">
        <v>4119</v>
      </c>
      <c r="AS710" t="s">
        <v>4120</v>
      </c>
      <c r="AT710" t="s">
        <v>13423</v>
      </c>
      <c r="AU710">
        <v>2016</v>
      </c>
      <c r="AV710">
        <v>32</v>
      </c>
      <c r="AW710">
        <v>3</v>
      </c>
      <c r="AX710" t="s">
        <v>74</v>
      </c>
      <c r="AY710" t="s">
        <v>74</v>
      </c>
      <c r="AZ710" t="s">
        <v>74</v>
      </c>
      <c r="BA710" t="s">
        <v>74</v>
      </c>
      <c r="BB710">
        <v>826</v>
      </c>
      <c r="BC710">
        <v>838</v>
      </c>
      <c r="BD710" t="s">
        <v>74</v>
      </c>
      <c r="BE710" t="s">
        <v>13563</v>
      </c>
      <c r="BF710" t="str">
        <f>HYPERLINK("http://dx.doi.org/10.1111/mms.12302","http://dx.doi.org/10.1111/mms.12302")</f>
        <v>http://dx.doi.org/10.1111/mms.12302</v>
      </c>
      <c r="BG710" t="s">
        <v>74</v>
      </c>
      <c r="BH710" t="s">
        <v>74</v>
      </c>
      <c r="BI710">
        <v>13</v>
      </c>
      <c r="BJ710" t="s">
        <v>4122</v>
      </c>
      <c r="BK710" t="s">
        <v>156</v>
      </c>
      <c r="BL710" t="s">
        <v>4122</v>
      </c>
      <c r="BM710" t="s">
        <v>13564</v>
      </c>
      <c r="BN710" t="s">
        <v>74</v>
      </c>
      <c r="BO710" t="s">
        <v>74</v>
      </c>
      <c r="BP710" t="s">
        <v>74</v>
      </c>
      <c r="BQ710" t="s">
        <v>74</v>
      </c>
      <c r="BR710" t="s">
        <v>105</v>
      </c>
      <c r="BS710" t="s">
        <v>13565</v>
      </c>
      <c r="BT710" t="str">
        <f>HYPERLINK("https%3A%2F%2Fwww.webofscience.com%2Fwos%2Fwoscc%2Ffull-record%2FWOS:000385006800002","View Full Record in Web of Science")</f>
        <v>View Full Record in Web of Science</v>
      </c>
    </row>
    <row r="711" spans="1:72" x14ac:dyDescent="0.15">
      <c r="A711" t="s">
        <v>72</v>
      </c>
      <c r="B711" t="s">
        <v>13566</v>
      </c>
      <c r="C711" t="s">
        <v>74</v>
      </c>
      <c r="D711" t="s">
        <v>74</v>
      </c>
      <c r="E711" t="s">
        <v>74</v>
      </c>
      <c r="F711" t="s">
        <v>13567</v>
      </c>
      <c r="G711" t="s">
        <v>74</v>
      </c>
      <c r="H711" t="s">
        <v>74</v>
      </c>
      <c r="I711" t="s">
        <v>13568</v>
      </c>
      <c r="J711" t="s">
        <v>2397</v>
      </c>
      <c r="K711" t="s">
        <v>74</v>
      </c>
      <c r="L711" t="s">
        <v>74</v>
      </c>
      <c r="M711" t="s">
        <v>78</v>
      </c>
      <c r="N711" t="s">
        <v>79</v>
      </c>
      <c r="O711" t="s">
        <v>74</v>
      </c>
      <c r="P711" t="s">
        <v>74</v>
      </c>
      <c r="Q711" t="s">
        <v>74</v>
      </c>
      <c r="R711" t="s">
        <v>74</v>
      </c>
      <c r="S711" t="s">
        <v>74</v>
      </c>
      <c r="T711" t="s">
        <v>13569</v>
      </c>
      <c r="U711" t="s">
        <v>13570</v>
      </c>
      <c r="V711" t="s">
        <v>13571</v>
      </c>
      <c r="W711" t="s">
        <v>13572</v>
      </c>
      <c r="X711" t="s">
        <v>13573</v>
      </c>
      <c r="Y711" t="s">
        <v>13574</v>
      </c>
      <c r="Z711" t="s">
        <v>13575</v>
      </c>
      <c r="AA711" t="s">
        <v>13576</v>
      </c>
      <c r="AB711" t="s">
        <v>13577</v>
      </c>
      <c r="AC711" t="s">
        <v>13578</v>
      </c>
      <c r="AD711" t="s">
        <v>13579</v>
      </c>
      <c r="AE711" t="s">
        <v>13580</v>
      </c>
      <c r="AF711" t="s">
        <v>74</v>
      </c>
      <c r="AG711">
        <v>64</v>
      </c>
      <c r="AH711">
        <v>10</v>
      </c>
      <c r="AI711">
        <v>10</v>
      </c>
      <c r="AJ711">
        <v>0</v>
      </c>
      <c r="AK711">
        <v>10</v>
      </c>
      <c r="AL711" t="s">
        <v>2408</v>
      </c>
      <c r="AM711" t="s">
        <v>2409</v>
      </c>
      <c r="AN711" t="s">
        <v>2410</v>
      </c>
      <c r="AO711" t="s">
        <v>2411</v>
      </c>
      <c r="AP711" t="s">
        <v>2412</v>
      </c>
      <c r="AQ711" t="s">
        <v>74</v>
      </c>
      <c r="AR711" t="s">
        <v>2413</v>
      </c>
      <c r="AS711" t="s">
        <v>2414</v>
      </c>
      <c r="AT711" t="s">
        <v>13581</v>
      </c>
      <c r="AU711">
        <v>2016</v>
      </c>
      <c r="AV711">
        <v>311</v>
      </c>
      <c r="AW711">
        <v>1</v>
      </c>
      <c r="AX711" t="s">
        <v>74</v>
      </c>
      <c r="AY711" t="s">
        <v>74</v>
      </c>
      <c r="AZ711" t="s">
        <v>74</v>
      </c>
      <c r="BA711" t="s">
        <v>74</v>
      </c>
      <c r="BB711" t="s">
        <v>13582</v>
      </c>
      <c r="BC711" t="s">
        <v>13583</v>
      </c>
      <c r="BD711" t="s">
        <v>74</v>
      </c>
      <c r="BE711" t="s">
        <v>13584</v>
      </c>
      <c r="BF711" t="str">
        <f>HYPERLINK("http://dx.doi.org/10.1152/ajpregu.00477.2015","http://dx.doi.org/10.1152/ajpregu.00477.2015")</f>
        <v>http://dx.doi.org/10.1152/ajpregu.00477.2015</v>
      </c>
      <c r="BG711" t="s">
        <v>74</v>
      </c>
      <c r="BH711" t="s">
        <v>74</v>
      </c>
      <c r="BI711">
        <v>13</v>
      </c>
      <c r="BJ711" t="s">
        <v>2419</v>
      </c>
      <c r="BK711" t="s">
        <v>156</v>
      </c>
      <c r="BL711" t="s">
        <v>2419</v>
      </c>
      <c r="BM711" t="s">
        <v>13585</v>
      </c>
      <c r="BN711">
        <v>27122370</v>
      </c>
      <c r="BO711" t="s">
        <v>2462</v>
      </c>
      <c r="BP711" t="s">
        <v>74</v>
      </c>
      <c r="BQ711" t="s">
        <v>74</v>
      </c>
      <c r="BR711" t="s">
        <v>105</v>
      </c>
      <c r="BS711" t="s">
        <v>13586</v>
      </c>
      <c r="BT711" t="str">
        <f>HYPERLINK("https%3A%2F%2Fwww.webofscience.com%2Fwos%2Fwoscc%2Ffull-record%2FWOS:000384767900010","View Full Record in Web of Science")</f>
        <v>View Full Record in Web of Science</v>
      </c>
    </row>
    <row r="712" spans="1:72" x14ac:dyDescent="0.15">
      <c r="A712" t="s">
        <v>72</v>
      </c>
      <c r="B712" t="s">
        <v>13587</v>
      </c>
      <c r="C712" t="s">
        <v>74</v>
      </c>
      <c r="D712" t="s">
        <v>74</v>
      </c>
      <c r="E712" t="s">
        <v>74</v>
      </c>
      <c r="F712" t="s">
        <v>13588</v>
      </c>
      <c r="G712" t="s">
        <v>74</v>
      </c>
      <c r="H712" t="s">
        <v>74</v>
      </c>
      <c r="I712" t="s">
        <v>13589</v>
      </c>
      <c r="J712" t="s">
        <v>3700</v>
      </c>
      <c r="K712" t="s">
        <v>74</v>
      </c>
      <c r="L712" t="s">
        <v>74</v>
      </c>
      <c r="M712" t="s">
        <v>78</v>
      </c>
      <c r="N712" t="s">
        <v>79</v>
      </c>
      <c r="O712" t="s">
        <v>74</v>
      </c>
      <c r="P712" t="s">
        <v>74</v>
      </c>
      <c r="Q712" t="s">
        <v>74</v>
      </c>
      <c r="R712" t="s">
        <v>74</v>
      </c>
      <c r="S712" t="s">
        <v>74</v>
      </c>
      <c r="T712" t="s">
        <v>13590</v>
      </c>
      <c r="U712" t="s">
        <v>13591</v>
      </c>
      <c r="V712" t="s">
        <v>13592</v>
      </c>
      <c r="W712" t="s">
        <v>13593</v>
      </c>
      <c r="X712" t="s">
        <v>13594</v>
      </c>
      <c r="Y712" t="s">
        <v>13595</v>
      </c>
      <c r="Z712" t="s">
        <v>13596</v>
      </c>
      <c r="AA712" t="s">
        <v>13597</v>
      </c>
      <c r="AB712" t="s">
        <v>13598</v>
      </c>
      <c r="AC712" t="s">
        <v>13599</v>
      </c>
      <c r="AD712" t="s">
        <v>13600</v>
      </c>
      <c r="AE712" t="s">
        <v>13601</v>
      </c>
      <c r="AF712" t="s">
        <v>74</v>
      </c>
      <c r="AG712">
        <v>170</v>
      </c>
      <c r="AH712">
        <v>30</v>
      </c>
      <c r="AI712">
        <v>32</v>
      </c>
      <c r="AJ712">
        <v>0</v>
      </c>
      <c r="AK712">
        <v>13</v>
      </c>
      <c r="AL712" t="s">
        <v>196</v>
      </c>
      <c r="AM712" t="s">
        <v>93</v>
      </c>
      <c r="AN712" t="s">
        <v>197</v>
      </c>
      <c r="AO712" t="s">
        <v>3713</v>
      </c>
      <c r="AP712" t="s">
        <v>3714</v>
      </c>
      <c r="AQ712" t="s">
        <v>74</v>
      </c>
      <c r="AR712" t="s">
        <v>3715</v>
      </c>
      <c r="AS712" t="s">
        <v>3716</v>
      </c>
      <c r="AT712" t="s">
        <v>13423</v>
      </c>
      <c r="AU712">
        <v>2016</v>
      </c>
      <c r="AV712">
        <v>35</v>
      </c>
      <c r="AW712" t="s">
        <v>74</v>
      </c>
      <c r="AX712" t="s">
        <v>74</v>
      </c>
      <c r="AY712" t="s">
        <v>74</v>
      </c>
      <c r="AZ712" t="s">
        <v>74</v>
      </c>
      <c r="BA712" t="s">
        <v>74</v>
      </c>
      <c r="BB712">
        <v>79</v>
      </c>
      <c r="BC712">
        <v>96</v>
      </c>
      <c r="BD712" t="s">
        <v>74</v>
      </c>
      <c r="BE712" t="s">
        <v>13602</v>
      </c>
      <c r="BF712" t="str">
        <f>HYPERLINK("http://dx.doi.org/10.1016/j.gr.2016.04.001","http://dx.doi.org/10.1016/j.gr.2016.04.001")</f>
        <v>http://dx.doi.org/10.1016/j.gr.2016.04.001</v>
      </c>
      <c r="BG712" t="s">
        <v>74</v>
      </c>
      <c r="BH712" t="s">
        <v>74</v>
      </c>
      <c r="BI712">
        <v>18</v>
      </c>
      <c r="BJ712" t="s">
        <v>352</v>
      </c>
      <c r="BK712" t="s">
        <v>156</v>
      </c>
      <c r="BL712" t="s">
        <v>177</v>
      </c>
      <c r="BM712" t="s">
        <v>13603</v>
      </c>
      <c r="BN712" t="s">
        <v>74</v>
      </c>
      <c r="BO712" t="s">
        <v>74</v>
      </c>
      <c r="BP712" t="s">
        <v>74</v>
      </c>
      <c r="BQ712" t="s">
        <v>74</v>
      </c>
      <c r="BR712" t="s">
        <v>105</v>
      </c>
      <c r="BS712" t="s">
        <v>13604</v>
      </c>
      <c r="BT712" t="str">
        <f>HYPERLINK("https%3A%2F%2Fwww.webofscience.com%2Fwos%2Fwoscc%2Ffull-record%2FWOS:000384702400006","View Full Record in Web of Science")</f>
        <v>View Full Record in Web of Science</v>
      </c>
    </row>
    <row r="713" spans="1:72" x14ac:dyDescent="0.15">
      <c r="A713" t="s">
        <v>72</v>
      </c>
      <c r="B713" t="s">
        <v>13605</v>
      </c>
      <c r="C713" t="s">
        <v>74</v>
      </c>
      <c r="D713" t="s">
        <v>74</v>
      </c>
      <c r="E713" t="s">
        <v>74</v>
      </c>
      <c r="F713" t="s">
        <v>13606</v>
      </c>
      <c r="G713" t="s">
        <v>74</v>
      </c>
      <c r="H713" t="s">
        <v>74</v>
      </c>
      <c r="I713" t="s">
        <v>13607</v>
      </c>
      <c r="J713" t="s">
        <v>3700</v>
      </c>
      <c r="K713" t="s">
        <v>74</v>
      </c>
      <c r="L713" t="s">
        <v>74</v>
      </c>
      <c r="M713" t="s">
        <v>78</v>
      </c>
      <c r="N713" t="s">
        <v>79</v>
      </c>
      <c r="O713" t="s">
        <v>74</v>
      </c>
      <c r="P713" t="s">
        <v>74</v>
      </c>
      <c r="Q713" t="s">
        <v>74</v>
      </c>
      <c r="R713" t="s">
        <v>74</v>
      </c>
      <c r="S713" t="s">
        <v>74</v>
      </c>
      <c r="T713" t="s">
        <v>13608</v>
      </c>
      <c r="U713" t="s">
        <v>13609</v>
      </c>
      <c r="V713" t="s">
        <v>13610</v>
      </c>
      <c r="W713" t="s">
        <v>13611</v>
      </c>
      <c r="X713" t="s">
        <v>13612</v>
      </c>
      <c r="Y713" t="s">
        <v>13613</v>
      </c>
      <c r="Z713" t="s">
        <v>13614</v>
      </c>
      <c r="AA713" t="s">
        <v>13615</v>
      </c>
      <c r="AB713" t="s">
        <v>13616</v>
      </c>
      <c r="AC713" t="s">
        <v>13617</v>
      </c>
      <c r="AD713" t="s">
        <v>13618</v>
      </c>
      <c r="AE713" t="s">
        <v>13619</v>
      </c>
      <c r="AF713" t="s">
        <v>74</v>
      </c>
      <c r="AG713">
        <v>100</v>
      </c>
      <c r="AH713">
        <v>21</v>
      </c>
      <c r="AI713">
        <v>23</v>
      </c>
      <c r="AJ713">
        <v>1</v>
      </c>
      <c r="AK713">
        <v>21</v>
      </c>
      <c r="AL713" t="s">
        <v>196</v>
      </c>
      <c r="AM713" t="s">
        <v>93</v>
      </c>
      <c r="AN713" t="s">
        <v>197</v>
      </c>
      <c r="AO713" t="s">
        <v>3713</v>
      </c>
      <c r="AP713" t="s">
        <v>3714</v>
      </c>
      <c r="AQ713" t="s">
        <v>74</v>
      </c>
      <c r="AR713" t="s">
        <v>3715</v>
      </c>
      <c r="AS713" t="s">
        <v>3716</v>
      </c>
      <c r="AT713" t="s">
        <v>13423</v>
      </c>
      <c r="AU713">
        <v>2016</v>
      </c>
      <c r="AV713">
        <v>35</v>
      </c>
      <c r="AW713" t="s">
        <v>74</v>
      </c>
      <c r="AX713" t="s">
        <v>74</v>
      </c>
      <c r="AY713" t="s">
        <v>74</v>
      </c>
      <c r="AZ713" t="s">
        <v>74</v>
      </c>
      <c r="BA713" t="s">
        <v>74</v>
      </c>
      <c r="BB713">
        <v>97</v>
      </c>
      <c r="BC713">
        <v>114</v>
      </c>
      <c r="BD713" t="s">
        <v>74</v>
      </c>
      <c r="BE713" t="s">
        <v>13620</v>
      </c>
      <c r="BF713" t="str">
        <f>HYPERLINK("http://dx.doi.org/10.1016/j.gr.2016.03.009","http://dx.doi.org/10.1016/j.gr.2016.03.009")</f>
        <v>http://dx.doi.org/10.1016/j.gr.2016.03.009</v>
      </c>
      <c r="BG713" t="s">
        <v>74</v>
      </c>
      <c r="BH713" t="s">
        <v>74</v>
      </c>
      <c r="BI713">
        <v>18</v>
      </c>
      <c r="BJ713" t="s">
        <v>352</v>
      </c>
      <c r="BK713" t="s">
        <v>156</v>
      </c>
      <c r="BL713" t="s">
        <v>177</v>
      </c>
      <c r="BM713" t="s">
        <v>13603</v>
      </c>
      <c r="BN713" t="s">
        <v>74</v>
      </c>
      <c r="BO713" t="s">
        <v>74</v>
      </c>
      <c r="BP713" t="s">
        <v>74</v>
      </c>
      <c r="BQ713" t="s">
        <v>74</v>
      </c>
      <c r="BR713" t="s">
        <v>105</v>
      </c>
      <c r="BS713" t="s">
        <v>13621</v>
      </c>
      <c r="BT713" t="str">
        <f>HYPERLINK("https%3A%2F%2Fwww.webofscience.com%2Fwos%2Fwoscc%2Ffull-record%2FWOS:000384702400007","View Full Record in Web of Science")</f>
        <v>View Full Record in Web of Science</v>
      </c>
    </row>
    <row r="714" spans="1:72" x14ac:dyDescent="0.15">
      <c r="A714" t="s">
        <v>72</v>
      </c>
      <c r="B714" t="s">
        <v>13622</v>
      </c>
      <c r="C714" t="s">
        <v>74</v>
      </c>
      <c r="D714" t="s">
        <v>74</v>
      </c>
      <c r="E714" t="s">
        <v>74</v>
      </c>
      <c r="F714" t="s">
        <v>13623</v>
      </c>
      <c r="G714" t="s">
        <v>74</v>
      </c>
      <c r="H714" t="s">
        <v>74</v>
      </c>
      <c r="I714" t="s">
        <v>13624</v>
      </c>
      <c r="J714" t="s">
        <v>3700</v>
      </c>
      <c r="K714" t="s">
        <v>74</v>
      </c>
      <c r="L714" t="s">
        <v>74</v>
      </c>
      <c r="M714" t="s">
        <v>78</v>
      </c>
      <c r="N714" t="s">
        <v>79</v>
      </c>
      <c r="O714" t="s">
        <v>74</v>
      </c>
      <c r="P714" t="s">
        <v>74</v>
      </c>
      <c r="Q714" t="s">
        <v>74</v>
      </c>
      <c r="R714" t="s">
        <v>74</v>
      </c>
      <c r="S714" t="s">
        <v>74</v>
      </c>
      <c r="T714" t="s">
        <v>13625</v>
      </c>
      <c r="U714" t="s">
        <v>13626</v>
      </c>
      <c r="V714" t="s">
        <v>13627</v>
      </c>
      <c r="W714" t="s">
        <v>13628</v>
      </c>
      <c r="X714" t="s">
        <v>13629</v>
      </c>
      <c r="Y714" t="s">
        <v>13630</v>
      </c>
      <c r="Z714" t="s">
        <v>74</v>
      </c>
      <c r="AA714" t="s">
        <v>74</v>
      </c>
      <c r="AB714" t="s">
        <v>74</v>
      </c>
      <c r="AC714" t="s">
        <v>13631</v>
      </c>
      <c r="AD714" t="s">
        <v>13632</v>
      </c>
      <c r="AE714" t="s">
        <v>13633</v>
      </c>
      <c r="AF714" t="s">
        <v>74</v>
      </c>
      <c r="AG714">
        <v>140</v>
      </c>
      <c r="AH714">
        <v>0</v>
      </c>
      <c r="AI714">
        <v>3</v>
      </c>
      <c r="AJ714">
        <v>0</v>
      </c>
      <c r="AK714">
        <v>15</v>
      </c>
      <c r="AL714" t="s">
        <v>92</v>
      </c>
      <c r="AM714" t="s">
        <v>93</v>
      </c>
      <c r="AN714" t="s">
        <v>94</v>
      </c>
      <c r="AO714" t="s">
        <v>3713</v>
      </c>
      <c r="AP714" t="s">
        <v>3714</v>
      </c>
      <c r="AQ714" t="s">
        <v>74</v>
      </c>
      <c r="AR714" t="s">
        <v>3715</v>
      </c>
      <c r="AS714" t="s">
        <v>3716</v>
      </c>
      <c r="AT714" t="s">
        <v>13423</v>
      </c>
      <c r="AU714">
        <v>2016</v>
      </c>
      <c r="AV714">
        <v>35</v>
      </c>
      <c r="AW714" t="s">
        <v>74</v>
      </c>
      <c r="AX714" t="s">
        <v>74</v>
      </c>
      <c r="AY714" t="s">
        <v>74</v>
      </c>
      <c r="AZ714" t="s">
        <v>74</v>
      </c>
      <c r="BA714" t="s">
        <v>74</v>
      </c>
      <c r="BB714">
        <v>164</v>
      </c>
      <c r="BC714">
        <v>179</v>
      </c>
      <c r="BD714" t="s">
        <v>74</v>
      </c>
      <c r="BE714" t="s">
        <v>13634</v>
      </c>
      <c r="BF714" t="str">
        <f>HYPERLINK("http://dx.doi.org/10.1016/j.gr.2015.04.010","http://dx.doi.org/10.1016/j.gr.2015.04.010")</f>
        <v>http://dx.doi.org/10.1016/j.gr.2015.04.010</v>
      </c>
      <c r="BG714" t="s">
        <v>74</v>
      </c>
      <c r="BH714" t="s">
        <v>74</v>
      </c>
      <c r="BI714">
        <v>16</v>
      </c>
      <c r="BJ714" t="s">
        <v>352</v>
      </c>
      <c r="BK714" t="s">
        <v>156</v>
      </c>
      <c r="BL714" t="s">
        <v>177</v>
      </c>
      <c r="BM714" t="s">
        <v>13603</v>
      </c>
      <c r="BN714" t="s">
        <v>74</v>
      </c>
      <c r="BO714" t="s">
        <v>74</v>
      </c>
      <c r="BP714" t="s">
        <v>74</v>
      </c>
      <c r="BQ714" t="s">
        <v>74</v>
      </c>
      <c r="BR714" t="s">
        <v>105</v>
      </c>
      <c r="BS714" t="s">
        <v>13635</v>
      </c>
      <c r="BT714" t="str">
        <f>HYPERLINK("https%3A%2F%2Fwww.webofscience.com%2Fwos%2Fwoscc%2Ffull-record%2FWOS:000384702400012","View Full Record in Web of Science")</f>
        <v>View Full Record in Web of Science</v>
      </c>
    </row>
    <row r="715" spans="1:72" x14ac:dyDescent="0.15">
      <c r="A715" t="s">
        <v>72</v>
      </c>
      <c r="B715" t="s">
        <v>13636</v>
      </c>
      <c r="C715" t="s">
        <v>74</v>
      </c>
      <c r="D715" t="s">
        <v>74</v>
      </c>
      <c r="E715" t="s">
        <v>74</v>
      </c>
      <c r="F715" t="s">
        <v>13637</v>
      </c>
      <c r="G715" t="s">
        <v>74</v>
      </c>
      <c r="H715" t="s">
        <v>74</v>
      </c>
      <c r="I715" t="s">
        <v>13638</v>
      </c>
      <c r="J715" t="s">
        <v>700</v>
      </c>
      <c r="K715" t="s">
        <v>74</v>
      </c>
      <c r="L715" t="s">
        <v>74</v>
      </c>
      <c r="M715" t="s">
        <v>78</v>
      </c>
      <c r="N715" t="s">
        <v>79</v>
      </c>
      <c r="O715" t="s">
        <v>74</v>
      </c>
      <c r="P715" t="s">
        <v>74</v>
      </c>
      <c r="Q715" t="s">
        <v>74</v>
      </c>
      <c r="R715" t="s">
        <v>74</v>
      </c>
      <c r="S715" t="s">
        <v>74</v>
      </c>
      <c r="T715" t="s">
        <v>13639</v>
      </c>
      <c r="U715" t="s">
        <v>13640</v>
      </c>
      <c r="V715" t="s">
        <v>13641</v>
      </c>
      <c r="W715" t="s">
        <v>13642</v>
      </c>
      <c r="X715" t="s">
        <v>13643</v>
      </c>
      <c r="Y715" t="s">
        <v>13644</v>
      </c>
      <c r="Z715" t="s">
        <v>5389</v>
      </c>
      <c r="AA715" t="s">
        <v>13645</v>
      </c>
      <c r="AB715" t="s">
        <v>74</v>
      </c>
      <c r="AC715" t="s">
        <v>13646</v>
      </c>
      <c r="AD715" t="s">
        <v>13647</v>
      </c>
      <c r="AE715" t="s">
        <v>13648</v>
      </c>
      <c r="AF715" t="s">
        <v>74</v>
      </c>
      <c r="AG715">
        <v>19</v>
      </c>
      <c r="AH715">
        <v>6</v>
      </c>
      <c r="AI715">
        <v>8</v>
      </c>
      <c r="AJ715">
        <v>0</v>
      </c>
      <c r="AK715">
        <v>21</v>
      </c>
      <c r="AL715" t="s">
        <v>713</v>
      </c>
      <c r="AM715" t="s">
        <v>250</v>
      </c>
      <c r="AN715" t="s">
        <v>714</v>
      </c>
      <c r="AO715" t="s">
        <v>715</v>
      </c>
      <c r="AP715" t="s">
        <v>74</v>
      </c>
      <c r="AQ715" t="s">
        <v>74</v>
      </c>
      <c r="AR715" t="s">
        <v>716</v>
      </c>
      <c r="AS715" t="s">
        <v>717</v>
      </c>
      <c r="AT715" t="s">
        <v>13423</v>
      </c>
      <c r="AU715">
        <v>2016</v>
      </c>
      <c r="AV715">
        <v>3</v>
      </c>
      <c r="AW715">
        <v>7</v>
      </c>
      <c r="AX715" t="s">
        <v>74</v>
      </c>
      <c r="AY715" t="s">
        <v>74</v>
      </c>
      <c r="AZ715" t="s">
        <v>74</v>
      </c>
      <c r="BA715" t="s">
        <v>74</v>
      </c>
      <c r="BB715" t="s">
        <v>74</v>
      </c>
      <c r="BC715" t="s">
        <v>74</v>
      </c>
      <c r="BD715">
        <v>160143</v>
      </c>
      <c r="BE715" t="s">
        <v>13649</v>
      </c>
      <c r="BF715" t="str">
        <f>HYPERLINK("http://dx.doi.org/10.1098/rsos.160143","http://dx.doi.org/10.1098/rsos.160143")</f>
        <v>http://dx.doi.org/10.1098/rsos.160143</v>
      </c>
      <c r="BG715" t="s">
        <v>74</v>
      </c>
      <c r="BH715" t="s">
        <v>74</v>
      </c>
      <c r="BI715">
        <v>6</v>
      </c>
      <c r="BJ715" t="s">
        <v>719</v>
      </c>
      <c r="BK715" t="s">
        <v>156</v>
      </c>
      <c r="BL715" t="s">
        <v>720</v>
      </c>
      <c r="BM715" t="s">
        <v>13650</v>
      </c>
      <c r="BN715">
        <v>27493771</v>
      </c>
      <c r="BO715" t="s">
        <v>133</v>
      </c>
      <c r="BP715" t="s">
        <v>74</v>
      </c>
      <c r="BQ715" t="s">
        <v>74</v>
      </c>
      <c r="BR715" t="s">
        <v>105</v>
      </c>
      <c r="BS715" t="s">
        <v>13651</v>
      </c>
      <c r="BT715" t="str">
        <f>HYPERLINK("https%3A%2F%2Fwww.webofscience.com%2Fwos%2Fwoscc%2Ffull-record%2FWOS:000384409400008","View Full Record in Web of Science")</f>
        <v>View Full Record in Web of Science</v>
      </c>
    </row>
    <row r="716" spans="1:72" x14ac:dyDescent="0.15">
      <c r="A716" t="s">
        <v>72</v>
      </c>
      <c r="B716" t="s">
        <v>13652</v>
      </c>
      <c r="C716" t="s">
        <v>74</v>
      </c>
      <c r="D716" t="s">
        <v>74</v>
      </c>
      <c r="E716" t="s">
        <v>74</v>
      </c>
      <c r="F716" t="s">
        <v>13653</v>
      </c>
      <c r="G716" t="s">
        <v>74</v>
      </c>
      <c r="H716" t="s">
        <v>74</v>
      </c>
      <c r="I716" t="s">
        <v>13654</v>
      </c>
      <c r="J716" t="s">
        <v>700</v>
      </c>
      <c r="K716" t="s">
        <v>74</v>
      </c>
      <c r="L716" t="s">
        <v>74</v>
      </c>
      <c r="M716" t="s">
        <v>78</v>
      </c>
      <c r="N716" t="s">
        <v>79</v>
      </c>
      <c r="O716" t="s">
        <v>74</v>
      </c>
      <c r="P716" t="s">
        <v>74</v>
      </c>
      <c r="Q716" t="s">
        <v>74</v>
      </c>
      <c r="R716" t="s">
        <v>74</v>
      </c>
      <c r="S716" t="s">
        <v>74</v>
      </c>
      <c r="T716" t="s">
        <v>13655</v>
      </c>
      <c r="U716" t="s">
        <v>13656</v>
      </c>
      <c r="V716" t="s">
        <v>13657</v>
      </c>
      <c r="W716" t="s">
        <v>13658</v>
      </c>
      <c r="X716" t="s">
        <v>13659</v>
      </c>
      <c r="Y716" t="s">
        <v>13660</v>
      </c>
      <c r="Z716" t="s">
        <v>13661</v>
      </c>
      <c r="AA716" t="s">
        <v>13662</v>
      </c>
      <c r="AB716" t="s">
        <v>13663</v>
      </c>
      <c r="AC716" t="s">
        <v>13664</v>
      </c>
      <c r="AD716" t="s">
        <v>13665</v>
      </c>
      <c r="AE716" t="s">
        <v>13666</v>
      </c>
      <c r="AF716" t="s">
        <v>74</v>
      </c>
      <c r="AG716">
        <v>42</v>
      </c>
      <c r="AH716">
        <v>33</v>
      </c>
      <c r="AI716">
        <v>35</v>
      </c>
      <c r="AJ716">
        <v>0</v>
      </c>
      <c r="AK716">
        <v>20</v>
      </c>
      <c r="AL716" t="s">
        <v>713</v>
      </c>
      <c r="AM716" t="s">
        <v>250</v>
      </c>
      <c r="AN716" t="s">
        <v>714</v>
      </c>
      <c r="AO716" t="s">
        <v>715</v>
      </c>
      <c r="AP716" t="s">
        <v>74</v>
      </c>
      <c r="AQ716" t="s">
        <v>74</v>
      </c>
      <c r="AR716" t="s">
        <v>716</v>
      </c>
      <c r="AS716" t="s">
        <v>717</v>
      </c>
      <c r="AT716" t="s">
        <v>13423</v>
      </c>
      <c r="AU716">
        <v>2016</v>
      </c>
      <c r="AV716">
        <v>3</v>
      </c>
      <c r="AW716">
        <v>7</v>
      </c>
      <c r="AX716" t="s">
        <v>74</v>
      </c>
      <c r="AY716" t="s">
        <v>74</v>
      </c>
      <c r="AZ716" t="s">
        <v>74</v>
      </c>
      <c r="BA716" t="s">
        <v>74</v>
      </c>
      <c r="BB716" t="s">
        <v>74</v>
      </c>
      <c r="BC716" t="s">
        <v>74</v>
      </c>
      <c r="BD716">
        <v>160106</v>
      </c>
      <c r="BE716" t="s">
        <v>13667</v>
      </c>
      <c r="BF716" t="str">
        <f>HYPERLINK("http://dx.doi.org/10.1098/rsos.160106","http://dx.doi.org/10.1098/rsos.160106")</f>
        <v>http://dx.doi.org/10.1098/rsos.160106</v>
      </c>
      <c r="BG716" t="s">
        <v>74</v>
      </c>
      <c r="BH716" t="s">
        <v>74</v>
      </c>
      <c r="BI716">
        <v>13</v>
      </c>
      <c r="BJ716" t="s">
        <v>719</v>
      </c>
      <c r="BK716" t="s">
        <v>156</v>
      </c>
      <c r="BL716" t="s">
        <v>720</v>
      </c>
      <c r="BM716" t="s">
        <v>13650</v>
      </c>
      <c r="BN716">
        <v>27493768</v>
      </c>
      <c r="BO716" t="s">
        <v>3908</v>
      </c>
      <c r="BP716" t="s">
        <v>74</v>
      </c>
      <c r="BQ716" t="s">
        <v>74</v>
      </c>
      <c r="BR716" t="s">
        <v>105</v>
      </c>
      <c r="BS716" t="s">
        <v>13668</v>
      </c>
      <c r="BT716" t="str">
        <f>HYPERLINK("https%3A%2F%2Fwww.webofscience.com%2Fwos%2Fwoscc%2Ffull-record%2FWOS:000384409400005","View Full Record in Web of Science")</f>
        <v>View Full Record in Web of Science</v>
      </c>
    </row>
    <row r="717" spans="1:72" x14ac:dyDescent="0.15">
      <c r="A717" t="s">
        <v>72</v>
      </c>
      <c r="B717" t="s">
        <v>13669</v>
      </c>
      <c r="C717" t="s">
        <v>74</v>
      </c>
      <c r="D717" t="s">
        <v>74</v>
      </c>
      <c r="E717" t="s">
        <v>74</v>
      </c>
      <c r="F717" t="s">
        <v>13670</v>
      </c>
      <c r="G717" t="s">
        <v>74</v>
      </c>
      <c r="H717" t="s">
        <v>74</v>
      </c>
      <c r="I717" t="s">
        <v>13671</v>
      </c>
      <c r="J717" t="s">
        <v>13672</v>
      </c>
      <c r="K717" t="s">
        <v>74</v>
      </c>
      <c r="L717" t="s">
        <v>74</v>
      </c>
      <c r="M717" t="s">
        <v>78</v>
      </c>
      <c r="N717" t="s">
        <v>79</v>
      </c>
      <c r="O717" t="s">
        <v>74</v>
      </c>
      <c r="P717" t="s">
        <v>74</v>
      </c>
      <c r="Q717" t="s">
        <v>74</v>
      </c>
      <c r="R717" t="s">
        <v>74</v>
      </c>
      <c r="S717" t="s">
        <v>74</v>
      </c>
      <c r="T717" t="s">
        <v>13673</v>
      </c>
      <c r="U717" t="s">
        <v>13674</v>
      </c>
      <c r="V717" t="s">
        <v>13675</v>
      </c>
      <c r="W717" t="s">
        <v>13676</v>
      </c>
      <c r="X717" t="s">
        <v>13677</v>
      </c>
      <c r="Y717" t="s">
        <v>13678</v>
      </c>
      <c r="Z717" t="s">
        <v>13679</v>
      </c>
      <c r="AA717" t="s">
        <v>13680</v>
      </c>
      <c r="AB717" t="s">
        <v>13681</v>
      </c>
      <c r="AC717" t="s">
        <v>13682</v>
      </c>
      <c r="AD717" t="s">
        <v>13683</v>
      </c>
      <c r="AE717" t="s">
        <v>13684</v>
      </c>
      <c r="AF717" t="s">
        <v>74</v>
      </c>
      <c r="AG717">
        <v>56</v>
      </c>
      <c r="AH717">
        <v>9</v>
      </c>
      <c r="AI717">
        <v>10</v>
      </c>
      <c r="AJ717">
        <v>0</v>
      </c>
      <c r="AK717">
        <v>8</v>
      </c>
      <c r="AL717" t="s">
        <v>449</v>
      </c>
      <c r="AM717" t="s">
        <v>450</v>
      </c>
      <c r="AN717" t="s">
        <v>451</v>
      </c>
      <c r="AO717" t="s">
        <v>13685</v>
      </c>
      <c r="AP717" t="s">
        <v>13686</v>
      </c>
      <c r="AQ717" t="s">
        <v>74</v>
      </c>
      <c r="AR717" t="s">
        <v>13687</v>
      </c>
      <c r="AS717" t="s">
        <v>13688</v>
      </c>
      <c r="AT717" t="s">
        <v>13423</v>
      </c>
      <c r="AU717">
        <v>2016</v>
      </c>
      <c r="AV717">
        <v>15</v>
      </c>
      <c r="AW717">
        <v>7</v>
      </c>
      <c r="AX717" t="s">
        <v>74</v>
      </c>
      <c r="AY717" t="s">
        <v>74</v>
      </c>
      <c r="AZ717" t="s">
        <v>74</v>
      </c>
      <c r="BA717" t="s">
        <v>74</v>
      </c>
      <c r="BB717">
        <v>743</v>
      </c>
      <c r="BC717">
        <v>754</v>
      </c>
      <c r="BD717" t="s">
        <v>74</v>
      </c>
      <c r="BE717" t="s">
        <v>13689</v>
      </c>
      <c r="BF717" t="str">
        <f>HYPERLINK("http://dx.doi.org/10.1007/s11557-016-1204-x","http://dx.doi.org/10.1007/s11557-016-1204-x")</f>
        <v>http://dx.doi.org/10.1007/s11557-016-1204-x</v>
      </c>
      <c r="BG717" t="s">
        <v>74</v>
      </c>
      <c r="BH717" t="s">
        <v>74</v>
      </c>
      <c r="BI717">
        <v>12</v>
      </c>
      <c r="BJ717" t="s">
        <v>7981</v>
      </c>
      <c r="BK717" t="s">
        <v>156</v>
      </c>
      <c r="BL717" t="s">
        <v>7981</v>
      </c>
      <c r="BM717" t="s">
        <v>13690</v>
      </c>
      <c r="BN717" t="s">
        <v>74</v>
      </c>
      <c r="BO717" t="s">
        <v>74</v>
      </c>
      <c r="BP717" t="s">
        <v>74</v>
      </c>
      <c r="BQ717" t="s">
        <v>74</v>
      </c>
      <c r="BR717" t="s">
        <v>105</v>
      </c>
      <c r="BS717" t="s">
        <v>13691</v>
      </c>
      <c r="BT717" t="str">
        <f>HYPERLINK("https%3A%2F%2Fwww.webofscience.com%2Fwos%2Fwoscc%2Ffull-record%2FWOS:000384334600004","View Full Record in Web of Science")</f>
        <v>View Full Record in Web of Science</v>
      </c>
    </row>
    <row r="718" spans="1:72" x14ac:dyDescent="0.15">
      <c r="A718" t="s">
        <v>72</v>
      </c>
      <c r="B718" t="s">
        <v>13692</v>
      </c>
      <c r="C718" t="s">
        <v>74</v>
      </c>
      <c r="D718" t="s">
        <v>74</v>
      </c>
      <c r="E718" t="s">
        <v>74</v>
      </c>
      <c r="F718" t="s">
        <v>13693</v>
      </c>
      <c r="G718" t="s">
        <v>74</v>
      </c>
      <c r="H718" t="s">
        <v>74</v>
      </c>
      <c r="I718" t="s">
        <v>13694</v>
      </c>
      <c r="J718" t="s">
        <v>2357</v>
      </c>
      <c r="K718" t="s">
        <v>74</v>
      </c>
      <c r="L718" t="s">
        <v>74</v>
      </c>
      <c r="M718" t="s">
        <v>78</v>
      </c>
      <c r="N718" t="s">
        <v>79</v>
      </c>
      <c r="O718" t="s">
        <v>74</v>
      </c>
      <c r="P718" t="s">
        <v>74</v>
      </c>
      <c r="Q718" t="s">
        <v>74</v>
      </c>
      <c r="R718" t="s">
        <v>74</v>
      </c>
      <c r="S718" t="s">
        <v>74</v>
      </c>
      <c r="T718" t="s">
        <v>13695</v>
      </c>
      <c r="U718" t="s">
        <v>13696</v>
      </c>
      <c r="V718" t="s">
        <v>13697</v>
      </c>
      <c r="W718" t="s">
        <v>13698</v>
      </c>
      <c r="X718" t="s">
        <v>13699</v>
      </c>
      <c r="Y718" t="s">
        <v>13700</v>
      </c>
      <c r="Z718" t="s">
        <v>13701</v>
      </c>
      <c r="AA718" t="s">
        <v>13702</v>
      </c>
      <c r="AB718" t="s">
        <v>13703</v>
      </c>
      <c r="AC718" t="s">
        <v>13704</v>
      </c>
      <c r="AD718" t="s">
        <v>13705</v>
      </c>
      <c r="AE718" t="s">
        <v>13706</v>
      </c>
      <c r="AF718" t="s">
        <v>74</v>
      </c>
      <c r="AG718">
        <v>87</v>
      </c>
      <c r="AH718">
        <v>13</v>
      </c>
      <c r="AI718">
        <v>13</v>
      </c>
      <c r="AJ718">
        <v>4</v>
      </c>
      <c r="AK718">
        <v>27</v>
      </c>
      <c r="AL718" t="s">
        <v>149</v>
      </c>
      <c r="AM718" t="s">
        <v>123</v>
      </c>
      <c r="AN718" t="s">
        <v>150</v>
      </c>
      <c r="AO718" t="s">
        <v>2370</v>
      </c>
      <c r="AP718" t="s">
        <v>2371</v>
      </c>
      <c r="AQ718" t="s">
        <v>74</v>
      </c>
      <c r="AR718" t="s">
        <v>2372</v>
      </c>
      <c r="AS718" t="s">
        <v>2373</v>
      </c>
      <c r="AT718" t="s">
        <v>13423</v>
      </c>
      <c r="AU718">
        <v>2016</v>
      </c>
      <c r="AV718">
        <v>121</v>
      </c>
      <c r="AW718">
        <v>7</v>
      </c>
      <c r="AX718" t="s">
        <v>74</v>
      </c>
      <c r="AY718" t="s">
        <v>74</v>
      </c>
      <c r="AZ718" t="s">
        <v>74</v>
      </c>
      <c r="BA718" t="s">
        <v>74</v>
      </c>
      <c r="BB718">
        <v>4748</v>
      </c>
      <c r="BC718">
        <v>4762</v>
      </c>
      <c r="BD718" t="s">
        <v>74</v>
      </c>
      <c r="BE718" t="s">
        <v>13707</v>
      </c>
      <c r="BF718" t="str">
        <f>HYPERLINK("http://dx.doi.org/10.1002/2015JC011378","http://dx.doi.org/10.1002/2015JC011378")</f>
        <v>http://dx.doi.org/10.1002/2015JC011378</v>
      </c>
      <c r="BG718" t="s">
        <v>74</v>
      </c>
      <c r="BH718" t="s">
        <v>74</v>
      </c>
      <c r="BI718">
        <v>15</v>
      </c>
      <c r="BJ718" t="s">
        <v>405</v>
      </c>
      <c r="BK718" t="s">
        <v>156</v>
      </c>
      <c r="BL718" t="s">
        <v>405</v>
      </c>
      <c r="BM718" t="s">
        <v>13708</v>
      </c>
      <c r="BN718" t="s">
        <v>74</v>
      </c>
      <c r="BO718" t="s">
        <v>258</v>
      </c>
      <c r="BP718" t="s">
        <v>74</v>
      </c>
      <c r="BQ718" t="s">
        <v>74</v>
      </c>
      <c r="BR718" t="s">
        <v>105</v>
      </c>
      <c r="BS718" t="s">
        <v>13709</v>
      </c>
      <c r="BT718" t="str">
        <f>HYPERLINK("https%3A%2F%2Fwww.webofscience.com%2Fwos%2Fwoscc%2Ffull-record%2FWOS:000383468500019","View Full Record in Web of Science")</f>
        <v>View Full Record in Web of Science</v>
      </c>
    </row>
    <row r="719" spans="1:72" x14ac:dyDescent="0.15">
      <c r="A719" t="s">
        <v>72</v>
      </c>
      <c r="B719" t="s">
        <v>13710</v>
      </c>
      <c r="C719" t="s">
        <v>74</v>
      </c>
      <c r="D719" t="s">
        <v>74</v>
      </c>
      <c r="E719" t="s">
        <v>74</v>
      </c>
      <c r="F719" t="s">
        <v>13711</v>
      </c>
      <c r="G719" t="s">
        <v>74</v>
      </c>
      <c r="H719" t="s">
        <v>74</v>
      </c>
      <c r="I719" t="s">
        <v>13712</v>
      </c>
      <c r="J719" t="s">
        <v>2357</v>
      </c>
      <c r="K719" t="s">
        <v>74</v>
      </c>
      <c r="L719" t="s">
        <v>74</v>
      </c>
      <c r="M719" t="s">
        <v>78</v>
      </c>
      <c r="N719" t="s">
        <v>79</v>
      </c>
      <c r="O719" t="s">
        <v>74</v>
      </c>
      <c r="P719" t="s">
        <v>74</v>
      </c>
      <c r="Q719" t="s">
        <v>74</v>
      </c>
      <c r="R719" t="s">
        <v>74</v>
      </c>
      <c r="S719" t="s">
        <v>74</v>
      </c>
      <c r="T719" t="s">
        <v>13713</v>
      </c>
      <c r="U719" t="s">
        <v>13714</v>
      </c>
      <c r="V719" t="s">
        <v>13715</v>
      </c>
      <c r="W719" t="s">
        <v>13716</v>
      </c>
      <c r="X719" t="s">
        <v>13717</v>
      </c>
      <c r="Y719" t="s">
        <v>13718</v>
      </c>
      <c r="Z719" t="s">
        <v>13719</v>
      </c>
      <c r="AA719" t="s">
        <v>13720</v>
      </c>
      <c r="AB719" t="s">
        <v>13721</v>
      </c>
      <c r="AC719" t="s">
        <v>13722</v>
      </c>
      <c r="AD719" t="s">
        <v>13723</v>
      </c>
      <c r="AE719" t="s">
        <v>13724</v>
      </c>
      <c r="AF719" t="s">
        <v>74</v>
      </c>
      <c r="AG719">
        <v>23</v>
      </c>
      <c r="AH719">
        <v>28</v>
      </c>
      <c r="AI719">
        <v>28</v>
      </c>
      <c r="AJ719">
        <v>1</v>
      </c>
      <c r="AK719">
        <v>21</v>
      </c>
      <c r="AL719" t="s">
        <v>149</v>
      </c>
      <c r="AM719" t="s">
        <v>123</v>
      </c>
      <c r="AN719" t="s">
        <v>150</v>
      </c>
      <c r="AO719" t="s">
        <v>2370</v>
      </c>
      <c r="AP719" t="s">
        <v>2371</v>
      </c>
      <c r="AQ719" t="s">
        <v>74</v>
      </c>
      <c r="AR719" t="s">
        <v>2372</v>
      </c>
      <c r="AS719" t="s">
        <v>2373</v>
      </c>
      <c r="AT719" t="s">
        <v>13423</v>
      </c>
      <c r="AU719">
        <v>2016</v>
      </c>
      <c r="AV719">
        <v>121</v>
      </c>
      <c r="AW719">
        <v>7</v>
      </c>
      <c r="AX719" t="s">
        <v>74</v>
      </c>
      <c r="AY719" t="s">
        <v>74</v>
      </c>
      <c r="AZ719" t="s">
        <v>74</v>
      </c>
      <c r="BA719" t="s">
        <v>74</v>
      </c>
      <c r="BB719">
        <v>4854</v>
      </c>
      <c r="BC719">
        <v>4872</v>
      </c>
      <c r="BD719" t="s">
        <v>74</v>
      </c>
      <c r="BE719" t="s">
        <v>13725</v>
      </c>
      <c r="BF719" t="str">
        <f>HYPERLINK("http://dx.doi.org/10.1002/2016JC011889","http://dx.doi.org/10.1002/2016JC011889")</f>
        <v>http://dx.doi.org/10.1002/2016JC011889</v>
      </c>
      <c r="BG719" t="s">
        <v>74</v>
      </c>
      <c r="BH719" t="s">
        <v>74</v>
      </c>
      <c r="BI719">
        <v>19</v>
      </c>
      <c r="BJ719" t="s">
        <v>405</v>
      </c>
      <c r="BK719" t="s">
        <v>156</v>
      </c>
      <c r="BL719" t="s">
        <v>405</v>
      </c>
      <c r="BM719" t="s">
        <v>13708</v>
      </c>
      <c r="BN719" t="s">
        <v>74</v>
      </c>
      <c r="BO719" t="s">
        <v>1002</v>
      </c>
      <c r="BP719" t="s">
        <v>74</v>
      </c>
      <c r="BQ719" t="s">
        <v>74</v>
      </c>
      <c r="BR719" t="s">
        <v>105</v>
      </c>
      <c r="BS719" t="s">
        <v>13726</v>
      </c>
      <c r="BT719" t="str">
        <f>HYPERLINK("https%3A%2F%2Fwww.webofscience.com%2Fwos%2Fwoscc%2Ffull-record%2FWOS:000383468500026","View Full Record in Web of Science")</f>
        <v>View Full Record in Web of Science</v>
      </c>
    </row>
    <row r="720" spans="1:72" x14ac:dyDescent="0.15">
      <c r="A720" t="s">
        <v>72</v>
      </c>
      <c r="B720" t="s">
        <v>13727</v>
      </c>
      <c r="C720" t="s">
        <v>74</v>
      </c>
      <c r="D720" t="s">
        <v>74</v>
      </c>
      <c r="E720" t="s">
        <v>74</v>
      </c>
      <c r="F720" t="s">
        <v>13728</v>
      </c>
      <c r="G720" t="s">
        <v>74</v>
      </c>
      <c r="H720" t="s">
        <v>74</v>
      </c>
      <c r="I720" t="s">
        <v>13729</v>
      </c>
      <c r="J720" t="s">
        <v>2357</v>
      </c>
      <c r="K720" t="s">
        <v>74</v>
      </c>
      <c r="L720" t="s">
        <v>74</v>
      </c>
      <c r="M720" t="s">
        <v>78</v>
      </c>
      <c r="N720" t="s">
        <v>79</v>
      </c>
      <c r="O720" t="s">
        <v>74</v>
      </c>
      <c r="P720" t="s">
        <v>74</v>
      </c>
      <c r="Q720" t="s">
        <v>74</v>
      </c>
      <c r="R720" t="s">
        <v>74</v>
      </c>
      <c r="S720" t="s">
        <v>74</v>
      </c>
      <c r="T720" t="s">
        <v>13730</v>
      </c>
      <c r="U720" t="s">
        <v>13731</v>
      </c>
      <c r="V720" t="s">
        <v>13732</v>
      </c>
      <c r="W720" t="s">
        <v>13733</v>
      </c>
      <c r="X720" t="s">
        <v>13734</v>
      </c>
      <c r="Y720" t="s">
        <v>13735</v>
      </c>
      <c r="Z720" t="s">
        <v>13736</v>
      </c>
      <c r="AA720" t="s">
        <v>13737</v>
      </c>
      <c r="AB720" t="s">
        <v>13738</v>
      </c>
      <c r="AC720" t="s">
        <v>13739</v>
      </c>
      <c r="AD720" t="s">
        <v>13740</v>
      </c>
      <c r="AE720" t="s">
        <v>13741</v>
      </c>
      <c r="AF720" t="s">
        <v>74</v>
      </c>
      <c r="AG720">
        <v>55</v>
      </c>
      <c r="AH720">
        <v>31</v>
      </c>
      <c r="AI720">
        <v>35</v>
      </c>
      <c r="AJ720">
        <v>2</v>
      </c>
      <c r="AK720">
        <v>34</v>
      </c>
      <c r="AL720" t="s">
        <v>149</v>
      </c>
      <c r="AM720" t="s">
        <v>123</v>
      </c>
      <c r="AN720" t="s">
        <v>150</v>
      </c>
      <c r="AO720" t="s">
        <v>2370</v>
      </c>
      <c r="AP720" t="s">
        <v>2371</v>
      </c>
      <c r="AQ720" t="s">
        <v>74</v>
      </c>
      <c r="AR720" t="s">
        <v>2372</v>
      </c>
      <c r="AS720" t="s">
        <v>2373</v>
      </c>
      <c r="AT720" t="s">
        <v>13423</v>
      </c>
      <c r="AU720">
        <v>2016</v>
      </c>
      <c r="AV720">
        <v>121</v>
      </c>
      <c r="AW720">
        <v>7</v>
      </c>
      <c r="AX720" t="s">
        <v>74</v>
      </c>
      <c r="AY720" t="s">
        <v>74</v>
      </c>
      <c r="AZ720" t="s">
        <v>74</v>
      </c>
      <c r="BA720" t="s">
        <v>74</v>
      </c>
      <c r="BB720">
        <v>4946</v>
      </c>
      <c r="BC720">
        <v>4965</v>
      </c>
      <c r="BD720" t="s">
        <v>74</v>
      </c>
      <c r="BE720" t="s">
        <v>13742</v>
      </c>
      <c r="BF720" t="str">
        <f>HYPERLINK("http://dx.doi.org/10.1002/2016JC011858","http://dx.doi.org/10.1002/2016JC011858")</f>
        <v>http://dx.doi.org/10.1002/2016JC011858</v>
      </c>
      <c r="BG720" t="s">
        <v>74</v>
      </c>
      <c r="BH720" t="s">
        <v>74</v>
      </c>
      <c r="BI720">
        <v>20</v>
      </c>
      <c r="BJ720" t="s">
        <v>405</v>
      </c>
      <c r="BK720" t="s">
        <v>156</v>
      </c>
      <c r="BL720" t="s">
        <v>405</v>
      </c>
      <c r="BM720" t="s">
        <v>13708</v>
      </c>
      <c r="BN720" t="s">
        <v>74</v>
      </c>
      <c r="BO720" t="s">
        <v>1106</v>
      </c>
      <c r="BP720" t="s">
        <v>74</v>
      </c>
      <c r="BQ720" t="s">
        <v>74</v>
      </c>
      <c r="BR720" t="s">
        <v>105</v>
      </c>
      <c r="BS720" t="s">
        <v>13743</v>
      </c>
      <c r="BT720" t="str">
        <f>HYPERLINK("https%3A%2F%2Fwww.webofscience.com%2Fwos%2Fwoscc%2Ffull-record%2FWOS:000383468500031","View Full Record in Web of Science")</f>
        <v>View Full Record in Web of Science</v>
      </c>
    </row>
    <row r="721" spans="1:72" x14ac:dyDescent="0.15">
      <c r="A721" t="s">
        <v>72</v>
      </c>
      <c r="B721" t="s">
        <v>13744</v>
      </c>
      <c r="C721" t="s">
        <v>74</v>
      </c>
      <c r="D721" t="s">
        <v>74</v>
      </c>
      <c r="E721" t="s">
        <v>74</v>
      </c>
      <c r="F721" t="s">
        <v>13745</v>
      </c>
      <c r="G721" t="s">
        <v>74</v>
      </c>
      <c r="H721" t="s">
        <v>74</v>
      </c>
      <c r="I721" t="s">
        <v>13746</v>
      </c>
      <c r="J721" t="s">
        <v>2357</v>
      </c>
      <c r="K721" t="s">
        <v>74</v>
      </c>
      <c r="L721" t="s">
        <v>74</v>
      </c>
      <c r="M721" t="s">
        <v>78</v>
      </c>
      <c r="N721" t="s">
        <v>79</v>
      </c>
      <c r="O721" t="s">
        <v>74</v>
      </c>
      <c r="P721" t="s">
        <v>74</v>
      </c>
      <c r="Q721" t="s">
        <v>74</v>
      </c>
      <c r="R721" t="s">
        <v>74</v>
      </c>
      <c r="S721" t="s">
        <v>74</v>
      </c>
      <c r="T721" t="s">
        <v>13747</v>
      </c>
      <c r="U721" t="s">
        <v>13748</v>
      </c>
      <c r="V721" t="s">
        <v>13749</v>
      </c>
      <c r="W721" t="s">
        <v>13750</v>
      </c>
      <c r="X721" t="s">
        <v>13751</v>
      </c>
      <c r="Y721" t="s">
        <v>13752</v>
      </c>
      <c r="Z721" t="s">
        <v>13753</v>
      </c>
      <c r="AA721" t="s">
        <v>13754</v>
      </c>
      <c r="AB721" t="s">
        <v>13755</v>
      </c>
      <c r="AC721" t="s">
        <v>13756</v>
      </c>
      <c r="AD721" t="s">
        <v>13757</v>
      </c>
      <c r="AE721" t="s">
        <v>13758</v>
      </c>
      <c r="AF721" t="s">
        <v>74</v>
      </c>
      <c r="AG721">
        <v>60</v>
      </c>
      <c r="AH721">
        <v>49</v>
      </c>
      <c r="AI721">
        <v>58</v>
      </c>
      <c r="AJ721">
        <v>2</v>
      </c>
      <c r="AK721">
        <v>29</v>
      </c>
      <c r="AL721" t="s">
        <v>149</v>
      </c>
      <c r="AM721" t="s">
        <v>123</v>
      </c>
      <c r="AN721" t="s">
        <v>150</v>
      </c>
      <c r="AO721" t="s">
        <v>2370</v>
      </c>
      <c r="AP721" t="s">
        <v>2371</v>
      </c>
      <c r="AQ721" t="s">
        <v>74</v>
      </c>
      <c r="AR721" t="s">
        <v>2372</v>
      </c>
      <c r="AS721" t="s">
        <v>2373</v>
      </c>
      <c r="AT721" t="s">
        <v>13423</v>
      </c>
      <c r="AU721">
        <v>2016</v>
      </c>
      <c r="AV721">
        <v>121</v>
      </c>
      <c r="AW721">
        <v>7</v>
      </c>
      <c r="AX721" t="s">
        <v>74</v>
      </c>
      <c r="AY721" t="s">
        <v>74</v>
      </c>
      <c r="AZ721" t="s">
        <v>74</v>
      </c>
      <c r="BA721" t="s">
        <v>74</v>
      </c>
      <c r="BB721">
        <v>5069</v>
      </c>
      <c r="BC721">
        <v>5083</v>
      </c>
      <c r="BD721" t="s">
        <v>74</v>
      </c>
      <c r="BE721" t="s">
        <v>13759</v>
      </c>
      <c r="BF721" t="str">
        <f>HYPERLINK("http://dx.doi.org/10.1002/2016JC011650","http://dx.doi.org/10.1002/2016JC011650")</f>
        <v>http://dx.doi.org/10.1002/2016JC011650</v>
      </c>
      <c r="BG721" t="s">
        <v>74</v>
      </c>
      <c r="BH721" t="s">
        <v>74</v>
      </c>
      <c r="BI721">
        <v>15</v>
      </c>
      <c r="BJ721" t="s">
        <v>405</v>
      </c>
      <c r="BK721" t="s">
        <v>156</v>
      </c>
      <c r="BL721" t="s">
        <v>405</v>
      </c>
      <c r="BM721" t="s">
        <v>13708</v>
      </c>
      <c r="BN721" t="s">
        <v>74</v>
      </c>
      <c r="BO721" t="s">
        <v>3487</v>
      </c>
      <c r="BP721" t="s">
        <v>74</v>
      </c>
      <c r="BQ721" t="s">
        <v>74</v>
      </c>
      <c r="BR721" t="s">
        <v>105</v>
      </c>
      <c r="BS721" t="s">
        <v>13760</v>
      </c>
      <c r="BT721" t="str">
        <f>HYPERLINK("https%3A%2F%2Fwww.webofscience.com%2Fwos%2Fwoscc%2Ffull-record%2FWOS:000383468500038","View Full Record in Web of Science")</f>
        <v>View Full Record in Web of Science</v>
      </c>
    </row>
    <row r="722" spans="1:72" x14ac:dyDescent="0.15">
      <c r="A722" t="s">
        <v>72</v>
      </c>
      <c r="B722" t="s">
        <v>13761</v>
      </c>
      <c r="C722" t="s">
        <v>74</v>
      </c>
      <c r="D722" t="s">
        <v>74</v>
      </c>
      <c r="E722" t="s">
        <v>74</v>
      </c>
      <c r="F722" t="s">
        <v>13762</v>
      </c>
      <c r="G722" t="s">
        <v>74</v>
      </c>
      <c r="H722" t="s">
        <v>74</v>
      </c>
      <c r="I722" t="s">
        <v>13763</v>
      </c>
      <c r="J722" t="s">
        <v>2292</v>
      </c>
      <c r="K722" t="s">
        <v>74</v>
      </c>
      <c r="L722" t="s">
        <v>74</v>
      </c>
      <c r="M722" t="s">
        <v>78</v>
      </c>
      <c r="N722" t="s">
        <v>79</v>
      </c>
      <c r="O722" t="s">
        <v>74</v>
      </c>
      <c r="P722" t="s">
        <v>74</v>
      </c>
      <c r="Q722" t="s">
        <v>74</v>
      </c>
      <c r="R722" t="s">
        <v>74</v>
      </c>
      <c r="S722" t="s">
        <v>74</v>
      </c>
      <c r="T722" t="s">
        <v>13764</v>
      </c>
      <c r="U722" t="s">
        <v>13765</v>
      </c>
      <c r="V722" t="s">
        <v>13766</v>
      </c>
      <c r="W722" t="s">
        <v>13767</v>
      </c>
      <c r="X722" t="s">
        <v>13768</v>
      </c>
      <c r="Y722" t="s">
        <v>13769</v>
      </c>
      <c r="Z722" t="s">
        <v>13770</v>
      </c>
      <c r="AA722" t="s">
        <v>13771</v>
      </c>
      <c r="AB722" t="s">
        <v>13772</v>
      </c>
      <c r="AC722" t="s">
        <v>13773</v>
      </c>
      <c r="AD722" t="s">
        <v>13774</v>
      </c>
      <c r="AE722" t="s">
        <v>13775</v>
      </c>
      <c r="AF722" t="s">
        <v>74</v>
      </c>
      <c r="AG722">
        <v>69</v>
      </c>
      <c r="AH722">
        <v>37</v>
      </c>
      <c r="AI722">
        <v>38</v>
      </c>
      <c r="AJ722">
        <v>0</v>
      </c>
      <c r="AK722">
        <v>16</v>
      </c>
      <c r="AL722" t="s">
        <v>149</v>
      </c>
      <c r="AM722" t="s">
        <v>123</v>
      </c>
      <c r="AN722" t="s">
        <v>150</v>
      </c>
      <c r="AO722" t="s">
        <v>2303</v>
      </c>
      <c r="AP722" t="s">
        <v>2304</v>
      </c>
      <c r="AQ722" t="s">
        <v>74</v>
      </c>
      <c r="AR722" t="s">
        <v>2305</v>
      </c>
      <c r="AS722" t="s">
        <v>2306</v>
      </c>
      <c r="AT722" t="s">
        <v>13423</v>
      </c>
      <c r="AU722">
        <v>2016</v>
      </c>
      <c r="AV722">
        <v>121</v>
      </c>
      <c r="AW722">
        <v>7</v>
      </c>
      <c r="AX722" t="s">
        <v>74</v>
      </c>
      <c r="AY722" t="s">
        <v>74</v>
      </c>
      <c r="AZ722" t="s">
        <v>74</v>
      </c>
      <c r="BA722" t="s">
        <v>74</v>
      </c>
      <c r="BB722">
        <v>6292</v>
      </c>
      <c r="BC722">
        <v>6306</v>
      </c>
      <c r="BD722" t="s">
        <v>74</v>
      </c>
      <c r="BE722" t="s">
        <v>13776</v>
      </c>
      <c r="BF722" t="str">
        <f>HYPERLINK("http://dx.doi.org/10.1002/2016JA022620","http://dx.doi.org/10.1002/2016JA022620")</f>
        <v>http://dx.doi.org/10.1002/2016JA022620</v>
      </c>
      <c r="BG722" t="s">
        <v>74</v>
      </c>
      <c r="BH722" t="s">
        <v>74</v>
      </c>
      <c r="BI722">
        <v>15</v>
      </c>
      <c r="BJ722" t="s">
        <v>748</v>
      </c>
      <c r="BK722" t="s">
        <v>156</v>
      </c>
      <c r="BL722" t="s">
        <v>748</v>
      </c>
      <c r="BM722" t="s">
        <v>13777</v>
      </c>
      <c r="BN722">
        <v>27656336</v>
      </c>
      <c r="BO722" t="s">
        <v>626</v>
      </c>
      <c r="BP722" t="s">
        <v>74</v>
      </c>
      <c r="BQ722" t="s">
        <v>74</v>
      </c>
      <c r="BR722" t="s">
        <v>105</v>
      </c>
      <c r="BS722" t="s">
        <v>13778</v>
      </c>
      <c r="BT722" t="str">
        <f>HYPERLINK("https%3A%2F%2Fwww.webofscience.com%2Fwos%2Fwoscc%2Ffull-record%2FWOS:000383422100020","View Full Record in Web of Science")</f>
        <v>View Full Record in Web of Science</v>
      </c>
    </row>
    <row r="723" spans="1:72" x14ac:dyDescent="0.15">
      <c r="A723" t="s">
        <v>72</v>
      </c>
      <c r="B723" t="s">
        <v>13779</v>
      </c>
      <c r="C723" t="s">
        <v>74</v>
      </c>
      <c r="D723" t="s">
        <v>74</v>
      </c>
      <c r="E723" t="s">
        <v>74</v>
      </c>
      <c r="F723" t="s">
        <v>13780</v>
      </c>
      <c r="G723" t="s">
        <v>74</v>
      </c>
      <c r="H723" t="s">
        <v>74</v>
      </c>
      <c r="I723" t="s">
        <v>13781</v>
      </c>
      <c r="J723" t="s">
        <v>2292</v>
      </c>
      <c r="K723" t="s">
        <v>74</v>
      </c>
      <c r="L723" t="s">
        <v>74</v>
      </c>
      <c r="M723" t="s">
        <v>78</v>
      </c>
      <c r="N723" t="s">
        <v>79</v>
      </c>
      <c r="O723" t="s">
        <v>74</v>
      </c>
      <c r="P723" t="s">
        <v>74</v>
      </c>
      <c r="Q723" t="s">
        <v>74</v>
      </c>
      <c r="R723" t="s">
        <v>74</v>
      </c>
      <c r="S723" t="s">
        <v>74</v>
      </c>
      <c r="T723" t="s">
        <v>13782</v>
      </c>
      <c r="U723" t="s">
        <v>13783</v>
      </c>
      <c r="V723" t="s">
        <v>13784</v>
      </c>
      <c r="W723" t="s">
        <v>13785</v>
      </c>
      <c r="X723" t="s">
        <v>13786</v>
      </c>
      <c r="Y723" t="s">
        <v>13787</v>
      </c>
      <c r="Z723" t="s">
        <v>13788</v>
      </c>
      <c r="AA723" t="s">
        <v>13789</v>
      </c>
      <c r="AB723" t="s">
        <v>13790</v>
      </c>
      <c r="AC723" t="s">
        <v>13791</v>
      </c>
      <c r="AD723" t="s">
        <v>13792</v>
      </c>
      <c r="AE723" t="s">
        <v>13793</v>
      </c>
      <c r="AF723" t="s">
        <v>74</v>
      </c>
      <c r="AG723">
        <v>45</v>
      </c>
      <c r="AH723">
        <v>33</v>
      </c>
      <c r="AI723">
        <v>35</v>
      </c>
      <c r="AJ723">
        <v>2</v>
      </c>
      <c r="AK723">
        <v>20</v>
      </c>
      <c r="AL723" t="s">
        <v>149</v>
      </c>
      <c r="AM723" t="s">
        <v>123</v>
      </c>
      <c r="AN723" t="s">
        <v>150</v>
      </c>
      <c r="AO723" t="s">
        <v>2303</v>
      </c>
      <c r="AP723" t="s">
        <v>2304</v>
      </c>
      <c r="AQ723" t="s">
        <v>74</v>
      </c>
      <c r="AR723" t="s">
        <v>2305</v>
      </c>
      <c r="AS723" t="s">
        <v>2306</v>
      </c>
      <c r="AT723" t="s">
        <v>13423</v>
      </c>
      <c r="AU723">
        <v>2016</v>
      </c>
      <c r="AV723">
        <v>121</v>
      </c>
      <c r="AW723">
        <v>7</v>
      </c>
      <c r="AX723" t="s">
        <v>74</v>
      </c>
      <c r="AY723" t="s">
        <v>74</v>
      </c>
      <c r="AZ723" t="s">
        <v>74</v>
      </c>
      <c r="BA723" t="s">
        <v>74</v>
      </c>
      <c r="BB723">
        <v>6914</v>
      </c>
      <c r="BC723">
        <v>6923</v>
      </c>
      <c r="BD723" t="s">
        <v>74</v>
      </c>
      <c r="BE723" t="s">
        <v>13794</v>
      </c>
      <c r="BF723" t="str">
        <f>HYPERLINK("http://dx.doi.org/10.1002/2016JA022923","http://dx.doi.org/10.1002/2016JA022923")</f>
        <v>http://dx.doi.org/10.1002/2016JA022923</v>
      </c>
      <c r="BG723" t="s">
        <v>74</v>
      </c>
      <c r="BH723" t="s">
        <v>74</v>
      </c>
      <c r="BI723">
        <v>10</v>
      </c>
      <c r="BJ723" t="s">
        <v>748</v>
      </c>
      <c r="BK723" t="s">
        <v>156</v>
      </c>
      <c r="BL723" t="s">
        <v>748</v>
      </c>
      <c r="BM723" t="s">
        <v>13777</v>
      </c>
      <c r="BN723" t="s">
        <v>74</v>
      </c>
      <c r="BO723" t="s">
        <v>74</v>
      </c>
      <c r="BP723" t="s">
        <v>74</v>
      </c>
      <c r="BQ723" t="s">
        <v>74</v>
      </c>
      <c r="BR723" t="s">
        <v>105</v>
      </c>
      <c r="BS723" t="s">
        <v>13795</v>
      </c>
      <c r="BT723" t="str">
        <f>HYPERLINK("https%3A%2F%2Fwww.webofscience.com%2Fwos%2Fwoscc%2Ffull-record%2FWOS:000383422100064","View Full Record in Web of Science")</f>
        <v>View Full Record in Web of Science</v>
      </c>
    </row>
    <row r="724" spans="1:72" x14ac:dyDescent="0.15">
      <c r="A724" t="s">
        <v>72</v>
      </c>
      <c r="B724" t="s">
        <v>13796</v>
      </c>
      <c r="C724" t="s">
        <v>74</v>
      </c>
      <c r="D724" t="s">
        <v>74</v>
      </c>
      <c r="E724" t="s">
        <v>74</v>
      </c>
      <c r="F724" t="s">
        <v>13797</v>
      </c>
      <c r="G724" t="s">
        <v>74</v>
      </c>
      <c r="H724" t="s">
        <v>74</v>
      </c>
      <c r="I724" t="s">
        <v>13798</v>
      </c>
      <c r="J724" t="s">
        <v>2292</v>
      </c>
      <c r="K724" t="s">
        <v>74</v>
      </c>
      <c r="L724" t="s">
        <v>74</v>
      </c>
      <c r="M724" t="s">
        <v>78</v>
      </c>
      <c r="N724" t="s">
        <v>79</v>
      </c>
      <c r="O724" t="s">
        <v>74</v>
      </c>
      <c r="P724" t="s">
        <v>74</v>
      </c>
      <c r="Q724" t="s">
        <v>74</v>
      </c>
      <c r="R724" t="s">
        <v>74</v>
      </c>
      <c r="S724" t="s">
        <v>74</v>
      </c>
      <c r="T724" t="s">
        <v>13799</v>
      </c>
      <c r="U724" t="s">
        <v>13800</v>
      </c>
      <c r="V724" t="s">
        <v>13801</v>
      </c>
      <c r="W724" t="s">
        <v>13802</v>
      </c>
      <c r="X724" t="s">
        <v>13803</v>
      </c>
      <c r="Y724" t="s">
        <v>13804</v>
      </c>
      <c r="Z724" t="s">
        <v>13805</v>
      </c>
      <c r="AA724" t="s">
        <v>13806</v>
      </c>
      <c r="AB724" t="s">
        <v>13807</v>
      </c>
      <c r="AC724" t="s">
        <v>13808</v>
      </c>
      <c r="AD724" t="s">
        <v>13809</v>
      </c>
      <c r="AE724" t="s">
        <v>13810</v>
      </c>
      <c r="AF724" t="s">
        <v>74</v>
      </c>
      <c r="AG724">
        <v>76</v>
      </c>
      <c r="AH724">
        <v>55</v>
      </c>
      <c r="AI724">
        <v>59</v>
      </c>
      <c r="AJ724">
        <v>1</v>
      </c>
      <c r="AK724">
        <v>15</v>
      </c>
      <c r="AL724" t="s">
        <v>149</v>
      </c>
      <c r="AM724" t="s">
        <v>123</v>
      </c>
      <c r="AN724" t="s">
        <v>150</v>
      </c>
      <c r="AO724" t="s">
        <v>2303</v>
      </c>
      <c r="AP724" t="s">
        <v>2304</v>
      </c>
      <c r="AQ724" t="s">
        <v>74</v>
      </c>
      <c r="AR724" t="s">
        <v>2305</v>
      </c>
      <c r="AS724" t="s">
        <v>2306</v>
      </c>
      <c r="AT724" t="s">
        <v>13423</v>
      </c>
      <c r="AU724">
        <v>2016</v>
      </c>
      <c r="AV724">
        <v>121</v>
      </c>
      <c r="AW724">
        <v>7</v>
      </c>
      <c r="AX724" t="s">
        <v>74</v>
      </c>
      <c r="AY724" t="s">
        <v>74</v>
      </c>
      <c r="AZ724" t="s">
        <v>74</v>
      </c>
      <c r="BA724" t="s">
        <v>74</v>
      </c>
      <c r="BB724">
        <v>7108</v>
      </c>
      <c r="BC724">
        <v>7124</v>
      </c>
      <c r="BD724" t="s">
        <v>74</v>
      </c>
      <c r="BE724" t="s">
        <v>13811</v>
      </c>
      <c r="BF724" t="str">
        <f>HYPERLINK("http://dx.doi.org/10.1002/2015JA022294","http://dx.doi.org/10.1002/2015JA022294")</f>
        <v>http://dx.doi.org/10.1002/2015JA022294</v>
      </c>
      <c r="BG724" t="s">
        <v>74</v>
      </c>
      <c r="BH724" t="s">
        <v>74</v>
      </c>
      <c r="BI724">
        <v>17</v>
      </c>
      <c r="BJ724" t="s">
        <v>748</v>
      </c>
      <c r="BK724" t="s">
        <v>156</v>
      </c>
      <c r="BL724" t="s">
        <v>748</v>
      </c>
      <c r="BM724" t="s">
        <v>13777</v>
      </c>
      <c r="BN724" t="s">
        <v>74</v>
      </c>
      <c r="BO724" t="s">
        <v>2462</v>
      </c>
      <c r="BP724" t="s">
        <v>74</v>
      </c>
      <c r="BQ724" t="s">
        <v>74</v>
      </c>
      <c r="BR724" t="s">
        <v>105</v>
      </c>
      <c r="BS724" t="s">
        <v>13812</v>
      </c>
      <c r="BT724" t="str">
        <f>HYPERLINK("https%3A%2F%2Fwww.webofscience.com%2Fwos%2Fwoscc%2Ffull-record%2FWOS:000383422100076","View Full Record in Web of Science")</f>
        <v>View Full Record in Web of Science</v>
      </c>
    </row>
    <row r="725" spans="1:72" x14ac:dyDescent="0.15">
      <c r="A725" t="s">
        <v>72</v>
      </c>
      <c r="B725" t="s">
        <v>13813</v>
      </c>
      <c r="C725" t="s">
        <v>74</v>
      </c>
      <c r="D725" t="s">
        <v>74</v>
      </c>
      <c r="E725" t="s">
        <v>74</v>
      </c>
      <c r="F725" t="s">
        <v>13814</v>
      </c>
      <c r="G725" t="s">
        <v>74</v>
      </c>
      <c r="H725" t="s">
        <v>74</v>
      </c>
      <c r="I725" t="s">
        <v>13815</v>
      </c>
      <c r="J725" t="s">
        <v>2292</v>
      </c>
      <c r="K725" t="s">
        <v>74</v>
      </c>
      <c r="L725" t="s">
        <v>74</v>
      </c>
      <c r="M725" t="s">
        <v>78</v>
      </c>
      <c r="N725" t="s">
        <v>79</v>
      </c>
      <c r="O725" t="s">
        <v>74</v>
      </c>
      <c r="P725" t="s">
        <v>74</v>
      </c>
      <c r="Q725" t="s">
        <v>74</v>
      </c>
      <c r="R725" t="s">
        <v>74</v>
      </c>
      <c r="S725" t="s">
        <v>74</v>
      </c>
      <c r="T725" t="s">
        <v>13816</v>
      </c>
      <c r="U725" t="s">
        <v>13817</v>
      </c>
      <c r="V725" t="s">
        <v>13818</v>
      </c>
      <c r="W725" t="s">
        <v>13819</v>
      </c>
      <c r="X725" t="s">
        <v>13820</v>
      </c>
      <c r="Y725" t="s">
        <v>13821</v>
      </c>
      <c r="Z725" t="s">
        <v>13822</v>
      </c>
      <c r="AA725" t="s">
        <v>74</v>
      </c>
      <c r="AB725" t="s">
        <v>13823</v>
      </c>
      <c r="AC725" t="s">
        <v>13824</v>
      </c>
      <c r="AD725" t="s">
        <v>13825</v>
      </c>
      <c r="AE725" t="s">
        <v>13826</v>
      </c>
      <c r="AF725" t="s">
        <v>74</v>
      </c>
      <c r="AG725">
        <v>31</v>
      </c>
      <c r="AH725">
        <v>3</v>
      </c>
      <c r="AI725">
        <v>3</v>
      </c>
      <c r="AJ725">
        <v>0</v>
      </c>
      <c r="AK725">
        <v>3</v>
      </c>
      <c r="AL725" t="s">
        <v>149</v>
      </c>
      <c r="AM725" t="s">
        <v>123</v>
      </c>
      <c r="AN725" t="s">
        <v>150</v>
      </c>
      <c r="AO725" t="s">
        <v>2303</v>
      </c>
      <c r="AP725" t="s">
        <v>2304</v>
      </c>
      <c r="AQ725" t="s">
        <v>74</v>
      </c>
      <c r="AR725" t="s">
        <v>2305</v>
      </c>
      <c r="AS725" t="s">
        <v>2306</v>
      </c>
      <c r="AT725" t="s">
        <v>13423</v>
      </c>
      <c r="AU725">
        <v>2016</v>
      </c>
      <c r="AV725">
        <v>121</v>
      </c>
      <c r="AW725">
        <v>7</v>
      </c>
      <c r="AX725" t="s">
        <v>74</v>
      </c>
      <c r="AY725" t="s">
        <v>74</v>
      </c>
      <c r="AZ725" t="s">
        <v>74</v>
      </c>
      <c r="BA725" t="s">
        <v>74</v>
      </c>
      <c r="BB725">
        <v>7334</v>
      </c>
      <c r="BC725">
        <v>7343</v>
      </c>
      <c r="BD725" t="s">
        <v>74</v>
      </c>
      <c r="BE725" t="s">
        <v>13827</v>
      </c>
      <c r="BF725" t="str">
        <f>HYPERLINK("http://dx.doi.org/10.1002/2016JA022441","http://dx.doi.org/10.1002/2016JA022441")</f>
        <v>http://dx.doi.org/10.1002/2016JA022441</v>
      </c>
      <c r="BG725" t="s">
        <v>74</v>
      </c>
      <c r="BH725" t="s">
        <v>74</v>
      </c>
      <c r="BI725">
        <v>10</v>
      </c>
      <c r="BJ725" t="s">
        <v>748</v>
      </c>
      <c r="BK725" t="s">
        <v>156</v>
      </c>
      <c r="BL725" t="s">
        <v>748</v>
      </c>
      <c r="BM725" t="s">
        <v>13777</v>
      </c>
      <c r="BN725" t="s">
        <v>74</v>
      </c>
      <c r="BO725" t="s">
        <v>258</v>
      </c>
      <c r="BP725" t="s">
        <v>74</v>
      </c>
      <c r="BQ725" t="s">
        <v>74</v>
      </c>
      <c r="BR725" t="s">
        <v>105</v>
      </c>
      <c r="BS725" t="s">
        <v>13828</v>
      </c>
      <c r="BT725" t="str">
        <f>HYPERLINK("https%3A%2F%2Fwww.webofscience.com%2Fwos%2Fwoscc%2Ffull-record%2FWOS:000383422100093","View Full Record in Web of Science")</f>
        <v>View Full Record in Web of Science</v>
      </c>
    </row>
    <row r="726" spans="1:72" x14ac:dyDescent="0.15">
      <c r="A726" t="s">
        <v>72</v>
      </c>
      <c r="B726" t="s">
        <v>13829</v>
      </c>
      <c r="C726" t="s">
        <v>74</v>
      </c>
      <c r="D726" t="s">
        <v>74</v>
      </c>
      <c r="E726" t="s">
        <v>74</v>
      </c>
      <c r="F726" t="s">
        <v>13830</v>
      </c>
      <c r="G726" t="s">
        <v>74</v>
      </c>
      <c r="H726" t="s">
        <v>74</v>
      </c>
      <c r="I726" t="s">
        <v>13831</v>
      </c>
      <c r="J726" t="s">
        <v>13832</v>
      </c>
      <c r="K726" t="s">
        <v>74</v>
      </c>
      <c r="L726" t="s">
        <v>74</v>
      </c>
      <c r="M726" t="s">
        <v>78</v>
      </c>
      <c r="N726" t="s">
        <v>79</v>
      </c>
      <c r="O726" t="s">
        <v>74</v>
      </c>
      <c r="P726" t="s">
        <v>74</v>
      </c>
      <c r="Q726" t="s">
        <v>74</v>
      </c>
      <c r="R726" t="s">
        <v>74</v>
      </c>
      <c r="S726" t="s">
        <v>74</v>
      </c>
      <c r="T726" t="s">
        <v>13833</v>
      </c>
      <c r="U726" t="s">
        <v>13834</v>
      </c>
      <c r="V726" t="s">
        <v>13835</v>
      </c>
      <c r="W726" t="s">
        <v>13836</v>
      </c>
      <c r="X726" t="s">
        <v>13837</v>
      </c>
      <c r="Y726" t="s">
        <v>13838</v>
      </c>
      <c r="Z726" t="s">
        <v>13839</v>
      </c>
      <c r="AA726" t="s">
        <v>13840</v>
      </c>
      <c r="AB726" t="s">
        <v>13841</v>
      </c>
      <c r="AC726" t="s">
        <v>13842</v>
      </c>
      <c r="AD726" t="s">
        <v>13843</v>
      </c>
      <c r="AE726" t="s">
        <v>13844</v>
      </c>
      <c r="AF726" t="s">
        <v>74</v>
      </c>
      <c r="AG726">
        <v>185</v>
      </c>
      <c r="AH726">
        <v>12</v>
      </c>
      <c r="AI726">
        <v>12</v>
      </c>
      <c r="AJ726">
        <v>0</v>
      </c>
      <c r="AK726">
        <v>5</v>
      </c>
      <c r="AL726" t="s">
        <v>2501</v>
      </c>
      <c r="AM726" t="s">
        <v>304</v>
      </c>
      <c r="AN726" t="s">
        <v>2502</v>
      </c>
      <c r="AO726" t="s">
        <v>13845</v>
      </c>
      <c r="AP726" t="s">
        <v>13846</v>
      </c>
      <c r="AQ726" t="s">
        <v>74</v>
      </c>
      <c r="AR726" t="s">
        <v>13847</v>
      </c>
      <c r="AS726" t="s">
        <v>13848</v>
      </c>
      <c r="AT726" t="s">
        <v>13423</v>
      </c>
      <c r="AU726">
        <v>2016</v>
      </c>
      <c r="AV726">
        <v>57</v>
      </c>
      <c r="AW726">
        <v>7</v>
      </c>
      <c r="AX726" t="s">
        <v>74</v>
      </c>
      <c r="AY726" t="s">
        <v>74</v>
      </c>
      <c r="AZ726" t="s">
        <v>74</v>
      </c>
      <c r="BA726" t="s">
        <v>74</v>
      </c>
      <c r="BB726">
        <v>1409</v>
      </c>
      <c r="BC726">
        <v>1436</v>
      </c>
      <c r="BD726" t="s">
        <v>74</v>
      </c>
      <c r="BE726" t="s">
        <v>13849</v>
      </c>
      <c r="BF726" t="str">
        <f>HYPERLINK("http://dx.doi.org/10.1093/petrology/egw045","http://dx.doi.org/10.1093/petrology/egw045")</f>
        <v>http://dx.doi.org/10.1093/petrology/egw045</v>
      </c>
      <c r="BG726" t="s">
        <v>74</v>
      </c>
      <c r="BH726" t="s">
        <v>74</v>
      </c>
      <c r="BI726">
        <v>28</v>
      </c>
      <c r="BJ726" t="s">
        <v>155</v>
      </c>
      <c r="BK726" t="s">
        <v>156</v>
      </c>
      <c r="BL726" t="s">
        <v>155</v>
      </c>
      <c r="BM726" t="s">
        <v>13850</v>
      </c>
      <c r="BN726" t="s">
        <v>74</v>
      </c>
      <c r="BO726" t="s">
        <v>258</v>
      </c>
      <c r="BP726" t="s">
        <v>74</v>
      </c>
      <c r="BQ726" t="s">
        <v>74</v>
      </c>
      <c r="BR726" t="s">
        <v>105</v>
      </c>
      <c r="BS726" t="s">
        <v>13851</v>
      </c>
      <c r="BT726" t="str">
        <f>HYPERLINK("https%3A%2F%2Fwww.webofscience.com%2Fwos%2Fwoscc%2Ffull-record%2FWOS:000383734100007","View Full Record in Web of Science")</f>
        <v>View Full Record in Web of Science</v>
      </c>
    </row>
    <row r="727" spans="1:72" x14ac:dyDescent="0.15">
      <c r="A727" t="s">
        <v>72</v>
      </c>
      <c r="B727" t="s">
        <v>13852</v>
      </c>
      <c r="C727" t="s">
        <v>74</v>
      </c>
      <c r="D727" t="s">
        <v>74</v>
      </c>
      <c r="E727" t="s">
        <v>74</v>
      </c>
      <c r="F727" t="s">
        <v>13853</v>
      </c>
      <c r="G727" t="s">
        <v>74</v>
      </c>
      <c r="H727" t="s">
        <v>74</v>
      </c>
      <c r="I727" t="s">
        <v>13854</v>
      </c>
      <c r="J727" t="s">
        <v>13855</v>
      </c>
      <c r="K727" t="s">
        <v>74</v>
      </c>
      <c r="L727" t="s">
        <v>74</v>
      </c>
      <c r="M727" t="s">
        <v>78</v>
      </c>
      <c r="N727" t="s">
        <v>79</v>
      </c>
      <c r="O727" t="s">
        <v>74</v>
      </c>
      <c r="P727" t="s">
        <v>74</v>
      </c>
      <c r="Q727" t="s">
        <v>74</v>
      </c>
      <c r="R727" t="s">
        <v>74</v>
      </c>
      <c r="S727" t="s">
        <v>74</v>
      </c>
      <c r="T727" t="s">
        <v>74</v>
      </c>
      <c r="U727" t="s">
        <v>13856</v>
      </c>
      <c r="V727" t="s">
        <v>13857</v>
      </c>
      <c r="W727" t="s">
        <v>13858</v>
      </c>
      <c r="X727" t="s">
        <v>2471</v>
      </c>
      <c r="Y727" t="s">
        <v>13859</v>
      </c>
      <c r="Z727" t="s">
        <v>13860</v>
      </c>
      <c r="AA727" t="s">
        <v>74</v>
      </c>
      <c r="AB727" t="s">
        <v>74</v>
      </c>
      <c r="AC727" t="s">
        <v>74</v>
      </c>
      <c r="AD727" t="s">
        <v>74</v>
      </c>
      <c r="AE727" t="s">
        <v>74</v>
      </c>
      <c r="AF727" t="s">
        <v>74</v>
      </c>
      <c r="AG727">
        <v>19</v>
      </c>
      <c r="AH727">
        <v>3</v>
      </c>
      <c r="AI727">
        <v>4</v>
      </c>
      <c r="AJ727">
        <v>0</v>
      </c>
      <c r="AK727">
        <v>3</v>
      </c>
      <c r="AL727" t="s">
        <v>6053</v>
      </c>
      <c r="AM727" t="s">
        <v>594</v>
      </c>
      <c r="AN727" t="s">
        <v>6054</v>
      </c>
      <c r="AO727" t="s">
        <v>13861</v>
      </c>
      <c r="AP727" t="s">
        <v>13862</v>
      </c>
      <c r="AQ727" t="s">
        <v>74</v>
      </c>
      <c r="AR727" t="s">
        <v>13863</v>
      </c>
      <c r="AS727" t="s">
        <v>13864</v>
      </c>
      <c r="AT727" t="s">
        <v>13423</v>
      </c>
      <c r="AU727">
        <v>2016</v>
      </c>
      <c r="AV727">
        <v>56</v>
      </c>
      <c r="AW727">
        <v>4</v>
      </c>
      <c r="AX727" t="s">
        <v>74</v>
      </c>
      <c r="AY727" t="s">
        <v>74</v>
      </c>
      <c r="AZ727" t="s">
        <v>74</v>
      </c>
      <c r="BA727" t="s">
        <v>74</v>
      </c>
      <c r="BB727">
        <v>470</v>
      </c>
      <c r="BC727">
        <v>482</v>
      </c>
      <c r="BD727" t="s">
        <v>74</v>
      </c>
      <c r="BE727" t="s">
        <v>13865</v>
      </c>
      <c r="BF727" t="str">
        <f>HYPERLINK("http://dx.doi.org/10.1134/S0001437016030085","http://dx.doi.org/10.1134/S0001437016030085")</f>
        <v>http://dx.doi.org/10.1134/S0001437016030085</v>
      </c>
      <c r="BG727" t="s">
        <v>74</v>
      </c>
      <c r="BH727" t="s">
        <v>74</v>
      </c>
      <c r="BI727">
        <v>13</v>
      </c>
      <c r="BJ727" t="s">
        <v>405</v>
      </c>
      <c r="BK727" t="s">
        <v>156</v>
      </c>
      <c r="BL727" t="s">
        <v>405</v>
      </c>
      <c r="BM727" t="s">
        <v>13866</v>
      </c>
      <c r="BN727" t="s">
        <v>74</v>
      </c>
      <c r="BO727" t="s">
        <v>74</v>
      </c>
      <c r="BP727" t="s">
        <v>74</v>
      </c>
      <c r="BQ727" t="s">
        <v>74</v>
      </c>
      <c r="BR727" t="s">
        <v>105</v>
      </c>
      <c r="BS727" t="s">
        <v>13867</v>
      </c>
      <c r="BT727" t="str">
        <f>HYPERLINK("https%3A%2F%2Fwww.webofscience.com%2Fwos%2Fwoscc%2Ffull-record%2FWOS:000383355300002","View Full Record in Web of Science")</f>
        <v>View Full Record in Web of Science</v>
      </c>
    </row>
    <row r="728" spans="1:72" x14ac:dyDescent="0.15">
      <c r="A728" t="s">
        <v>72</v>
      </c>
      <c r="B728" t="s">
        <v>13868</v>
      </c>
      <c r="C728" t="s">
        <v>74</v>
      </c>
      <c r="D728" t="s">
        <v>74</v>
      </c>
      <c r="E728" t="s">
        <v>74</v>
      </c>
      <c r="F728" t="s">
        <v>13869</v>
      </c>
      <c r="G728" t="s">
        <v>74</v>
      </c>
      <c r="H728" t="s">
        <v>74</v>
      </c>
      <c r="I728" t="s">
        <v>13870</v>
      </c>
      <c r="J728" t="s">
        <v>138</v>
      </c>
      <c r="K728" t="s">
        <v>74</v>
      </c>
      <c r="L728" t="s">
        <v>74</v>
      </c>
      <c r="M728" t="s">
        <v>78</v>
      </c>
      <c r="N728" t="s">
        <v>79</v>
      </c>
      <c r="O728" t="s">
        <v>74</v>
      </c>
      <c r="P728" t="s">
        <v>74</v>
      </c>
      <c r="Q728" t="s">
        <v>74</v>
      </c>
      <c r="R728" t="s">
        <v>74</v>
      </c>
      <c r="S728" t="s">
        <v>74</v>
      </c>
      <c r="T728" t="s">
        <v>13871</v>
      </c>
      <c r="U728" t="s">
        <v>13872</v>
      </c>
      <c r="V728" t="s">
        <v>13873</v>
      </c>
      <c r="W728" t="s">
        <v>13874</v>
      </c>
      <c r="X728" t="s">
        <v>13875</v>
      </c>
      <c r="Y728" t="s">
        <v>13876</v>
      </c>
      <c r="Z728" t="s">
        <v>13877</v>
      </c>
      <c r="AA728" t="s">
        <v>74</v>
      </c>
      <c r="AB728" t="s">
        <v>13878</v>
      </c>
      <c r="AC728" t="s">
        <v>13879</v>
      </c>
      <c r="AD728" t="s">
        <v>13880</v>
      </c>
      <c r="AE728" t="s">
        <v>13881</v>
      </c>
      <c r="AF728" t="s">
        <v>74</v>
      </c>
      <c r="AG728">
        <v>79</v>
      </c>
      <c r="AH728">
        <v>12</v>
      </c>
      <c r="AI728">
        <v>14</v>
      </c>
      <c r="AJ728">
        <v>0</v>
      </c>
      <c r="AK728">
        <v>17</v>
      </c>
      <c r="AL728" t="s">
        <v>149</v>
      </c>
      <c r="AM728" t="s">
        <v>123</v>
      </c>
      <c r="AN728" t="s">
        <v>150</v>
      </c>
      <c r="AO728" t="s">
        <v>74</v>
      </c>
      <c r="AP728" t="s">
        <v>151</v>
      </c>
      <c r="AQ728" t="s">
        <v>74</v>
      </c>
      <c r="AR728" t="s">
        <v>152</v>
      </c>
      <c r="AS728" t="s">
        <v>153</v>
      </c>
      <c r="AT728" t="s">
        <v>13423</v>
      </c>
      <c r="AU728">
        <v>2016</v>
      </c>
      <c r="AV728">
        <v>17</v>
      </c>
      <c r="AW728">
        <v>7</v>
      </c>
      <c r="AX728" t="s">
        <v>74</v>
      </c>
      <c r="AY728" t="s">
        <v>74</v>
      </c>
      <c r="AZ728" t="s">
        <v>74</v>
      </c>
      <c r="BA728" t="s">
        <v>74</v>
      </c>
      <c r="BB728">
        <v>2762</v>
      </c>
      <c r="BC728">
        <v>2780</v>
      </c>
      <c r="BD728" t="s">
        <v>74</v>
      </c>
      <c r="BE728" t="s">
        <v>13882</v>
      </c>
      <c r="BF728" t="str">
        <f>HYPERLINK("http://dx.doi.org/10.1002/2015GC005941","http://dx.doi.org/10.1002/2015GC005941")</f>
        <v>http://dx.doi.org/10.1002/2015GC005941</v>
      </c>
      <c r="BG728" t="s">
        <v>74</v>
      </c>
      <c r="BH728" t="s">
        <v>74</v>
      </c>
      <c r="BI728">
        <v>19</v>
      </c>
      <c r="BJ728" t="s">
        <v>155</v>
      </c>
      <c r="BK728" t="s">
        <v>156</v>
      </c>
      <c r="BL728" t="s">
        <v>155</v>
      </c>
      <c r="BM728" t="s">
        <v>13883</v>
      </c>
      <c r="BN728" t="s">
        <v>74</v>
      </c>
      <c r="BO728" t="s">
        <v>74</v>
      </c>
      <c r="BP728" t="s">
        <v>74</v>
      </c>
      <c r="BQ728" t="s">
        <v>74</v>
      </c>
      <c r="BR728" t="s">
        <v>105</v>
      </c>
      <c r="BS728" t="s">
        <v>13884</v>
      </c>
      <c r="BT728" t="str">
        <f>HYPERLINK("https%3A%2F%2Fwww.webofscience.com%2Fwos%2Fwoscc%2Ffull-record%2FWOS:000382940000017","View Full Record in Web of Science")</f>
        <v>View Full Record in Web of Science</v>
      </c>
    </row>
    <row r="729" spans="1:72" x14ac:dyDescent="0.15">
      <c r="A729" t="s">
        <v>72</v>
      </c>
      <c r="B729" t="s">
        <v>13885</v>
      </c>
      <c r="C729" t="s">
        <v>74</v>
      </c>
      <c r="D729" t="s">
        <v>74</v>
      </c>
      <c r="E729" t="s">
        <v>74</v>
      </c>
      <c r="F729" t="s">
        <v>13886</v>
      </c>
      <c r="G729" t="s">
        <v>74</v>
      </c>
      <c r="H729" t="s">
        <v>74</v>
      </c>
      <c r="I729" t="s">
        <v>13887</v>
      </c>
      <c r="J729" t="s">
        <v>237</v>
      </c>
      <c r="K729" t="s">
        <v>74</v>
      </c>
      <c r="L729" t="s">
        <v>74</v>
      </c>
      <c r="M729" t="s">
        <v>78</v>
      </c>
      <c r="N729" t="s">
        <v>79</v>
      </c>
      <c r="O729" t="s">
        <v>74</v>
      </c>
      <c r="P729" t="s">
        <v>74</v>
      </c>
      <c r="Q729" t="s">
        <v>74</v>
      </c>
      <c r="R729" t="s">
        <v>74</v>
      </c>
      <c r="S729" t="s">
        <v>74</v>
      </c>
      <c r="T729" t="s">
        <v>74</v>
      </c>
      <c r="U729" t="s">
        <v>13888</v>
      </c>
      <c r="V729" t="s">
        <v>13889</v>
      </c>
      <c r="W729" t="s">
        <v>13890</v>
      </c>
      <c r="X729" t="s">
        <v>13891</v>
      </c>
      <c r="Y729" t="s">
        <v>13892</v>
      </c>
      <c r="Z729" t="s">
        <v>13893</v>
      </c>
      <c r="AA729" t="s">
        <v>13894</v>
      </c>
      <c r="AB729" t="s">
        <v>13895</v>
      </c>
      <c r="AC729" t="s">
        <v>13896</v>
      </c>
      <c r="AD729" t="s">
        <v>13897</v>
      </c>
      <c r="AE729" t="s">
        <v>13898</v>
      </c>
      <c r="AF729" t="s">
        <v>74</v>
      </c>
      <c r="AG729">
        <v>46</v>
      </c>
      <c r="AH729">
        <v>6</v>
      </c>
      <c r="AI729">
        <v>7</v>
      </c>
      <c r="AJ729">
        <v>0</v>
      </c>
      <c r="AK729">
        <v>11</v>
      </c>
      <c r="AL729" t="s">
        <v>249</v>
      </c>
      <c r="AM729" t="s">
        <v>250</v>
      </c>
      <c r="AN729" t="s">
        <v>251</v>
      </c>
      <c r="AO729" t="s">
        <v>252</v>
      </c>
      <c r="AP729" t="s">
        <v>253</v>
      </c>
      <c r="AQ729" t="s">
        <v>74</v>
      </c>
      <c r="AR729" t="s">
        <v>254</v>
      </c>
      <c r="AS729" t="s">
        <v>255</v>
      </c>
      <c r="AT729" t="s">
        <v>13423</v>
      </c>
      <c r="AU729">
        <v>2016</v>
      </c>
      <c r="AV729">
        <v>66</v>
      </c>
      <c r="AW729" t="s">
        <v>74</v>
      </c>
      <c r="AX729">
        <v>7</v>
      </c>
      <c r="AY729" t="s">
        <v>74</v>
      </c>
      <c r="AZ729" t="s">
        <v>74</v>
      </c>
      <c r="BA729" t="s">
        <v>74</v>
      </c>
      <c r="BB729">
        <v>2657</v>
      </c>
      <c r="BC729">
        <v>2663</v>
      </c>
      <c r="BD729" t="s">
        <v>74</v>
      </c>
      <c r="BE729" t="s">
        <v>13899</v>
      </c>
      <c r="BF729" t="str">
        <f>HYPERLINK("http://dx.doi.org/10.1099/ijsem.0.001101","http://dx.doi.org/10.1099/ijsem.0.001101")</f>
        <v>http://dx.doi.org/10.1099/ijsem.0.001101</v>
      </c>
      <c r="BG729" t="s">
        <v>74</v>
      </c>
      <c r="BH729" t="s">
        <v>74</v>
      </c>
      <c r="BI729">
        <v>7</v>
      </c>
      <c r="BJ729" t="s">
        <v>130</v>
      </c>
      <c r="BK729" t="s">
        <v>156</v>
      </c>
      <c r="BL729" t="s">
        <v>130</v>
      </c>
      <c r="BM729" t="s">
        <v>13900</v>
      </c>
      <c r="BN729">
        <v>29144229</v>
      </c>
      <c r="BO729" t="s">
        <v>258</v>
      </c>
      <c r="BP729" t="s">
        <v>74</v>
      </c>
      <c r="BQ729" t="s">
        <v>74</v>
      </c>
      <c r="BR729" t="s">
        <v>105</v>
      </c>
      <c r="BS729" t="s">
        <v>13901</v>
      </c>
      <c r="BT729" t="str">
        <f>HYPERLINK("https%3A%2F%2Fwww.webofscience.com%2Fwos%2Fwoscc%2Ffull-record%2FWOS:000382905000030","View Full Record in Web of Science")</f>
        <v>View Full Record in Web of Science</v>
      </c>
    </row>
    <row r="730" spans="1:72" x14ac:dyDescent="0.15">
      <c r="A730" t="s">
        <v>72</v>
      </c>
      <c r="B730" t="s">
        <v>13902</v>
      </c>
      <c r="C730" t="s">
        <v>74</v>
      </c>
      <c r="D730" t="s">
        <v>74</v>
      </c>
      <c r="E730" t="s">
        <v>74</v>
      </c>
      <c r="F730" t="s">
        <v>13903</v>
      </c>
      <c r="G730" t="s">
        <v>74</v>
      </c>
      <c r="H730" t="s">
        <v>74</v>
      </c>
      <c r="I730" t="s">
        <v>13904</v>
      </c>
      <c r="J730" t="s">
        <v>3970</v>
      </c>
      <c r="K730" t="s">
        <v>74</v>
      </c>
      <c r="L730" t="s">
        <v>74</v>
      </c>
      <c r="M730" t="s">
        <v>78</v>
      </c>
      <c r="N730" t="s">
        <v>79</v>
      </c>
      <c r="O730" t="s">
        <v>74</v>
      </c>
      <c r="P730" t="s">
        <v>74</v>
      </c>
      <c r="Q730" t="s">
        <v>74</v>
      </c>
      <c r="R730" t="s">
        <v>74</v>
      </c>
      <c r="S730" t="s">
        <v>74</v>
      </c>
      <c r="T730" t="s">
        <v>13905</v>
      </c>
      <c r="U730" t="s">
        <v>13906</v>
      </c>
      <c r="V730" t="s">
        <v>13907</v>
      </c>
      <c r="W730" t="s">
        <v>13908</v>
      </c>
      <c r="X730" t="s">
        <v>13909</v>
      </c>
      <c r="Y730" t="s">
        <v>13910</v>
      </c>
      <c r="Z730" t="s">
        <v>13911</v>
      </c>
      <c r="AA730" t="s">
        <v>13912</v>
      </c>
      <c r="AB730" t="s">
        <v>13913</v>
      </c>
      <c r="AC730" t="s">
        <v>13914</v>
      </c>
      <c r="AD730" t="s">
        <v>13914</v>
      </c>
      <c r="AE730" t="s">
        <v>13915</v>
      </c>
      <c r="AF730" t="s">
        <v>74</v>
      </c>
      <c r="AG730">
        <v>61</v>
      </c>
      <c r="AH730">
        <v>11</v>
      </c>
      <c r="AI730">
        <v>11</v>
      </c>
      <c r="AJ730">
        <v>1</v>
      </c>
      <c r="AK730">
        <v>25</v>
      </c>
      <c r="AL730" t="s">
        <v>449</v>
      </c>
      <c r="AM730" t="s">
        <v>450</v>
      </c>
      <c r="AN730" t="s">
        <v>451</v>
      </c>
      <c r="AO730" t="s">
        <v>3983</v>
      </c>
      <c r="AP730" t="s">
        <v>3984</v>
      </c>
      <c r="AQ730" t="s">
        <v>74</v>
      </c>
      <c r="AR730" t="s">
        <v>3985</v>
      </c>
      <c r="AS730" t="s">
        <v>3986</v>
      </c>
      <c r="AT730" t="s">
        <v>13423</v>
      </c>
      <c r="AU730">
        <v>2016</v>
      </c>
      <c r="AV730">
        <v>157</v>
      </c>
      <c r="AW730">
        <v>3</v>
      </c>
      <c r="AX730" t="s">
        <v>74</v>
      </c>
      <c r="AY730" t="s">
        <v>74</v>
      </c>
      <c r="AZ730" t="s">
        <v>74</v>
      </c>
      <c r="BA730" t="s">
        <v>74</v>
      </c>
      <c r="BB730">
        <v>861</v>
      </c>
      <c r="BC730">
        <v>873</v>
      </c>
      <c r="BD730" t="s">
        <v>74</v>
      </c>
      <c r="BE730" t="s">
        <v>13916</v>
      </c>
      <c r="BF730" t="str">
        <f>HYPERLINK("http://dx.doi.org/10.1007/s10336-016-1328-4","http://dx.doi.org/10.1007/s10336-016-1328-4")</f>
        <v>http://dx.doi.org/10.1007/s10336-016-1328-4</v>
      </c>
      <c r="BG730" t="s">
        <v>74</v>
      </c>
      <c r="BH730" t="s">
        <v>74</v>
      </c>
      <c r="BI730">
        <v>13</v>
      </c>
      <c r="BJ730" t="s">
        <v>3988</v>
      </c>
      <c r="BK730" t="s">
        <v>156</v>
      </c>
      <c r="BL730" t="s">
        <v>3306</v>
      </c>
      <c r="BM730" t="s">
        <v>13917</v>
      </c>
      <c r="BN730" t="s">
        <v>74</v>
      </c>
      <c r="BO730" t="s">
        <v>805</v>
      </c>
      <c r="BP730" t="s">
        <v>74</v>
      </c>
      <c r="BQ730" t="s">
        <v>74</v>
      </c>
      <c r="BR730" t="s">
        <v>105</v>
      </c>
      <c r="BS730" t="s">
        <v>13918</v>
      </c>
      <c r="BT730" t="str">
        <f>HYPERLINK("https%3A%2F%2Fwww.webofscience.com%2Fwos%2Fwoscc%2Ffull-record%2FWOS:000382943900018","View Full Record in Web of Science")</f>
        <v>View Full Record in Web of Science</v>
      </c>
    </row>
    <row r="731" spans="1:72" x14ac:dyDescent="0.15">
      <c r="A731" t="s">
        <v>72</v>
      </c>
      <c r="B731" t="s">
        <v>13919</v>
      </c>
      <c r="C731" t="s">
        <v>74</v>
      </c>
      <c r="D731" t="s">
        <v>74</v>
      </c>
      <c r="E731" t="s">
        <v>74</v>
      </c>
      <c r="F731" t="s">
        <v>13920</v>
      </c>
      <c r="G731" t="s">
        <v>74</v>
      </c>
      <c r="H731" t="s">
        <v>74</v>
      </c>
      <c r="I731" t="s">
        <v>13921</v>
      </c>
      <c r="J731" t="s">
        <v>3970</v>
      </c>
      <c r="K731" t="s">
        <v>74</v>
      </c>
      <c r="L731" t="s">
        <v>74</v>
      </c>
      <c r="M731" t="s">
        <v>78</v>
      </c>
      <c r="N731" t="s">
        <v>79</v>
      </c>
      <c r="O731" t="s">
        <v>74</v>
      </c>
      <c r="P731" t="s">
        <v>74</v>
      </c>
      <c r="Q731" t="s">
        <v>74</v>
      </c>
      <c r="R731" t="s">
        <v>74</v>
      </c>
      <c r="S731" t="s">
        <v>74</v>
      </c>
      <c r="T731" t="s">
        <v>13922</v>
      </c>
      <c r="U731" t="s">
        <v>13923</v>
      </c>
      <c r="V731" t="s">
        <v>13924</v>
      </c>
      <c r="W731" t="s">
        <v>13925</v>
      </c>
      <c r="X731" t="s">
        <v>13926</v>
      </c>
      <c r="Y731" t="s">
        <v>13927</v>
      </c>
      <c r="Z731" t="s">
        <v>13928</v>
      </c>
      <c r="AA731" t="s">
        <v>13929</v>
      </c>
      <c r="AB731" t="s">
        <v>13930</v>
      </c>
      <c r="AC731" t="s">
        <v>74</v>
      </c>
      <c r="AD731" t="s">
        <v>74</v>
      </c>
      <c r="AE731" t="s">
        <v>74</v>
      </c>
      <c r="AF731" t="s">
        <v>74</v>
      </c>
      <c r="AG731">
        <v>52</v>
      </c>
      <c r="AH731">
        <v>7</v>
      </c>
      <c r="AI731">
        <v>9</v>
      </c>
      <c r="AJ731">
        <v>0</v>
      </c>
      <c r="AK731">
        <v>3</v>
      </c>
      <c r="AL731" t="s">
        <v>449</v>
      </c>
      <c r="AM731" t="s">
        <v>450</v>
      </c>
      <c r="AN731" t="s">
        <v>451</v>
      </c>
      <c r="AO731" t="s">
        <v>3983</v>
      </c>
      <c r="AP731" t="s">
        <v>3984</v>
      </c>
      <c r="AQ731" t="s">
        <v>74</v>
      </c>
      <c r="AR731" t="s">
        <v>3985</v>
      </c>
      <c r="AS731" t="s">
        <v>3986</v>
      </c>
      <c r="AT731" t="s">
        <v>13423</v>
      </c>
      <c r="AU731">
        <v>2016</v>
      </c>
      <c r="AV731">
        <v>157</v>
      </c>
      <c r="AW731">
        <v>3</v>
      </c>
      <c r="AX731" t="s">
        <v>74</v>
      </c>
      <c r="AY731" t="s">
        <v>74</v>
      </c>
      <c r="AZ731" t="s">
        <v>74</v>
      </c>
      <c r="BA731" t="s">
        <v>74</v>
      </c>
      <c r="BB731">
        <v>885</v>
      </c>
      <c r="BC731">
        <v>894</v>
      </c>
      <c r="BD731" t="s">
        <v>74</v>
      </c>
      <c r="BE731" t="s">
        <v>13931</v>
      </c>
      <c r="BF731" t="str">
        <f>HYPERLINK("http://dx.doi.org/10.1007/s10336-015-1316-0","http://dx.doi.org/10.1007/s10336-015-1316-0")</f>
        <v>http://dx.doi.org/10.1007/s10336-015-1316-0</v>
      </c>
      <c r="BG731" t="s">
        <v>74</v>
      </c>
      <c r="BH731" t="s">
        <v>74</v>
      </c>
      <c r="BI731">
        <v>10</v>
      </c>
      <c r="BJ731" t="s">
        <v>3988</v>
      </c>
      <c r="BK731" t="s">
        <v>156</v>
      </c>
      <c r="BL731" t="s">
        <v>3306</v>
      </c>
      <c r="BM731" t="s">
        <v>13917</v>
      </c>
      <c r="BN731" t="s">
        <v>74</v>
      </c>
      <c r="BO731" t="s">
        <v>1002</v>
      </c>
      <c r="BP731" t="s">
        <v>74</v>
      </c>
      <c r="BQ731" t="s">
        <v>74</v>
      </c>
      <c r="BR731" t="s">
        <v>105</v>
      </c>
      <c r="BS731" t="s">
        <v>13932</v>
      </c>
      <c r="BT731" t="str">
        <f>HYPERLINK("https%3A%2F%2Fwww.webofscience.com%2Fwos%2Fwoscc%2Ffull-record%2FWOS:000382943900020","View Full Record in Web of Science")</f>
        <v>View Full Record in Web of Science</v>
      </c>
    </row>
    <row r="732" spans="1:72" x14ac:dyDescent="0.15">
      <c r="A732" t="s">
        <v>72</v>
      </c>
      <c r="B732" t="s">
        <v>13933</v>
      </c>
      <c r="C732" t="s">
        <v>74</v>
      </c>
      <c r="D732" t="s">
        <v>74</v>
      </c>
      <c r="E732" t="s">
        <v>74</v>
      </c>
      <c r="F732" t="s">
        <v>13934</v>
      </c>
      <c r="G732" t="s">
        <v>74</v>
      </c>
      <c r="H732" t="s">
        <v>74</v>
      </c>
      <c r="I732" t="s">
        <v>13935</v>
      </c>
      <c r="J732" t="s">
        <v>13936</v>
      </c>
      <c r="K732" t="s">
        <v>74</v>
      </c>
      <c r="L732" t="s">
        <v>74</v>
      </c>
      <c r="M732" t="s">
        <v>78</v>
      </c>
      <c r="N732" t="s">
        <v>79</v>
      </c>
      <c r="O732" t="s">
        <v>74</v>
      </c>
      <c r="P732" t="s">
        <v>74</v>
      </c>
      <c r="Q732" t="s">
        <v>74</v>
      </c>
      <c r="R732" t="s">
        <v>74</v>
      </c>
      <c r="S732" t="s">
        <v>74</v>
      </c>
      <c r="T732" t="s">
        <v>13937</v>
      </c>
      <c r="U732" t="s">
        <v>13938</v>
      </c>
      <c r="V732" t="s">
        <v>13939</v>
      </c>
      <c r="W732" t="s">
        <v>13940</v>
      </c>
      <c r="X732" t="s">
        <v>13941</v>
      </c>
      <c r="Y732" t="s">
        <v>13942</v>
      </c>
      <c r="Z732" t="s">
        <v>13943</v>
      </c>
      <c r="AA732" t="s">
        <v>13944</v>
      </c>
      <c r="AB732" t="s">
        <v>13945</v>
      </c>
      <c r="AC732" t="s">
        <v>13946</v>
      </c>
      <c r="AD732" t="s">
        <v>13947</v>
      </c>
      <c r="AE732" t="s">
        <v>13948</v>
      </c>
      <c r="AF732" t="s">
        <v>74</v>
      </c>
      <c r="AG732">
        <v>64</v>
      </c>
      <c r="AH732">
        <v>7</v>
      </c>
      <c r="AI732">
        <v>9</v>
      </c>
      <c r="AJ732">
        <v>0</v>
      </c>
      <c r="AK732">
        <v>61</v>
      </c>
      <c r="AL732" t="s">
        <v>13949</v>
      </c>
      <c r="AM732" t="s">
        <v>13950</v>
      </c>
      <c r="AN732" t="s">
        <v>13951</v>
      </c>
      <c r="AO732" t="s">
        <v>13952</v>
      </c>
      <c r="AP732" t="s">
        <v>13953</v>
      </c>
      <c r="AQ732" t="s">
        <v>74</v>
      </c>
      <c r="AR732" t="s">
        <v>13954</v>
      </c>
      <c r="AS732" t="s">
        <v>13955</v>
      </c>
      <c r="AT732" t="s">
        <v>13423</v>
      </c>
      <c r="AU732">
        <v>2016</v>
      </c>
      <c r="AV732">
        <v>116</v>
      </c>
      <c r="AW732">
        <v>3</v>
      </c>
      <c r="AX732" t="s">
        <v>74</v>
      </c>
      <c r="AY732" t="s">
        <v>74</v>
      </c>
      <c r="AZ732" t="s">
        <v>74</v>
      </c>
      <c r="BA732" t="s">
        <v>74</v>
      </c>
      <c r="BB732">
        <v>273</v>
      </c>
      <c r="BC732">
        <v>283</v>
      </c>
      <c r="BD732" t="s">
        <v>74</v>
      </c>
      <c r="BE732" t="s">
        <v>13956</v>
      </c>
      <c r="BF732" t="str">
        <f>HYPERLINK("http://dx.doi.org/10.1071/MU15094","http://dx.doi.org/10.1071/MU15094")</f>
        <v>http://dx.doi.org/10.1071/MU15094</v>
      </c>
      <c r="BG732" t="s">
        <v>74</v>
      </c>
      <c r="BH732" t="s">
        <v>74</v>
      </c>
      <c r="BI732">
        <v>11</v>
      </c>
      <c r="BJ732" t="s">
        <v>3988</v>
      </c>
      <c r="BK732" t="s">
        <v>156</v>
      </c>
      <c r="BL732" t="s">
        <v>3306</v>
      </c>
      <c r="BM732" t="s">
        <v>13957</v>
      </c>
      <c r="BN732" t="s">
        <v>74</v>
      </c>
      <c r="BO732" t="s">
        <v>74</v>
      </c>
      <c r="BP732" t="s">
        <v>74</v>
      </c>
      <c r="BQ732" t="s">
        <v>74</v>
      </c>
      <c r="BR732" t="s">
        <v>105</v>
      </c>
      <c r="BS732" t="s">
        <v>13958</v>
      </c>
      <c r="BT732" t="str">
        <f>HYPERLINK("https%3A%2F%2Fwww.webofscience.com%2Fwos%2Fwoscc%2Ffull-record%2FWOS:000381431100006","View Full Record in Web of Science")</f>
        <v>View Full Record in Web of Science</v>
      </c>
    </row>
    <row r="733" spans="1:72" x14ac:dyDescent="0.15">
      <c r="A733" t="s">
        <v>72</v>
      </c>
      <c r="B733" t="s">
        <v>13959</v>
      </c>
      <c r="C733" t="s">
        <v>74</v>
      </c>
      <c r="D733" t="s">
        <v>74</v>
      </c>
      <c r="E733" t="s">
        <v>74</v>
      </c>
      <c r="F733" t="s">
        <v>13960</v>
      </c>
      <c r="G733" t="s">
        <v>74</v>
      </c>
      <c r="H733" t="s">
        <v>74</v>
      </c>
      <c r="I733" t="s">
        <v>13961</v>
      </c>
      <c r="J733" t="s">
        <v>13962</v>
      </c>
      <c r="K733" t="s">
        <v>74</v>
      </c>
      <c r="L733" t="s">
        <v>74</v>
      </c>
      <c r="M733" t="s">
        <v>78</v>
      </c>
      <c r="N733" t="s">
        <v>79</v>
      </c>
      <c r="O733" t="s">
        <v>74</v>
      </c>
      <c r="P733" t="s">
        <v>74</v>
      </c>
      <c r="Q733" t="s">
        <v>74</v>
      </c>
      <c r="R733" t="s">
        <v>74</v>
      </c>
      <c r="S733" t="s">
        <v>74</v>
      </c>
      <c r="T733" t="s">
        <v>74</v>
      </c>
      <c r="U733" t="s">
        <v>13963</v>
      </c>
      <c r="V733" t="s">
        <v>13964</v>
      </c>
      <c r="W733" t="s">
        <v>13965</v>
      </c>
      <c r="X733" t="s">
        <v>74</v>
      </c>
      <c r="Y733" t="s">
        <v>13966</v>
      </c>
      <c r="Z733" t="s">
        <v>13967</v>
      </c>
      <c r="AA733" t="s">
        <v>13968</v>
      </c>
      <c r="AB733" t="s">
        <v>13969</v>
      </c>
      <c r="AC733" t="s">
        <v>74</v>
      </c>
      <c r="AD733" t="s">
        <v>74</v>
      </c>
      <c r="AE733" t="s">
        <v>74</v>
      </c>
      <c r="AF733" t="s">
        <v>74</v>
      </c>
      <c r="AG733">
        <v>31</v>
      </c>
      <c r="AH733">
        <v>2</v>
      </c>
      <c r="AI733">
        <v>2</v>
      </c>
      <c r="AJ733">
        <v>0</v>
      </c>
      <c r="AK733">
        <v>2</v>
      </c>
      <c r="AL733" t="s">
        <v>13970</v>
      </c>
      <c r="AM733" t="s">
        <v>13971</v>
      </c>
      <c r="AN733" t="s">
        <v>13972</v>
      </c>
      <c r="AO733" t="s">
        <v>13973</v>
      </c>
      <c r="AP733" t="s">
        <v>13974</v>
      </c>
      <c r="AQ733" t="s">
        <v>74</v>
      </c>
      <c r="AR733" t="s">
        <v>13975</v>
      </c>
      <c r="AS733" t="s">
        <v>13976</v>
      </c>
      <c r="AT733" t="s">
        <v>13423</v>
      </c>
      <c r="AU733">
        <v>2016</v>
      </c>
      <c r="AV733">
        <v>33</v>
      </c>
      <c r="AW733">
        <v>3</v>
      </c>
      <c r="AX733" t="s">
        <v>74</v>
      </c>
      <c r="AY733" t="s">
        <v>74</v>
      </c>
      <c r="AZ733" t="s">
        <v>74</v>
      </c>
      <c r="BA733" t="s">
        <v>74</v>
      </c>
      <c r="BB733">
        <v>173</v>
      </c>
      <c r="BC733">
        <v>182</v>
      </c>
      <c r="BD733" t="s">
        <v>74</v>
      </c>
      <c r="BE733" t="s">
        <v>74</v>
      </c>
      <c r="BF733" t="s">
        <v>74</v>
      </c>
      <c r="BG733" t="s">
        <v>74</v>
      </c>
      <c r="BH733" t="s">
        <v>74</v>
      </c>
      <c r="BI733">
        <v>10</v>
      </c>
      <c r="BJ733" t="s">
        <v>13977</v>
      </c>
      <c r="BK733" t="s">
        <v>131</v>
      </c>
      <c r="BL733" t="s">
        <v>803</v>
      </c>
      <c r="BM733" t="s">
        <v>13978</v>
      </c>
      <c r="BN733" t="s">
        <v>74</v>
      </c>
      <c r="BO733" t="s">
        <v>74</v>
      </c>
      <c r="BP733" t="s">
        <v>74</v>
      </c>
      <c r="BQ733" t="s">
        <v>74</v>
      </c>
      <c r="BR733" t="s">
        <v>105</v>
      </c>
      <c r="BS733" t="s">
        <v>13979</v>
      </c>
      <c r="BT733" t="str">
        <f>HYPERLINK("https%3A%2F%2Fwww.webofscience.com%2Fwos%2Fwoscc%2Ffull-record%2FWOS:000381462800003","View Full Record in Web of Science")</f>
        <v>View Full Record in Web of Science</v>
      </c>
    </row>
    <row r="734" spans="1:72" x14ac:dyDescent="0.15">
      <c r="A734" t="s">
        <v>72</v>
      </c>
      <c r="B734" t="s">
        <v>13980</v>
      </c>
      <c r="C734" t="s">
        <v>74</v>
      </c>
      <c r="D734" t="s">
        <v>74</v>
      </c>
      <c r="E734" t="s">
        <v>74</v>
      </c>
      <c r="F734" t="s">
        <v>13981</v>
      </c>
      <c r="G734" t="s">
        <v>74</v>
      </c>
      <c r="H734" t="s">
        <v>74</v>
      </c>
      <c r="I734" t="s">
        <v>13982</v>
      </c>
      <c r="J734" t="s">
        <v>334</v>
      </c>
      <c r="K734" t="s">
        <v>74</v>
      </c>
      <c r="L734" t="s">
        <v>74</v>
      </c>
      <c r="M734" t="s">
        <v>78</v>
      </c>
      <c r="N734" t="s">
        <v>79</v>
      </c>
      <c r="O734" t="s">
        <v>74</v>
      </c>
      <c r="P734" t="s">
        <v>74</v>
      </c>
      <c r="Q734" t="s">
        <v>74</v>
      </c>
      <c r="R734" t="s">
        <v>74</v>
      </c>
      <c r="S734" t="s">
        <v>74</v>
      </c>
      <c r="T734" t="s">
        <v>13983</v>
      </c>
      <c r="U734" t="s">
        <v>13984</v>
      </c>
      <c r="V734" t="s">
        <v>13985</v>
      </c>
      <c r="W734" t="s">
        <v>13986</v>
      </c>
      <c r="X734" t="s">
        <v>13987</v>
      </c>
      <c r="Y734" t="s">
        <v>13988</v>
      </c>
      <c r="Z734" t="s">
        <v>13989</v>
      </c>
      <c r="AA734" t="s">
        <v>13990</v>
      </c>
      <c r="AB734" t="s">
        <v>13991</v>
      </c>
      <c r="AC734" t="s">
        <v>13992</v>
      </c>
      <c r="AD734" t="s">
        <v>13993</v>
      </c>
      <c r="AE734" t="s">
        <v>13994</v>
      </c>
      <c r="AF734" t="s">
        <v>74</v>
      </c>
      <c r="AG734">
        <v>38</v>
      </c>
      <c r="AH734">
        <v>5</v>
      </c>
      <c r="AI734">
        <v>8</v>
      </c>
      <c r="AJ734">
        <v>0</v>
      </c>
      <c r="AK734">
        <v>7</v>
      </c>
      <c r="AL734" t="s">
        <v>149</v>
      </c>
      <c r="AM734" t="s">
        <v>123</v>
      </c>
      <c r="AN734" t="s">
        <v>150</v>
      </c>
      <c r="AO734" t="s">
        <v>347</v>
      </c>
      <c r="AP734" t="s">
        <v>348</v>
      </c>
      <c r="AQ734" t="s">
        <v>74</v>
      </c>
      <c r="AR734" t="s">
        <v>349</v>
      </c>
      <c r="AS734" t="s">
        <v>350</v>
      </c>
      <c r="AT734" t="s">
        <v>13423</v>
      </c>
      <c r="AU734">
        <v>2016</v>
      </c>
      <c r="AV734">
        <v>121</v>
      </c>
      <c r="AW734">
        <v>7</v>
      </c>
      <c r="AX734" t="s">
        <v>74</v>
      </c>
      <c r="AY734" t="s">
        <v>74</v>
      </c>
      <c r="AZ734" t="s">
        <v>74</v>
      </c>
      <c r="BA734" t="s">
        <v>74</v>
      </c>
      <c r="BB734">
        <v>1218</v>
      </c>
      <c r="BC734">
        <v>1229</v>
      </c>
      <c r="BD734" t="s">
        <v>74</v>
      </c>
      <c r="BE734" t="s">
        <v>13995</v>
      </c>
      <c r="BF734" t="str">
        <f>HYPERLINK("http://dx.doi.org/10.1002/2016JF003845","http://dx.doi.org/10.1002/2016JF003845")</f>
        <v>http://dx.doi.org/10.1002/2016JF003845</v>
      </c>
      <c r="BG734" t="s">
        <v>74</v>
      </c>
      <c r="BH734" t="s">
        <v>74</v>
      </c>
      <c r="BI734">
        <v>12</v>
      </c>
      <c r="BJ734" t="s">
        <v>352</v>
      </c>
      <c r="BK734" t="s">
        <v>156</v>
      </c>
      <c r="BL734" t="s">
        <v>177</v>
      </c>
      <c r="BM734" t="s">
        <v>13996</v>
      </c>
      <c r="BN734" t="s">
        <v>74</v>
      </c>
      <c r="BO734" t="s">
        <v>258</v>
      </c>
      <c r="BP734" t="s">
        <v>74</v>
      </c>
      <c r="BQ734" t="s">
        <v>74</v>
      </c>
      <c r="BR734" t="s">
        <v>105</v>
      </c>
      <c r="BS734" t="s">
        <v>13997</v>
      </c>
      <c r="BT734" t="str">
        <f>HYPERLINK("https%3A%2F%2Fwww.webofscience.com%2Fwos%2Fwoscc%2Ffull-record%2FWOS:000382581200002","View Full Record in Web of Science")</f>
        <v>View Full Record in Web of Science</v>
      </c>
    </row>
    <row r="735" spans="1:72" x14ac:dyDescent="0.15">
      <c r="A735" t="s">
        <v>72</v>
      </c>
      <c r="B735" t="s">
        <v>13998</v>
      </c>
      <c r="C735" t="s">
        <v>74</v>
      </c>
      <c r="D735" t="s">
        <v>74</v>
      </c>
      <c r="E735" t="s">
        <v>74</v>
      </c>
      <c r="F735" t="s">
        <v>13999</v>
      </c>
      <c r="G735" t="s">
        <v>74</v>
      </c>
      <c r="H735" t="s">
        <v>74</v>
      </c>
      <c r="I735" t="s">
        <v>14000</v>
      </c>
      <c r="J735" t="s">
        <v>334</v>
      </c>
      <c r="K735" t="s">
        <v>74</v>
      </c>
      <c r="L735" t="s">
        <v>74</v>
      </c>
      <c r="M735" t="s">
        <v>78</v>
      </c>
      <c r="N735" t="s">
        <v>79</v>
      </c>
      <c r="O735" t="s">
        <v>74</v>
      </c>
      <c r="P735" t="s">
        <v>74</v>
      </c>
      <c r="Q735" t="s">
        <v>74</v>
      </c>
      <c r="R735" t="s">
        <v>74</v>
      </c>
      <c r="S735" t="s">
        <v>74</v>
      </c>
      <c r="T735" t="s">
        <v>14001</v>
      </c>
      <c r="U735" t="s">
        <v>14002</v>
      </c>
      <c r="V735" t="s">
        <v>14003</v>
      </c>
      <c r="W735" t="s">
        <v>14004</v>
      </c>
      <c r="X735" t="s">
        <v>14005</v>
      </c>
      <c r="Y735" t="s">
        <v>14006</v>
      </c>
      <c r="Z735" t="s">
        <v>14007</v>
      </c>
      <c r="AA735" t="s">
        <v>74</v>
      </c>
      <c r="AB735" t="s">
        <v>74</v>
      </c>
      <c r="AC735" t="s">
        <v>14008</v>
      </c>
      <c r="AD735" t="s">
        <v>14009</v>
      </c>
      <c r="AE735" t="s">
        <v>14010</v>
      </c>
      <c r="AF735" t="s">
        <v>74</v>
      </c>
      <c r="AG735">
        <v>57</v>
      </c>
      <c r="AH735">
        <v>9</v>
      </c>
      <c r="AI735">
        <v>13</v>
      </c>
      <c r="AJ735">
        <v>1</v>
      </c>
      <c r="AK735">
        <v>8</v>
      </c>
      <c r="AL735" t="s">
        <v>149</v>
      </c>
      <c r="AM735" t="s">
        <v>123</v>
      </c>
      <c r="AN735" t="s">
        <v>150</v>
      </c>
      <c r="AO735" t="s">
        <v>347</v>
      </c>
      <c r="AP735" t="s">
        <v>348</v>
      </c>
      <c r="AQ735" t="s">
        <v>74</v>
      </c>
      <c r="AR735" t="s">
        <v>349</v>
      </c>
      <c r="AS735" t="s">
        <v>350</v>
      </c>
      <c r="AT735" t="s">
        <v>13423</v>
      </c>
      <c r="AU735">
        <v>2016</v>
      </c>
      <c r="AV735">
        <v>121</v>
      </c>
      <c r="AW735">
        <v>7</v>
      </c>
      <c r="AX735" t="s">
        <v>74</v>
      </c>
      <c r="AY735" t="s">
        <v>74</v>
      </c>
      <c r="AZ735" t="s">
        <v>74</v>
      </c>
      <c r="BA735" t="s">
        <v>74</v>
      </c>
      <c r="BB735">
        <v>1273</v>
      </c>
      <c r="BC735">
        <v>1294</v>
      </c>
      <c r="BD735" t="s">
        <v>74</v>
      </c>
      <c r="BE735" t="s">
        <v>14011</v>
      </c>
      <c r="BF735" t="str">
        <f>HYPERLINK("http://dx.doi.org/10.1002/2015JF003707","http://dx.doi.org/10.1002/2015JF003707")</f>
        <v>http://dx.doi.org/10.1002/2015JF003707</v>
      </c>
      <c r="BG735" t="s">
        <v>74</v>
      </c>
      <c r="BH735" t="s">
        <v>74</v>
      </c>
      <c r="BI735">
        <v>22</v>
      </c>
      <c r="BJ735" t="s">
        <v>352</v>
      </c>
      <c r="BK735" t="s">
        <v>156</v>
      </c>
      <c r="BL735" t="s">
        <v>177</v>
      </c>
      <c r="BM735" t="s">
        <v>13996</v>
      </c>
      <c r="BN735" t="s">
        <v>74</v>
      </c>
      <c r="BO735" t="s">
        <v>74</v>
      </c>
      <c r="BP735" t="s">
        <v>74</v>
      </c>
      <c r="BQ735" t="s">
        <v>74</v>
      </c>
      <c r="BR735" t="s">
        <v>105</v>
      </c>
      <c r="BS735" t="s">
        <v>14012</v>
      </c>
      <c r="BT735" t="str">
        <f>HYPERLINK("https%3A%2F%2Fwww.webofscience.com%2Fwos%2Fwoscc%2Ffull-record%2FWOS:000382581200005","View Full Record in Web of Science")</f>
        <v>View Full Record in Web of Science</v>
      </c>
    </row>
    <row r="736" spans="1:72" x14ac:dyDescent="0.15">
      <c r="A736" t="s">
        <v>72</v>
      </c>
      <c r="B736" t="s">
        <v>14013</v>
      </c>
      <c r="C736" t="s">
        <v>74</v>
      </c>
      <c r="D736" t="s">
        <v>74</v>
      </c>
      <c r="E736" t="s">
        <v>74</v>
      </c>
      <c r="F736" t="s">
        <v>14014</v>
      </c>
      <c r="G736" t="s">
        <v>74</v>
      </c>
      <c r="H736" t="s">
        <v>74</v>
      </c>
      <c r="I736" t="s">
        <v>14015</v>
      </c>
      <c r="J736" t="s">
        <v>2989</v>
      </c>
      <c r="K736" t="s">
        <v>74</v>
      </c>
      <c r="L736" t="s">
        <v>74</v>
      </c>
      <c r="M736" t="s">
        <v>78</v>
      </c>
      <c r="N736" t="s">
        <v>79</v>
      </c>
      <c r="O736" t="s">
        <v>74</v>
      </c>
      <c r="P736" t="s">
        <v>74</v>
      </c>
      <c r="Q736" t="s">
        <v>74</v>
      </c>
      <c r="R736" t="s">
        <v>74</v>
      </c>
      <c r="S736" t="s">
        <v>74</v>
      </c>
      <c r="T736" t="s">
        <v>14016</v>
      </c>
      <c r="U736" t="s">
        <v>14017</v>
      </c>
      <c r="V736" t="s">
        <v>14018</v>
      </c>
      <c r="W736" t="s">
        <v>14019</v>
      </c>
      <c r="X736" t="s">
        <v>14020</v>
      </c>
      <c r="Y736" t="s">
        <v>14021</v>
      </c>
      <c r="Z736" t="s">
        <v>14022</v>
      </c>
      <c r="AA736" t="s">
        <v>14023</v>
      </c>
      <c r="AB736" t="s">
        <v>14024</v>
      </c>
      <c r="AC736" t="s">
        <v>14025</v>
      </c>
      <c r="AD736" t="s">
        <v>14026</v>
      </c>
      <c r="AE736" t="s">
        <v>14027</v>
      </c>
      <c r="AF736" t="s">
        <v>74</v>
      </c>
      <c r="AG736">
        <v>27</v>
      </c>
      <c r="AH736">
        <v>3</v>
      </c>
      <c r="AI736">
        <v>3</v>
      </c>
      <c r="AJ736">
        <v>1</v>
      </c>
      <c r="AK736">
        <v>11</v>
      </c>
      <c r="AL736" t="s">
        <v>3000</v>
      </c>
      <c r="AM736" t="s">
        <v>3001</v>
      </c>
      <c r="AN736" t="s">
        <v>3002</v>
      </c>
      <c r="AO736" t="s">
        <v>3003</v>
      </c>
      <c r="AP736" t="s">
        <v>3004</v>
      </c>
      <c r="AQ736" t="s">
        <v>74</v>
      </c>
      <c r="AR736" t="s">
        <v>3005</v>
      </c>
      <c r="AS736" t="s">
        <v>3006</v>
      </c>
      <c r="AT736" t="s">
        <v>13423</v>
      </c>
      <c r="AU736">
        <v>2016</v>
      </c>
      <c r="AV736">
        <v>52</v>
      </c>
      <c r="AW736">
        <v>3</v>
      </c>
      <c r="AX736" t="s">
        <v>74</v>
      </c>
      <c r="AY736" t="s">
        <v>74</v>
      </c>
      <c r="AZ736" t="s">
        <v>74</v>
      </c>
      <c r="BA736" t="s">
        <v>74</v>
      </c>
      <c r="BB736">
        <v>568</v>
      </c>
      <c r="BC736">
        <v>575</v>
      </c>
      <c r="BD736" t="s">
        <v>74</v>
      </c>
      <c r="BE736" t="s">
        <v>14028</v>
      </c>
      <c r="BF736" t="str">
        <f>HYPERLINK("http://dx.doi.org/10.7589/2015-07-200","http://dx.doi.org/10.7589/2015-07-200")</f>
        <v>http://dx.doi.org/10.7589/2015-07-200</v>
      </c>
      <c r="BG736" t="s">
        <v>74</v>
      </c>
      <c r="BH736" t="s">
        <v>74</v>
      </c>
      <c r="BI736">
        <v>8</v>
      </c>
      <c r="BJ736" t="s">
        <v>3008</v>
      </c>
      <c r="BK736" t="s">
        <v>156</v>
      </c>
      <c r="BL736" t="s">
        <v>3008</v>
      </c>
      <c r="BM736" t="s">
        <v>14029</v>
      </c>
      <c r="BN736">
        <v>27195682</v>
      </c>
      <c r="BO736" t="s">
        <v>74</v>
      </c>
      <c r="BP736" t="s">
        <v>74</v>
      </c>
      <c r="BQ736" t="s">
        <v>74</v>
      </c>
      <c r="BR736" t="s">
        <v>105</v>
      </c>
      <c r="BS736" t="s">
        <v>14030</v>
      </c>
      <c r="BT736" t="str">
        <f>HYPERLINK("https%3A%2F%2Fwww.webofscience.com%2Fwos%2Fwoscc%2Ffull-record%2FWOS:000381528700014","View Full Record in Web of Science")</f>
        <v>View Full Record in Web of Science</v>
      </c>
    </row>
    <row r="737" spans="1:72" x14ac:dyDescent="0.15">
      <c r="A737" t="s">
        <v>72</v>
      </c>
      <c r="B737" t="s">
        <v>14031</v>
      </c>
      <c r="C737" t="s">
        <v>74</v>
      </c>
      <c r="D737" t="s">
        <v>74</v>
      </c>
      <c r="E737" t="s">
        <v>74</v>
      </c>
      <c r="F737" t="s">
        <v>14032</v>
      </c>
      <c r="G737" t="s">
        <v>74</v>
      </c>
      <c r="H737" t="s">
        <v>74</v>
      </c>
      <c r="I737" t="s">
        <v>14033</v>
      </c>
      <c r="J737" t="s">
        <v>14034</v>
      </c>
      <c r="K737" t="s">
        <v>74</v>
      </c>
      <c r="L737" t="s">
        <v>74</v>
      </c>
      <c r="M737" t="s">
        <v>78</v>
      </c>
      <c r="N737" t="s">
        <v>2730</v>
      </c>
      <c r="O737" t="s">
        <v>14035</v>
      </c>
      <c r="P737" t="s">
        <v>14036</v>
      </c>
      <c r="Q737" t="s">
        <v>14037</v>
      </c>
      <c r="R737" t="s">
        <v>74</v>
      </c>
      <c r="S737" t="s">
        <v>74</v>
      </c>
      <c r="T737" t="s">
        <v>14038</v>
      </c>
      <c r="U737" t="s">
        <v>14039</v>
      </c>
      <c r="V737" t="s">
        <v>14040</v>
      </c>
      <c r="W737" t="s">
        <v>14041</v>
      </c>
      <c r="X737" t="s">
        <v>14042</v>
      </c>
      <c r="Y737" t="s">
        <v>14043</v>
      </c>
      <c r="Z737" t="s">
        <v>14044</v>
      </c>
      <c r="AA737" t="s">
        <v>14045</v>
      </c>
      <c r="AB737" t="s">
        <v>14046</v>
      </c>
      <c r="AC737" t="s">
        <v>74</v>
      </c>
      <c r="AD737" t="s">
        <v>74</v>
      </c>
      <c r="AE737" t="s">
        <v>74</v>
      </c>
      <c r="AF737" t="s">
        <v>74</v>
      </c>
      <c r="AG737">
        <v>17</v>
      </c>
      <c r="AH737">
        <v>0</v>
      </c>
      <c r="AI737">
        <v>2</v>
      </c>
      <c r="AJ737">
        <v>1</v>
      </c>
      <c r="AK737">
        <v>5</v>
      </c>
      <c r="AL737" t="s">
        <v>14047</v>
      </c>
      <c r="AM737" t="s">
        <v>14048</v>
      </c>
      <c r="AN737" t="s">
        <v>14049</v>
      </c>
      <c r="AO737" t="s">
        <v>14050</v>
      </c>
      <c r="AP737" t="s">
        <v>74</v>
      </c>
      <c r="AQ737" t="s">
        <v>74</v>
      </c>
      <c r="AR737" t="s">
        <v>14051</v>
      </c>
      <c r="AS737" t="s">
        <v>14052</v>
      </c>
      <c r="AT737" t="s">
        <v>13423</v>
      </c>
      <c r="AU737">
        <v>2016</v>
      </c>
      <c r="AV737">
        <v>12</v>
      </c>
      <c r="AW737">
        <v>3</v>
      </c>
      <c r="AX737" t="s">
        <v>74</v>
      </c>
      <c r="AY737" t="s">
        <v>74</v>
      </c>
      <c r="AZ737" t="s">
        <v>74</v>
      </c>
      <c r="BA737" t="s">
        <v>74</v>
      </c>
      <c r="BB737">
        <v>623</v>
      </c>
      <c r="BC737">
        <v>633</v>
      </c>
      <c r="BD737" t="s">
        <v>74</v>
      </c>
      <c r="BE737" t="s">
        <v>74</v>
      </c>
      <c r="BF737" t="s">
        <v>74</v>
      </c>
      <c r="BG737" t="s">
        <v>74</v>
      </c>
      <c r="BH737" t="s">
        <v>74</v>
      </c>
      <c r="BI737">
        <v>11</v>
      </c>
      <c r="BJ737" t="s">
        <v>14053</v>
      </c>
      <c r="BK737" t="s">
        <v>2548</v>
      </c>
      <c r="BL737" t="s">
        <v>14054</v>
      </c>
      <c r="BM737" t="s">
        <v>14055</v>
      </c>
      <c r="BN737" t="s">
        <v>74</v>
      </c>
      <c r="BO737" t="s">
        <v>74</v>
      </c>
      <c r="BP737" t="s">
        <v>74</v>
      </c>
      <c r="BQ737" t="s">
        <v>74</v>
      </c>
      <c r="BR737" t="s">
        <v>105</v>
      </c>
      <c r="BS737" t="s">
        <v>14056</v>
      </c>
      <c r="BT737" t="str">
        <f>HYPERLINK("https%3A%2F%2Fwww.webofscience.com%2Fwos%2Fwoscc%2Ffull-record%2FWOS:000382100300009","View Full Record in Web of Science")</f>
        <v>View Full Record in Web of Science</v>
      </c>
    </row>
    <row r="738" spans="1:72" x14ac:dyDescent="0.15">
      <c r="A738" t="s">
        <v>72</v>
      </c>
      <c r="B738" t="s">
        <v>14057</v>
      </c>
      <c r="C738" t="s">
        <v>74</v>
      </c>
      <c r="D738" t="s">
        <v>74</v>
      </c>
      <c r="E738" t="s">
        <v>74</v>
      </c>
      <c r="F738" t="s">
        <v>14058</v>
      </c>
      <c r="G738" t="s">
        <v>74</v>
      </c>
      <c r="H738" t="s">
        <v>74</v>
      </c>
      <c r="I738" t="s">
        <v>14059</v>
      </c>
      <c r="J738" t="s">
        <v>14060</v>
      </c>
      <c r="K738" t="s">
        <v>74</v>
      </c>
      <c r="L738" t="s">
        <v>74</v>
      </c>
      <c r="M738" t="s">
        <v>78</v>
      </c>
      <c r="N738" t="s">
        <v>79</v>
      </c>
      <c r="O738" t="s">
        <v>74</v>
      </c>
      <c r="P738" t="s">
        <v>74</v>
      </c>
      <c r="Q738" t="s">
        <v>74</v>
      </c>
      <c r="R738" t="s">
        <v>74</v>
      </c>
      <c r="S738" t="s">
        <v>74</v>
      </c>
      <c r="T738" t="s">
        <v>74</v>
      </c>
      <c r="U738" t="s">
        <v>14061</v>
      </c>
      <c r="V738" t="s">
        <v>14062</v>
      </c>
      <c r="W738" t="s">
        <v>14063</v>
      </c>
      <c r="X738" t="s">
        <v>14064</v>
      </c>
      <c r="Y738" t="s">
        <v>14065</v>
      </c>
      <c r="Z738" t="s">
        <v>14066</v>
      </c>
      <c r="AA738" t="s">
        <v>14067</v>
      </c>
      <c r="AB738" t="s">
        <v>14068</v>
      </c>
      <c r="AC738" t="s">
        <v>74</v>
      </c>
      <c r="AD738" t="s">
        <v>74</v>
      </c>
      <c r="AE738" t="s">
        <v>74</v>
      </c>
      <c r="AF738" t="s">
        <v>74</v>
      </c>
      <c r="AG738">
        <v>9</v>
      </c>
      <c r="AH738">
        <v>1</v>
      </c>
      <c r="AI738">
        <v>1</v>
      </c>
      <c r="AJ738">
        <v>0</v>
      </c>
      <c r="AK738">
        <v>3</v>
      </c>
      <c r="AL738" t="s">
        <v>6053</v>
      </c>
      <c r="AM738" t="s">
        <v>594</v>
      </c>
      <c r="AN738" t="s">
        <v>6054</v>
      </c>
      <c r="AO738" t="s">
        <v>14069</v>
      </c>
      <c r="AP738" t="s">
        <v>14070</v>
      </c>
      <c r="AQ738" t="s">
        <v>74</v>
      </c>
      <c r="AR738" t="s">
        <v>14071</v>
      </c>
      <c r="AS738" t="s">
        <v>14072</v>
      </c>
      <c r="AT738" t="s">
        <v>13423</v>
      </c>
      <c r="AU738">
        <v>2016</v>
      </c>
      <c r="AV738">
        <v>61</v>
      </c>
      <c r="AW738">
        <v>7</v>
      </c>
      <c r="AX738" t="s">
        <v>74</v>
      </c>
      <c r="AY738" t="s">
        <v>74</v>
      </c>
      <c r="AZ738" t="s">
        <v>74</v>
      </c>
      <c r="BA738" t="s">
        <v>74</v>
      </c>
      <c r="BB738">
        <v>1091</v>
      </c>
      <c r="BC738">
        <v>1096</v>
      </c>
      <c r="BD738" t="s">
        <v>74</v>
      </c>
      <c r="BE738" t="s">
        <v>14073</v>
      </c>
      <c r="BF738" t="str">
        <f>HYPERLINK("http://dx.doi.org/10.1134/S1063784216070082","http://dx.doi.org/10.1134/S1063784216070082")</f>
        <v>http://dx.doi.org/10.1134/S1063784216070082</v>
      </c>
      <c r="BG738" t="s">
        <v>74</v>
      </c>
      <c r="BH738" t="s">
        <v>74</v>
      </c>
      <c r="BI738">
        <v>6</v>
      </c>
      <c r="BJ738" t="s">
        <v>14074</v>
      </c>
      <c r="BK738" t="s">
        <v>156</v>
      </c>
      <c r="BL738" t="s">
        <v>9776</v>
      </c>
      <c r="BM738" t="s">
        <v>14075</v>
      </c>
      <c r="BN738" t="s">
        <v>74</v>
      </c>
      <c r="BO738" t="s">
        <v>74</v>
      </c>
      <c r="BP738" t="s">
        <v>74</v>
      </c>
      <c r="BQ738" t="s">
        <v>74</v>
      </c>
      <c r="BR738" t="s">
        <v>105</v>
      </c>
      <c r="BS738" t="s">
        <v>14076</v>
      </c>
      <c r="BT738" t="str">
        <f>HYPERLINK("https%3A%2F%2Fwww.webofscience.com%2Fwos%2Fwoscc%2Ffull-record%2FWOS:000380356600022","View Full Record in Web of Science")</f>
        <v>View Full Record in Web of Science</v>
      </c>
    </row>
    <row r="739" spans="1:72" x14ac:dyDescent="0.15">
      <c r="A739" t="s">
        <v>72</v>
      </c>
      <c r="B739" t="s">
        <v>14077</v>
      </c>
      <c r="C739" t="s">
        <v>74</v>
      </c>
      <c r="D739" t="s">
        <v>74</v>
      </c>
      <c r="E739" t="s">
        <v>74</v>
      </c>
      <c r="F739" t="s">
        <v>14078</v>
      </c>
      <c r="G739" t="s">
        <v>74</v>
      </c>
      <c r="H739" t="s">
        <v>74</v>
      </c>
      <c r="I739" t="s">
        <v>14079</v>
      </c>
      <c r="J739" t="s">
        <v>14080</v>
      </c>
      <c r="K739" t="s">
        <v>74</v>
      </c>
      <c r="L739" t="s">
        <v>74</v>
      </c>
      <c r="M739" t="s">
        <v>78</v>
      </c>
      <c r="N739" t="s">
        <v>79</v>
      </c>
      <c r="O739" t="s">
        <v>74</v>
      </c>
      <c r="P739" t="s">
        <v>74</v>
      </c>
      <c r="Q739" t="s">
        <v>74</v>
      </c>
      <c r="R739" t="s">
        <v>74</v>
      </c>
      <c r="S739" t="s">
        <v>74</v>
      </c>
      <c r="T739" t="s">
        <v>14081</v>
      </c>
      <c r="U739" t="s">
        <v>14082</v>
      </c>
      <c r="V739" t="s">
        <v>14083</v>
      </c>
      <c r="W739" t="s">
        <v>14084</v>
      </c>
      <c r="X739" t="s">
        <v>14085</v>
      </c>
      <c r="Y739" t="s">
        <v>14086</v>
      </c>
      <c r="Z739" t="s">
        <v>14087</v>
      </c>
      <c r="AA739" t="s">
        <v>14088</v>
      </c>
      <c r="AB739" t="s">
        <v>14089</v>
      </c>
      <c r="AC739" t="s">
        <v>74</v>
      </c>
      <c r="AD739" t="s">
        <v>74</v>
      </c>
      <c r="AE739" t="s">
        <v>74</v>
      </c>
      <c r="AF739" t="s">
        <v>74</v>
      </c>
      <c r="AG739">
        <v>134</v>
      </c>
      <c r="AH739">
        <v>12</v>
      </c>
      <c r="AI739">
        <v>12</v>
      </c>
      <c r="AJ739">
        <v>0</v>
      </c>
      <c r="AK739">
        <v>12</v>
      </c>
      <c r="AL739" t="s">
        <v>14090</v>
      </c>
      <c r="AM739" t="s">
        <v>14091</v>
      </c>
      <c r="AN739" t="s">
        <v>14092</v>
      </c>
      <c r="AO739" t="s">
        <v>14093</v>
      </c>
      <c r="AP739" t="s">
        <v>14094</v>
      </c>
      <c r="AQ739" t="s">
        <v>74</v>
      </c>
      <c r="AR739" t="s">
        <v>14095</v>
      </c>
      <c r="AS739" t="s">
        <v>14096</v>
      </c>
      <c r="AT739" t="s">
        <v>13423</v>
      </c>
      <c r="AU739">
        <v>2016</v>
      </c>
      <c r="AV739">
        <v>32</v>
      </c>
      <c r="AW739">
        <v>4</v>
      </c>
      <c r="AX739" t="s">
        <v>74</v>
      </c>
      <c r="AY739" t="s">
        <v>74</v>
      </c>
      <c r="AZ739" t="s">
        <v>74</v>
      </c>
      <c r="BA739" t="s">
        <v>74</v>
      </c>
      <c r="BB739">
        <v>840</v>
      </c>
      <c r="BC739">
        <v>852</v>
      </c>
      <c r="BD739" t="s">
        <v>74</v>
      </c>
      <c r="BE739" t="s">
        <v>14097</v>
      </c>
      <c r="BF739" t="str">
        <f>HYPERLINK("http://dx.doi.org/10.2112/JCOASTRES-D-14-00178.1","http://dx.doi.org/10.2112/JCOASTRES-D-14-00178.1")</f>
        <v>http://dx.doi.org/10.2112/JCOASTRES-D-14-00178.1</v>
      </c>
      <c r="BG739" t="s">
        <v>74</v>
      </c>
      <c r="BH739" t="s">
        <v>74</v>
      </c>
      <c r="BI739">
        <v>13</v>
      </c>
      <c r="BJ739" t="s">
        <v>3193</v>
      </c>
      <c r="BK739" t="s">
        <v>156</v>
      </c>
      <c r="BL739" t="s">
        <v>3194</v>
      </c>
      <c r="BM739" t="s">
        <v>14098</v>
      </c>
      <c r="BN739" t="s">
        <v>74</v>
      </c>
      <c r="BO739" t="s">
        <v>14099</v>
      </c>
      <c r="BP739" t="s">
        <v>74</v>
      </c>
      <c r="BQ739" t="s">
        <v>74</v>
      </c>
      <c r="BR739" t="s">
        <v>105</v>
      </c>
      <c r="BS739" t="s">
        <v>14100</v>
      </c>
      <c r="BT739" t="str">
        <f>HYPERLINK("https%3A%2F%2Fwww.webofscience.com%2Fwos%2Fwoscc%2Ffull-record%2FWOS:000380832400010","View Full Record in Web of Science")</f>
        <v>View Full Record in Web of Science</v>
      </c>
    </row>
    <row r="740" spans="1:72" x14ac:dyDescent="0.15">
      <c r="A740" t="s">
        <v>72</v>
      </c>
      <c r="B740" t="s">
        <v>14101</v>
      </c>
      <c r="C740" t="s">
        <v>74</v>
      </c>
      <c r="D740" t="s">
        <v>74</v>
      </c>
      <c r="E740" t="s">
        <v>74</v>
      </c>
      <c r="F740" t="s">
        <v>14102</v>
      </c>
      <c r="G740" t="s">
        <v>74</v>
      </c>
      <c r="H740" t="s">
        <v>74</v>
      </c>
      <c r="I740" t="s">
        <v>14103</v>
      </c>
      <c r="J740" t="s">
        <v>8290</v>
      </c>
      <c r="K740" t="s">
        <v>74</v>
      </c>
      <c r="L740" t="s">
        <v>74</v>
      </c>
      <c r="M740" t="s">
        <v>78</v>
      </c>
      <c r="N740" t="s">
        <v>79</v>
      </c>
      <c r="O740" t="s">
        <v>74</v>
      </c>
      <c r="P740" t="s">
        <v>74</v>
      </c>
      <c r="Q740" t="s">
        <v>74</v>
      </c>
      <c r="R740" t="s">
        <v>74</v>
      </c>
      <c r="S740" t="s">
        <v>74</v>
      </c>
      <c r="T740" t="s">
        <v>14104</v>
      </c>
      <c r="U740" t="s">
        <v>14105</v>
      </c>
      <c r="V740" t="s">
        <v>14106</v>
      </c>
      <c r="W740" t="s">
        <v>14107</v>
      </c>
      <c r="X740" t="s">
        <v>14108</v>
      </c>
      <c r="Y740" t="s">
        <v>14109</v>
      </c>
      <c r="Z740" t="s">
        <v>14110</v>
      </c>
      <c r="AA740" t="s">
        <v>14111</v>
      </c>
      <c r="AB740" t="s">
        <v>14112</v>
      </c>
      <c r="AC740" t="s">
        <v>14113</v>
      </c>
      <c r="AD740" t="s">
        <v>14114</v>
      </c>
      <c r="AE740" t="s">
        <v>14115</v>
      </c>
      <c r="AF740" t="s">
        <v>74</v>
      </c>
      <c r="AG740">
        <v>122</v>
      </c>
      <c r="AH740">
        <v>27</v>
      </c>
      <c r="AI740">
        <v>30</v>
      </c>
      <c r="AJ740">
        <v>3</v>
      </c>
      <c r="AK740">
        <v>29</v>
      </c>
      <c r="AL740" t="s">
        <v>149</v>
      </c>
      <c r="AM740" t="s">
        <v>123</v>
      </c>
      <c r="AN740" t="s">
        <v>150</v>
      </c>
      <c r="AO740" t="s">
        <v>8303</v>
      </c>
      <c r="AP740" t="s">
        <v>8304</v>
      </c>
      <c r="AQ740" t="s">
        <v>74</v>
      </c>
      <c r="AR740" t="s">
        <v>8305</v>
      </c>
      <c r="AS740" t="s">
        <v>8306</v>
      </c>
      <c r="AT740" t="s">
        <v>13423</v>
      </c>
      <c r="AU740">
        <v>2016</v>
      </c>
      <c r="AV740">
        <v>121</v>
      </c>
      <c r="AW740">
        <v>7</v>
      </c>
      <c r="AX740" t="s">
        <v>74</v>
      </c>
      <c r="AY740" t="s">
        <v>74</v>
      </c>
      <c r="AZ740" t="s">
        <v>74</v>
      </c>
      <c r="BA740" t="s">
        <v>74</v>
      </c>
      <c r="BB740">
        <v>4895</v>
      </c>
      <c r="BC740">
        <v>4922</v>
      </c>
      <c r="BD740" t="s">
        <v>74</v>
      </c>
      <c r="BE740" t="s">
        <v>14116</v>
      </c>
      <c r="BF740" t="str">
        <f>HYPERLINK("http://dx.doi.org/10.1002/2015JB012628","http://dx.doi.org/10.1002/2015JB012628")</f>
        <v>http://dx.doi.org/10.1002/2015JB012628</v>
      </c>
      <c r="BG740" t="s">
        <v>74</v>
      </c>
      <c r="BH740" t="s">
        <v>74</v>
      </c>
      <c r="BI740">
        <v>28</v>
      </c>
      <c r="BJ740" t="s">
        <v>155</v>
      </c>
      <c r="BK740" t="s">
        <v>156</v>
      </c>
      <c r="BL740" t="s">
        <v>155</v>
      </c>
      <c r="BM740" t="s">
        <v>14117</v>
      </c>
      <c r="BN740" t="s">
        <v>74</v>
      </c>
      <c r="BO740" t="s">
        <v>2462</v>
      </c>
      <c r="BP740" t="s">
        <v>74</v>
      </c>
      <c r="BQ740" t="s">
        <v>74</v>
      </c>
      <c r="BR740" t="s">
        <v>105</v>
      </c>
      <c r="BS740" t="s">
        <v>14118</v>
      </c>
      <c r="BT740" t="str">
        <f>HYPERLINK("https%3A%2F%2Fwww.webofscience.com%2Fwos%2Fwoscc%2Ffull-record%2FWOS:000381627500006","View Full Record in Web of Science")</f>
        <v>View Full Record in Web of Science</v>
      </c>
    </row>
    <row r="741" spans="1:72" x14ac:dyDescent="0.15">
      <c r="A741" t="s">
        <v>72</v>
      </c>
      <c r="B741" t="s">
        <v>14119</v>
      </c>
      <c r="C741" t="s">
        <v>74</v>
      </c>
      <c r="D741" t="s">
        <v>74</v>
      </c>
      <c r="E741" t="s">
        <v>74</v>
      </c>
      <c r="F741" t="s">
        <v>14120</v>
      </c>
      <c r="G741" t="s">
        <v>74</v>
      </c>
      <c r="H741" t="s">
        <v>74</v>
      </c>
      <c r="I741" t="s">
        <v>14121</v>
      </c>
      <c r="J741" t="s">
        <v>14122</v>
      </c>
      <c r="K741" t="s">
        <v>74</v>
      </c>
      <c r="L741" t="s">
        <v>74</v>
      </c>
      <c r="M741" t="s">
        <v>78</v>
      </c>
      <c r="N741" t="s">
        <v>79</v>
      </c>
      <c r="O741" t="s">
        <v>74</v>
      </c>
      <c r="P741" t="s">
        <v>74</v>
      </c>
      <c r="Q741" t="s">
        <v>74</v>
      </c>
      <c r="R741" t="s">
        <v>74</v>
      </c>
      <c r="S741" t="s">
        <v>74</v>
      </c>
      <c r="T741" t="s">
        <v>14123</v>
      </c>
      <c r="U741" t="s">
        <v>14124</v>
      </c>
      <c r="V741" t="s">
        <v>14125</v>
      </c>
      <c r="W741" t="s">
        <v>14126</v>
      </c>
      <c r="X741" t="s">
        <v>14127</v>
      </c>
      <c r="Y741" t="s">
        <v>14128</v>
      </c>
      <c r="Z741" t="s">
        <v>14129</v>
      </c>
      <c r="AA741" t="s">
        <v>14130</v>
      </c>
      <c r="AB741" t="s">
        <v>14131</v>
      </c>
      <c r="AC741" t="s">
        <v>14132</v>
      </c>
      <c r="AD741" t="s">
        <v>6051</v>
      </c>
      <c r="AE741" t="s">
        <v>14133</v>
      </c>
      <c r="AF741" t="s">
        <v>74</v>
      </c>
      <c r="AG741">
        <v>27</v>
      </c>
      <c r="AH741">
        <v>4</v>
      </c>
      <c r="AI741">
        <v>6</v>
      </c>
      <c r="AJ741">
        <v>1</v>
      </c>
      <c r="AK741">
        <v>12</v>
      </c>
      <c r="AL741" t="s">
        <v>10297</v>
      </c>
      <c r="AM741" t="s">
        <v>5967</v>
      </c>
      <c r="AN741" t="s">
        <v>10298</v>
      </c>
      <c r="AO741" t="s">
        <v>14134</v>
      </c>
      <c r="AP741" t="s">
        <v>14135</v>
      </c>
      <c r="AQ741" t="s">
        <v>74</v>
      </c>
      <c r="AR741" t="s">
        <v>14136</v>
      </c>
      <c r="AS741" t="s">
        <v>14137</v>
      </c>
      <c r="AT741" t="s">
        <v>13423</v>
      </c>
      <c r="AU741">
        <v>2016</v>
      </c>
      <c r="AV741">
        <v>52</v>
      </c>
      <c r="AW741">
        <v>4</v>
      </c>
      <c r="AX741" t="s">
        <v>74</v>
      </c>
      <c r="AY741" t="s">
        <v>74</v>
      </c>
      <c r="AZ741" t="s">
        <v>74</v>
      </c>
      <c r="BA741" t="s">
        <v>74</v>
      </c>
      <c r="BB741">
        <v>389</v>
      </c>
      <c r="BC741">
        <v>396</v>
      </c>
      <c r="BD741" t="s">
        <v>74</v>
      </c>
      <c r="BE741" t="s">
        <v>14138</v>
      </c>
      <c r="BF741" t="str">
        <f>HYPERLINK("http://dx.doi.org/10.1134/S0003683816040025","http://dx.doi.org/10.1134/S0003683816040025")</f>
        <v>http://dx.doi.org/10.1134/S0003683816040025</v>
      </c>
      <c r="BG741" t="s">
        <v>74</v>
      </c>
      <c r="BH741" t="s">
        <v>74</v>
      </c>
      <c r="BI741">
        <v>8</v>
      </c>
      <c r="BJ741" t="s">
        <v>14139</v>
      </c>
      <c r="BK741" t="s">
        <v>156</v>
      </c>
      <c r="BL741" t="s">
        <v>14139</v>
      </c>
      <c r="BM741" t="s">
        <v>14140</v>
      </c>
      <c r="BN741" t="s">
        <v>74</v>
      </c>
      <c r="BO741" t="s">
        <v>74</v>
      </c>
      <c r="BP741" t="s">
        <v>74</v>
      </c>
      <c r="BQ741" t="s">
        <v>74</v>
      </c>
      <c r="BR741" t="s">
        <v>105</v>
      </c>
      <c r="BS741" t="s">
        <v>14141</v>
      </c>
      <c r="BT741" t="str">
        <f>HYPERLINK("https%3A%2F%2Fwww.webofscience.com%2Fwos%2Fwoscc%2Ffull-record%2FWOS:000380261000007","View Full Record in Web of Science")</f>
        <v>View Full Record in Web of Science</v>
      </c>
    </row>
    <row r="742" spans="1:72" x14ac:dyDescent="0.15">
      <c r="A742" t="s">
        <v>72</v>
      </c>
      <c r="B742" t="s">
        <v>14142</v>
      </c>
      <c r="C742" t="s">
        <v>74</v>
      </c>
      <c r="D742" t="s">
        <v>74</v>
      </c>
      <c r="E742" t="s">
        <v>74</v>
      </c>
      <c r="F742" t="s">
        <v>14143</v>
      </c>
      <c r="G742" t="s">
        <v>74</v>
      </c>
      <c r="H742" t="s">
        <v>74</v>
      </c>
      <c r="I742" t="s">
        <v>14144</v>
      </c>
      <c r="J742" t="s">
        <v>14145</v>
      </c>
      <c r="K742" t="s">
        <v>74</v>
      </c>
      <c r="L742" t="s">
        <v>74</v>
      </c>
      <c r="M742" t="s">
        <v>78</v>
      </c>
      <c r="N742" t="s">
        <v>79</v>
      </c>
      <c r="O742" t="s">
        <v>74</v>
      </c>
      <c r="P742" t="s">
        <v>74</v>
      </c>
      <c r="Q742" t="s">
        <v>74</v>
      </c>
      <c r="R742" t="s">
        <v>74</v>
      </c>
      <c r="S742" t="s">
        <v>74</v>
      </c>
      <c r="T742" t="s">
        <v>14146</v>
      </c>
      <c r="U742" t="s">
        <v>14147</v>
      </c>
      <c r="V742" t="s">
        <v>14148</v>
      </c>
      <c r="W742" t="s">
        <v>14149</v>
      </c>
      <c r="X742" t="s">
        <v>14150</v>
      </c>
      <c r="Y742" t="s">
        <v>14151</v>
      </c>
      <c r="Z742" t="s">
        <v>14152</v>
      </c>
      <c r="AA742" t="s">
        <v>14153</v>
      </c>
      <c r="AB742" t="s">
        <v>14154</v>
      </c>
      <c r="AC742" t="s">
        <v>14155</v>
      </c>
      <c r="AD742" t="s">
        <v>14155</v>
      </c>
      <c r="AE742" t="s">
        <v>14156</v>
      </c>
      <c r="AF742" t="s">
        <v>74</v>
      </c>
      <c r="AG742">
        <v>26</v>
      </c>
      <c r="AH742">
        <v>7</v>
      </c>
      <c r="AI742">
        <v>7</v>
      </c>
      <c r="AJ742">
        <v>0</v>
      </c>
      <c r="AK742">
        <v>47</v>
      </c>
      <c r="AL742" t="s">
        <v>7119</v>
      </c>
      <c r="AM742" t="s">
        <v>7120</v>
      </c>
      <c r="AN742" t="s">
        <v>7451</v>
      </c>
      <c r="AO742" t="s">
        <v>14157</v>
      </c>
      <c r="AP742" t="s">
        <v>14158</v>
      </c>
      <c r="AQ742" t="s">
        <v>74</v>
      </c>
      <c r="AR742" t="s">
        <v>14159</v>
      </c>
      <c r="AS742" t="s">
        <v>14160</v>
      </c>
      <c r="AT742" t="s">
        <v>13423</v>
      </c>
      <c r="AU742">
        <v>2016</v>
      </c>
      <c r="AV742">
        <v>44</v>
      </c>
      <c r="AW742">
        <v>7</v>
      </c>
      <c r="AX742" t="s">
        <v>74</v>
      </c>
      <c r="AY742" t="s">
        <v>74</v>
      </c>
      <c r="AZ742" t="s">
        <v>74</v>
      </c>
      <c r="BA742" t="s">
        <v>74</v>
      </c>
      <c r="BB742">
        <v>1003</v>
      </c>
      <c r="BC742">
        <v>1007</v>
      </c>
      <c r="BD742" t="s">
        <v>74</v>
      </c>
      <c r="BE742" t="s">
        <v>14161</v>
      </c>
      <c r="BF742" t="str">
        <f>HYPERLINK("http://dx.doi.org/10.1016/S1872-2040(16)60941-6","http://dx.doi.org/10.1016/S1872-2040(16)60941-6")</f>
        <v>http://dx.doi.org/10.1016/S1872-2040(16)60941-6</v>
      </c>
      <c r="BG742" t="s">
        <v>74</v>
      </c>
      <c r="BH742" t="s">
        <v>74</v>
      </c>
      <c r="BI742">
        <v>5</v>
      </c>
      <c r="BJ742" t="s">
        <v>5586</v>
      </c>
      <c r="BK742" t="s">
        <v>156</v>
      </c>
      <c r="BL742" t="s">
        <v>5587</v>
      </c>
      <c r="BM742" t="s">
        <v>14162</v>
      </c>
      <c r="BN742" t="s">
        <v>74</v>
      </c>
      <c r="BO742" t="s">
        <v>74</v>
      </c>
      <c r="BP742" t="s">
        <v>74</v>
      </c>
      <c r="BQ742" t="s">
        <v>74</v>
      </c>
      <c r="BR742" t="s">
        <v>105</v>
      </c>
      <c r="BS742" t="s">
        <v>14163</v>
      </c>
      <c r="BT742" t="str">
        <f>HYPERLINK("https%3A%2F%2Fwww.webofscience.com%2Fwos%2Fwoscc%2Ffull-record%2FWOS:000380762100001","View Full Record in Web of Science")</f>
        <v>View Full Record in Web of Science</v>
      </c>
    </row>
    <row r="743" spans="1:72" x14ac:dyDescent="0.15">
      <c r="A743" t="s">
        <v>72</v>
      </c>
      <c r="B743" t="s">
        <v>14164</v>
      </c>
      <c r="C743" t="s">
        <v>74</v>
      </c>
      <c r="D743" t="s">
        <v>74</v>
      </c>
      <c r="E743" t="s">
        <v>74</v>
      </c>
      <c r="F743" t="s">
        <v>14165</v>
      </c>
      <c r="G743" t="s">
        <v>74</v>
      </c>
      <c r="H743" t="s">
        <v>74</v>
      </c>
      <c r="I743" t="s">
        <v>14166</v>
      </c>
      <c r="J743" t="s">
        <v>14167</v>
      </c>
      <c r="K743" t="s">
        <v>74</v>
      </c>
      <c r="L743" t="s">
        <v>74</v>
      </c>
      <c r="M743" t="s">
        <v>78</v>
      </c>
      <c r="N743" t="s">
        <v>79</v>
      </c>
      <c r="O743" t="s">
        <v>74</v>
      </c>
      <c r="P743" t="s">
        <v>74</v>
      </c>
      <c r="Q743" t="s">
        <v>74</v>
      </c>
      <c r="R743" t="s">
        <v>74</v>
      </c>
      <c r="S743" t="s">
        <v>74</v>
      </c>
      <c r="T743" t="s">
        <v>14168</v>
      </c>
      <c r="U743" t="s">
        <v>14169</v>
      </c>
      <c r="V743" t="s">
        <v>14170</v>
      </c>
      <c r="W743" t="s">
        <v>14171</v>
      </c>
      <c r="X743" t="s">
        <v>14172</v>
      </c>
      <c r="Y743" t="s">
        <v>14173</v>
      </c>
      <c r="Z743" t="s">
        <v>14174</v>
      </c>
      <c r="AA743" t="s">
        <v>14175</v>
      </c>
      <c r="AB743" t="s">
        <v>14176</v>
      </c>
      <c r="AC743" t="s">
        <v>74</v>
      </c>
      <c r="AD743" t="s">
        <v>74</v>
      </c>
      <c r="AE743" t="s">
        <v>74</v>
      </c>
      <c r="AF743" t="s">
        <v>74</v>
      </c>
      <c r="AG743">
        <v>31</v>
      </c>
      <c r="AH743">
        <v>38</v>
      </c>
      <c r="AI743">
        <v>43</v>
      </c>
      <c r="AJ743">
        <v>5</v>
      </c>
      <c r="AK743">
        <v>33</v>
      </c>
      <c r="AL743" t="s">
        <v>14177</v>
      </c>
      <c r="AM743" t="s">
        <v>14178</v>
      </c>
      <c r="AN743" t="s">
        <v>14179</v>
      </c>
      <c r="AO743" t="s">
        <v>14180</v>
      </c>
      <c r="AP743" t="s">
        <v>74</v>
      </c>
      <c r="AQ743" t="s">
        <v>74</v>
      </c>
      <c r="AR743" t="s">
        <v>14181</v>
      </c>
      <c r="AS743" t="s">
        <v>14182</v>
      </c>
      <c r="AT743" t="s">
        <v>13423</v>
      </c>
      <c r="AU743">
        <v>2016</v>
      </c>
      <c r="AV743">
        <v>22</v>
      </c>
      <c r="AW743" t="s">
        <v>74</v>
      </c>
      <c r="AX743" t="s">
        <v>74</v>
      </c>
      <c r="AY743" t="s">
        <v>74</v>
      </c>
      <c r="AZ743" t="s">
        <v>74</v>
      </c>
      <c r="BA743" t="s">
        <v>74</v>
      </c>
      <c r="BB743">
        <v>31</v>
      </c>
      <c r="BC743">
        <v>37</v>
      </c>
      <c r="BD743" t="s">
        <v>74</v>
      </c>
      <c r="BE743" t="s">
        <v>14183</v>
      </c>
      <c r="BF743" t="str">
        <f>HYPERLINK("http://dx.doi.org/10.1016/j.ejbt.2016.02.008","http://dx.doi.org/10.1016/j.ejbt.2016.02.008")</f>
        <v>http://dx.doi.org/10.1016/j.ejbt.2016.02.008</v>
      </c>
      <c r="BG743" t="s">
        <v>74</v>
      </c>
      <c r="BH743" t="s">
        <v>74</v>
      </c>
      <c r="BI743">
        <v>7</v>
      </c>
      <c r="BJ743" t="s">
        <v>12891</v>
      </c>
      <c r="BK743" t="s">
        <v>156</v>
      </c>
      <c r="BL743" t="s">
        <v>12891</v>
      </c>
      <c r="BM743" t="s">
        <v>14184</v>
      </c>
      <c r="BN743" t="s">
        <v>74</v>
      </c>
      <c r="BO743" t="s">
        <v>133</v>
      </c>
      <c r="BP743" t="s">
        <v>74</v>
      </c>
      <c r="BQ743" t="s">
        <v>74</v>
      </c>
      <c r="BR743" t="s">
        <v>105</v>
      </c>
      <c r="BS743" t="s">
        <v>14185</v>
      </c>
      <c r="BT743" t="str">
        <f>HYPERLINK("https%3A%2F%2Fwww.webofscience.com%2Fwos%2Fwoscc%2Ffull-record%2FWOS:000380541700005","View Full Record in Web of Science")</f>
        <v>View Full Record in Web of Science</v>
      </c>
    </row>
    <row r="744" spans="1:72" x14ac:dyDescent="0.15">
      <c r="A744" t="s">
        <v>72</v>
      </c>
      <c r="B744" t="s">
        <v>14186</v>
      </c>
      <c r="C744" t="s">
        <v>74</v>
      </c>
      <c r="D744" t="s">
        <v>74</v>
      </c>
      <c r="E744" t="s">
        <v>74</v>
      </c>
      <c r="F744" t="s">
        <v>14187</v>
      </c>
      <c r="G744" t="s">
        <v>74</v>
      </c>
      <c r="H744" t="s">
        <v>74</v>
      </c>
      <c r="I744" t="s">
        <v>14188</v>
      </c>
      <c r="J744" t="s">
        <v>14189</v>
      </c>
      <c r="K744" t="s">
        <v>74</v>
      </c>
      <c r="L744" t="s">
        <v>74</v>
      </c>
      <c r="M744" t="s">
        <v>78</v>
      </c>
      <c r="N744" t="s">
        <v>79</v>
      </c>
      <c r="O744" t="s">
        <v>74</v>
      </c>
      <c r="P744" t="s">
        <v>74</v>
      </c>
      <c r="Q744" t="s">
        <v>74</v>
      </c>
      <c r="R744" t="s">
        <v>74</v>
      </c>
      <c r="S744" t="s">
        <v>74</v>
      </c>
      <c r="T744" t="s">
        <v>14190</v>
      </c>
      <c r="U744" t="s">
        <v>14191</v>
      </c>
      <c r="V744" t="s">
        <v>14192</v>
      </c>
      <c r="W744" t="s">
        <v>14193</v>
      </c>
      <c r="X744" t="s">
        <v>7263</v>
      </c>
      <c r="Y744" t="s">
        <v>14194</v>
      </c>
      <c r="Z744" t="s">
        <v>14195</v>
      </c>
      <c r="AA744" t="s">
        <v>14196</v>
      </c>
      <c r="AB744" t="s">
        <v>14197</v>
      </c>
      <c r="AC744" t="s">
        <v>14198</v>
      </c>
      <c r="AD744" t="s">
        <v>14199</v>
      </c>
      <c r="AE744" t="s">
        <v>14200</v>
      </c>
      <c r="AF744" t="s">
        <v>74</v>
      </c>
      <c r="AG744">
        <v>31</v>
      </c>
      <c r="AH744">
        <v>17</v>
      </c>
      <c r="AI744">
        <v>18</v>
      </c>
      <c r="AJ744">
        <v>1</v>
      </c>
      <c r="AK744">
        <v>52</v>
      </c>
      <c r="AL744" t="s">
        <v>2541</v>
      </c>
      <c r="AM744" t="s">
        <v>502</v>
      </c>
      <c r="AN744" t="s">
        <v>503</v>
      </c>
      <c r="AO744" t="s">
        <v>14201</v>
      </c>
      <c r="AP744" t="s">
        <v>14202</v>
      </c>
      <c r="AQ744" t="s">
        <v>74</v>
      </c>
      <c r="AR744" t="s">
        <v>14203</v>
      </c>
      <c r="AS744" t="s">
        <v>14204</v>
      </c>
      <c r="AT744" t="s">
        <v>13423</v>
      </c>
      <c r="AU744">
        <v>2016</v>
      </c>
      <c r="AV744">
        <v>56</v>
      </c>
      <c r="AW744">
        <v>7</v>
      </c>
      <c r="AX744" t="s">
        <v>74</v>
      </c>
      <c r="AY744" t="s">
        <v>74</v>
      </c>
      <c r="AZ744" t="s">
        <v>650</v>
      </c>
      <c r="BA744" t="s">
        <v>74</v>
      </c>
      <c r="BB744">
        <v>753</v>
      </c>
      <c r="BC744">
        <v>761</v>
      </c>
      <c r="BD744" t="s">
        <v>74</v>
      </c>
      <c r="BE744" t="s">
        <v>14205</v>
      </c>
      <c r="BF744" t="str">
        <f>HYPERLINK("http://dx.doi.org/10.1002/jobm.201500444","http://dx.doi.org/10.1002/jobm.201500444")</f>
        <v>http://dx.doi.org/10.1002/jobm.201500444</v>
      </c>
      <c r="BG744" t="s">
        <v>74</v>
      </c>
      <c r="BH744" t="s">
        <v>74</v>
      </c>
      <c r="BI744">
        <v>9</v>
      </c>
      <c r="BJ744" t="s">
        <v>130</v>
      </c>
      <c r="BK744" t="s">
        <v>156</v>
      </c>
      <c r="BL744" t="s">
        <v>130</v>
      </c>
      <c r="BM744" t="s">
        <v>14206</v>
      </c>
      <c r="BN744">
        <v>26422794</v>
      </c>
      <c r="BO744" t="s">
        <v>74</v>
      </c>
      <c r="BP744" t="s">
        <v>74</v>
      </c>
      <c r="BQ744" t="s">
        <v>74</v>
      </c>
      <c r="BR744" t="s">
        <v>105</v>
      </c>
      <c r="BS744" t="s">
        <v>14207</v>
      </c>
      <c r="BT744" t="str">
        <f>HYPERLINK("https%3A%2F%2Fwww.webofscience.com%2Fwos%2Fwoscc%2Ffull-record%2FWOS:000380360200008","View Full Record in Web of Science")</f>
        <v>View Full Record in Web of Science</v>
      </c>
    </row>
    <row r="745" spans="1:72" x14ac:dyDescent="0.15">
      <c r="A745" t="s">
        <v>72</v>
      </c>
      <c r="B745" t="s">
        <v>14208</v>
      </c>
      <c r="C745" t="s">
        <v>74</v>
      </c>
      <c r="D745" t="s">
        <v>74</v>
      </c>
      <c r="E745" t="s">
        <v>74</v>
      </c>
      <c r="F745" t="s">
        <v>14209</v>
      </c>
      <c r="G745" t="s">
        <v>74</v>
      </c>
      <c r="H745" t="s">
        <v>74</v>
      </c>
      <c r="I745" t="s">
        <v>14210</v>
      </c>
      <c r="J745" t="s">
        <v>14211</v>
      </c>
      <c r="K745" t="s">
        <v>74</v>
      </c>
      <c r="L745" t="s">
        <v>74</v>
      </c>
      <c r="M745" t="s">
        <v>78</v>
      </c>
      <c r="N745" t="s">
        <v>79</v>
      </c>
      <c r="O745" t="s">
        <v>74</v>
      </c>
      <c r="P745" t="s">
        <v>74</v>
      </c>
      <c r="Q745" t="s">
        <v>74</v>
      </c>
      <c r="R745" t="s">
        <v>74</v>
      </c>
      <c r="S745" t="s">
        <v>74</v>
      </c>
      <c r="T745" t="s">
        <v>74</v>
      </c>
      <c r="U745" t="s">
        <v>14212</v>
      </c>
      <c r="V745" t="s">
        <v>14213</v>
      </c>
      <c r="W745" t="s">
        <v>14214</v>
      </c>
      <c r="X745" t="s">
        <v>14215</v>
      </c>
      <c r="Y745" t="s">
        <v>14216</v>
      </c>
      <c r="Z745" t="s">
        <v>14217</v>
      </c>
      <c r="AA745" t="s">
        <v>14218</v>
      </c>
      <c r="AB745" t="s">
        <v>14219</v>
      </c>
      <c r="AC745" t="s">
        <v>14220</v>
      </c>
      <c r="AD745" t="s">
        <v>14221</v>
      </c>
      <c r="AE745" t="s">
        <v>14222</v>
      </c>
      <c r="AF745" t="s">
        <v>74</v>
      </c>
      <c r="AG745">
        <v>37</v>
      </c>
      <c r="AH745">
        <v>21</v>
      </c>
      <c r="AI745">
        <v>23</v>
      </c>
      <c r="AJ745">
        <v>0</v>
      </c>
      <c r="AK745">
        <v>54</v>
      </c>
      <c r="AL745" t="s">
        <v>2175</v>
      </c>
      <c r="AM745" t="s">
        <v>123</v>
      </c>
      <c r="AN745" t="s">
        <v>2176</v>
      </c>
      <c r="AO745" t="s">
        <v>14223</v>
      </c>
      <c r="AP745" t="s">
        <v>14224</v>
      </c>
      <c r="AQ745" t="s">
        <v>74</v>
      </c>
      <c r="AR745" t="s">
        <v>14225</v>
      </c>
      <c r="AS745" t="s">
        <v>14226</v>
      </c>
      <c r="AT745" t="s">
        <v>13423</v>
      </c>
      <c r="AU745">
        <v>2016</v>
      </c>
      <c r="AV745">
        <v>79</v>
      </c>
      <c r="AW745">
        <v>7</v>
      </c>
      <c r="AX745" t="s">
        <v>74</v>
      </c>
      <c r="AY745" t="s">
        <v>74</v>
      </c>
      <c r="AZ745" t="s">
        <v>74</v>
      </c>
      <c r="BA745" t="s">
        <v>74</v>
      </c>
      <c r="BB745">
        <v>1783</v>
      </c>
      <c r="BC745">
        <v>1790</v>
      </c>
      <c r="BD745" t="s">
        <v>74</v>
      </c>
      <c r="BE745" t="s">
        <v>14227</v>
      </c>
      <c r="BF745" t="str">
        <f>HYPERLINK("http://dx.doi.org/10.1021/acs.jnatprod.6b00218","http://dx.doi.org/10.1021/acs.jnatprod.6b00218")</f>
        <v>http://dx.doi.org/10.1021/acs.jnatprod.6b00218</v>
      </c>
      <c r="BG745" t="s">
        <v>74</v>
      </c>
      <c r="BH745" t="s">
        <v>74</v>
      </c>
      <c r="BI745">
        <v>8</v>
      </c>
      <c r="BJ745" t="s">
        <v>14228</v>
      </c>
      <c r="BK745" t="s">
        <v>14229</v>
      </c>
      <c r="BL745" t="s">
        <v>14230</v>
      </c>
      <c r="BM745" t="s">
        <v>14231</v>
      </c>
      <c r="BN745">
        <v>27359163</v>
      </c>
      <c r="BO745" t="s">
        <v>74</v>
      </c>
      <c r="BP745" t="s">
        <v>74</v>
      </c>
      <c r="BQ745" t="s">
        <v>74</v>
      </c>
      <c r="BR745" t="s">
        <v>105</v>
      </c>
      <c r="BS745" t="s">
        <v>14232</v>
      </c>
      <c r="BT745" t="str">
        <f>HYPERLINK("https%3A%2F%2Fwww.webofscience.com%2Fwos%2Fwoscc%2Ffull-record%2FWOS:000380422400011","View Full Record in Web of Science")</f>
        <v>View Full Record in Web of Science</v>
      </c>
    </row>
    <row r="746" spans="1:72" x14ac:dyDescent="0.15">
      <c r="A746" t="s">
        <v>72</v>
      </c>
      <c r="B746" t="s">
        <v>14233</v>
      </c>
      <c r="C746" t="s">
        <v>74</v>
      </c>
      <c r="D746" t="s">
        <v>74</v>
      </c>
      <c r="E746" t="s">
        <v>74</v>
      </c>
      <c r="F746" t="s">
        <v>14234</v>
      </c>
      <c r="G746" t="s">
        <v>74</v>
      </c>
      <c r="H746" t="s">
        <v>74</v>
      </c>
      <c r="I746" t="s">
        <v>14235</v>
      </c>
      <c r="J746" t="s">
        <v>6747</v>
      </c>
      <c r="K746" t="s">
        <v>74</v>
      </c>
      <c r="L746" t="s">
        <v>74</v>
      </c>
      <c r="M746" t="s">
        <v>78</v>
      </c>
      <c r="N746" t="s">
        <v>79</v>
      </c>
      <c r="O746" t="s">
        <v>74</v>
      </c>
      <c r="P746" t="s">
        <v>74</v>
      </c>
      <c r="Q746" t="s">
        <v>74</v>
      </c>
      <c r="R746" t="s">
        <v>74</v>
      </c>
      <c r="S746" t="s">
        <v>74</v>
      </c>
      <c r="T746" t="s">
        <v>14236</v>
      </c>
      <c r="U746" t="s">
        <v>14237</v>
      </c>
      <c r="V746" t="s">
        <v>14238</v>
      </c>
      <c r="W746" t="s">
        <v>14239</v>
      </c>
      <c r="X746" t="s">
        <v>14240</v>
      </c>
      <c r="Y746" t="s">
        <v>14241</v>
      </c>
      <c r="Z746" t="s">
        <v>14242</v>
      </c>
      <c r="AA746" t="s">
        <v>14243</v>
      </c>
      <c r="AB746" t="s">
        <v>14244</v>
      </c>
      <c r="AC746" t="s">
        <v>14245</v>
      </c>
      <c r="AD746" t="s">
        <v>14246</v>
      </c>
      <c r="AE746" t="s">
        <v>14247</v>
      </c>
      <c r="AF746" t="s">
        <v>74</v>
      </c>
      <c r="AG746">
        <v>45</v>
      </c>
      <c r="AH746">
        <v>9</v>
      </c>
      <c r="AI746">
        <v>10</v>
      </c>
      <c r="AJ746">
        <v>1</v>
      </c>
      <c r="AK746">
        <v>15</v>
      </c>
      <c r="AL746" t="s">
        <v>644</v>
      </c>
      <c r="AM746" t="s">
        <v>594</v>
      </c>
      <c r="AN746" t="s">
        <v>3025</v>
      </c>
      <c r="AO746" t="s">
        <v>6758</v>
      </c>
      <c r="AP746" t="s">
        <v>6759</v>
      </c>
      <c r="AQ746" t="s">
        <v>74</v>
      </c>
      <c r="AR746" t="s">
        <v>6760</v>
      </c>
      <c r="AS746" t="s">
        <v>6761</v>
      </c>
      <c r="AT746" t="s">
        <v>13423</v>
      </c>
      <c r="AU746">
        <v>2016</v>
      </c>
      <c r="AV746">
        <v>35</v>
      </c>
      <c r="AW746">
        <v>7</v>
      </c>
      <c r="AX746" t="s">
        <v>74</v>
      </c>
      <c r="AY746" t="s">
        <v>74</v>
      </c>
      <c r="AZ746" t="s">
        <v>74</v>
      </c>
      <c r="BA746" t="s">
        <v>74</v>
      </c>
      <c r="BB746">
        <v>8</v>
      </c>
      <c r="BC746">
        <v>13</v>
      </c>
      <c r="BD746" t="s">
        <v>74</v>
      </c>
      <c r="BE746" t="s">
        <v>14248</v>
      </c>
      <c r="BF746" t="str">
        <f>HYPERLINK("http://dx.doi.org/10.1007/s13131-016-0901-2","http://dx.doi.org/10.1007/s13131-016-0901-2")</f>
        <v>http://dx.doi.org/10.1007/s13131-016-0901-2</v>
      </c>
      <c r="BG746" t="s">
        <v>74</v>
      </c>
      <c r="BH746" t="s">
        <v>74</v>
      </c>
      <c r="BI746">
        <v>6</v>
      </c>
      <c r="BJ746" t="s">
        <v>405</v>
      </c>
      <c r="BK746" t="s">
        <v>156</v>
      </c>
      <c r="BL746" t="s">
        <v>405</v>
      </c>
      <c r="BM746" t="s">
        <v>14249</v>
      </c>
      <c r="BN746" t="s">
        <v>74</v>
      </c>
      <c r="BO746" t="s">
        <v>74</v>
      </c>
      <c r="BP746" t="s">
        <v>74</v>
      </c>
      <c r="BQ746" t="s">
        <v>74</v>
      </c>
      <c r="BR746" t="s">
        <v>105</v>
      </c>
      <c r="BS746" t="s">
        <v>14250</v>
      </c>
      <c r="BT746" t="str">
        <f>HYPERLINK("https%3A%2F%2Fwww.webofscience.com%2Fwos%2Fwoscc%2Ffull-record%2FWOS:000380153000002","View Full Record in Web of Science")</f>
        <v>View Full Record in Web of Science</v>
      </c>
    </row>
    <row r="747" spans="1:72" x14ac:dyDescent="0.15">
      <c r="A747" t="s">
        <v>72</v>
      </c>
      <c r="B747" t="s">
        <v>14251</v>
      </c>
      <c r="C747" t="s">
        <v>74</v>
      </c>
      <c r="D747" t="s">
        <v>74</v>
      </c>
      <c r="E747" t="s">
        <v>74</v>
      </c>
      <c r="F747" t="s">
        <v>14252</v>
      </c>
      <c r="G747" t="s">
        <v>74</v>
      </c>
      <c r="H747" t="s">
        <v>74</v>
      </c>
      <c r="I747" t="s">
        <v>14253</v>
      </c>
      <c r="J747" t="s">
        <v>6747</v>
      </c>
      <c r="K747" t="s">
        <v>74</v>
      </c>
      <c r="L747" t="s">
        <v>74</v>
      </c>
      <c r="M747" t="s">
        <v>78</v>
      </c>
      <c r="N747" t="s">
        <v>79</v>
      </c>
      <c r="O747" t="s">
        <v>74</v>
      </c>
      <c r="P747" t="s">
        <v>74</v>
      </c>
      <c r="Q747" t="s">
        <v>74</v>
      </c>
      <c r="R747" t="s">
        <v>74</v>
      </c>
      <c r="S747" t="s">
        <v>74</v>
      </c>
      <c r="T747" t="s">
        <v>14254</v>
      </c>
      <c r="U747" t="s">
        <v>14255</v>
      </c>
      <c r="V747" t="s">
        <v>14256</v>
      </c>
      <c r="W747" t="s">
        <v>14257</v>
      </c>
      <c r="X747" t="s">
        <v>14258</v>
      </c>
      <c r="Y747" t="s">
        <v>14259</v>
      </c>
      <c r="Z747" t="s">
        <v>14260</v>
      </c>
      <c r="AA747" t="s">
        <v>74</v>
      </c>
      <c r="AB747" t="s">
        <v>74</v>
      </c>
      <c r="AC747" t="s">
        <v>14261</v>
      </c>
      <c r="AD747" t="s">
        <v>14262</v>
      </c>
      <c r="AE747" t="s">
        <v>14263</v>
      </c>
      <c r="AF747" t="s">
        <v>74</v>
      </c>
      <c r="AG747">
        <v>34</v>
      </c>
      <c r="AH747">
        <v>17</v>
      </c>
      <c r="AI747">
        <v>21</v>
      </c>
      <c r="AJ747">
        <v>3</v>
      </c>
      <c r="AK747">
        <v>17</v>
      </c>
      <c r="AL747" t="s">
        <v>644</v>
      </c>
      <c r="AM747" t="s">
        <v>594</v>
      </c>
      <c r="AN747" t="s">
        <v>645</v>
      </c>
      <c r="AO747" t="s">
        <v>6758</v>
      </c>
      <c r="AP747" t="s">
        <v>6759</v>
      </c>
      <c r="AQ747" t="s">
        <v>74</v>
      </c>
      <c r="AR747" t="s">
        <v>6760</v>
      </c>
      <c r="AS747" t="s">
        <v>6761</v>
      </c>
      <c r="AT747" t="s">
        <v>13423</v>
      </c>
      <c r="AU747">
        <v>2016</v>
      </c>
      <c r="AV747">
        <v>35</v>
      </c>
      <c r="AW747">
        <v>7</v>
      </c>
      <c r="AX747" t="s">
        <v>74</v>
      </c>
      <c r="AY747" t="s">
        <v>74</v>
      </c>
      <c r="AZ747" t="s">
        <v>74</v>
      </c>
      <c r="BA747" t="s">
        <v>74</v>
      </c>
      <c r="BB747">
        <v>59</v>
      </c>
      <c r="BC747">
        <v>67</v>
      </c>
      <c r="BD747" t="s">
        <v>74</v>
      </c>
      <c r="BE747" t="s">
        <v>14264</v>
      </c>
      <c r="BF747" t="str">
        <f>HYPERLINK("http://dx.doi.org/10.1007/s13131-016-0913-y","http://dx.doi.org/10.1007/s13131-016-0913-y")</f>
        <v>http://dx.doi.org/10.1007/s13131-016-0913-y</v>
      </c>
      <c r="BG747" t="s">
        <v>74</v>
      </c>
      <c r="BH747" t="s">
        <v>74</v>
      </c>
      <c r="BI747">
        <v>9</v>
      </c>
      <c r="BJ747" t="s">
        <v>405</v>
      </c>
      <c r="BK747" t="s">
        <v>156</v>
      </c>
      <c r="BL747" t="s">
        <v>405</v>
      </c>
      <c r="BM747" t="s">
        <v>14249</v>
      </c>
      <c r="BN747" t="s">
        <v>74</v>
      </c>
      <c r="BO747" t="s">
        <v>74</v>
      </c>
      <c r="BP747" t="s">
        <v>74</v>
      </c>
      <c r="BQ747" t="s">
        <v>74</v>
      </c>
      <c r="BR747" t="s">
        <v>105</v>
      </c>
      <c r="BS747" t="s">
        <v>14265</v>
      </c>
      <c r="BT747" t="str">
        <f>HYPERLINK("https%3A%2F%2Fwww.webofscience.com%2Fwos%2Fwoscc%2Ffull-record%2FWOS:000380153000009","View Full Record in Web of Science")</f>
        <v>View Full Record in Web of Science</v>
      </c>
    </row>
    <row r="748" spans="1:72" x14ac:dyDescent="0.15">
      <c r="A748" t="s">
        <v>72</v>
      </c>
      <c r="B748" t="s">
        <v>14266</v>
      </c>
      <c r="C748" t="s">
        <v>74</v>
      </c>
      <c r="D748" t="s">
        <v>74</v>
      </c>
      <c r="E748" t="s">
        <v>74</v>
      </c>
      <c r="F748" t="s">
        <v>14267</v>
      </c>
      <c r="G748" t="s">
        <v>74</v>
      </c>
      <c r="H748" t="s">
        <v>74</v>
      </c>
      <c r="I748" t="s">
        <v>14268</v>
      </c>
      <c r="J748" t="s">
        <v>14269</v>
      </c>
      <c r="K748" t="s">
        <v>74</v>
      </c>
      <c r="L748" t="s">
        <v>74</v>
      </c>
      <c r="M748" t="s">
        <v>78</v>
      </c>
      <c r="N748" t="s">
        <v>79</v>
      </c>
      <c r="O748" t="s">
        <v>74</v>
      </c>
      <c r="P748" t="s">
        <v>74</v>
      </c>
      <c r="Q748" t="s">
        <v>74</v>
      </c>
      <c r="R748" t="s">
        <v>74</v>
      </c>
      <c r="S748" t="s">
        <v>74</v>
      </c>
      <c r="T748" t="s">
        <v>14270</v>
      </c>
      <c r="U748" t="s">
        <v>14271</v>
      </c>
      <c r="V748" t="s">
        <v>14272</v>
      </c>
      <c r="W748" t="s">
        <v>14273</v>
      </c>
      <c r="X748" t="s">
        <v>14274</v>
      </c>
      <c r="Y748" t="s">
        <v>14275</v>
      </c>
      <c r="Z748" t="s">
        <v>14276</v>
      </c>
      <c r="AA748" t="s">
        <v>14277</v>
      </c>
      <c r="AB748" t="s">
        <v>14278</v>
      </c>
      <c r="AC748" t="s">
        <v>14279</v>
      </c>
      <c r="AD748" t="s">
        <v>14280</v>
      </c>
      <c r="AE748" t="s">
        <v>14281</v>
      </c>
      <c r="AF748" t="s">
        <v>74</v>
      </c>
      <c r="AG748">
        <v>36</v>
      </c>
      <c r="AH748">
        <v>8</v>
      </c>
      <c r="AI748">
        <v>8</v>
      </c>
      <c r="AJ748">
        <v>1</v>
      </c>
      <c r="AK748">
        <v>52</v>
      </c>
      <c r="AL748" t="s">
        <v>196</v>
      </c>
      <c r="AM748" t="s">
        <v>93</v>
      </c>
      <c r="AN748" t="s">
        <v>197</v>
      </c>
      <c r="AO748" t="s">
        <v>14282</v>
      </c>
      <c r="AP748" t="s">
        <v>14283</v>
      </c>
      <c r="AQ748" t="s">
        <v>74</v>
      </c>
      <c r="AR748" t="s">
        <v>14284</v>
      </c>
      <c r="AS748" t="s">
        <v>14285</v>
      </c>
      <c r="AT748" t="s">
        <v>13423</v>
      </c>
      <c r="AU748">
        <v>2016</v>
      </c>
      <c r="AV748">
        <v>34</v>
      </c>
      <c r="AW748" t="s">
        <v>74</v>
      </c>
      <c r="AX748" t="s">
        <v>74</v>
      </c>
      <c r="AY748" t="s">
        <v>74</v>
      </c>
      <c r="AZ748" t="s">
        <v>74</v>
      </c>
      <c r="BA748" t="s">
        <v>74</v>
      </c>
      <c r="BB748">
        <v>35</v>
      </c>
      <c r="BC748">
        <v>43</v>
      </c>
      <c r="BD748" t="s">
        <v>74</v>
      </c>
      <c r="BE748" t="s">
        <v>14286</v>
      </c>
      <c r="BF748" t="str">
        <f>HYPERLINK("http://dx.doi.org/10.1016/j.ecoinf.2016.03.001","http://dx.doi.org/10.1016/j.ecoinf.2016.03.001")</f>
        <v>http://dx.doi.org/10.1016/j.ecoinf.2016.03.001</v>
      </c>
      <c r="BG748" t="s">
        <v>74</v>
      </c>
      <c r="BH748" t="s">
        <v>74</v>
      </c>
      <c r="BI748">
        <v>9</v>
      </c>
      <c r="BJ748" t="s">
        <v>531</v>
      </c>
      <c r="BK748" t="s">
        <v>156</v>
      </c>
      <c r="BL748" t="s">
        <v>532</v>
      </c>
      <c r="BM748" t="s">
        <v>14287</v>
      </c>
      <c r="BN748" t="s">
        <v>74</v>
      </c>
      <c r="BO748" t="s">
        <v>3054</v>
      </c>
      <c r="BP748" t="s">
        <v>74</v>
      </c>
      <c r="BQ748" t="s">
        <v>74</v>
      </c>
      <c r="BR748" t="s">
        <v>105</v>
      </c>
      <c r="BS748" t="s">
        <v>14288</v>
      </c>
      <c r="BT748" t="str">
        <f>HYPERLINK("https%3A%2F%2Fwww.webofscience.com%2Fwos%2Fwoscc%2Ffull-record%2FWOS:000380082300004","View Full Record in Web of Science")</f>
        <v>View Full Record in Web of Science</v>
      </c>
    </row>
    <row r="749" spans="1:72" x14ac:dyDescent="0.15">
      <c r="A749" t="s">
        <v>72</v>
      </c>
      <c r="B749" t="s">
        <v>14289</v>
      </c>
      <c r="C749" t="s">
        <v>74</v>
      </c>
      <c r="D749" t="s">
        <v>74</v>
      </c>
      <c r="E749" t="s">
        <v>74</v>
      </c>
      <c r="F749" t="s">
        <v>14290</v>
      </c>
      <c r="G749" t="s">
        <v>74</v>
      </c>
      <c r="H749" t="s">
        <v>74</v>
      </c>
      <c r="I749" t="s">
        <v>14291</v>
      </c>
      <c r="J749" t="s">
        <v>14292</v>
      </c>
      <c r="K749" t="s">
        <v>74</v>
      </c>
      <c r="L749" t="s">
        <v>74</v>
      </c>
      <c r="M749" t="s">
        <v>78</v>
      </c>
      <c r="N749" t="s">
        <v>79</v>
      </c>
      <c r="O749" t="s">
        <v>74</v>
      </c>
      <c r="P749" t="s">
        <v>74</v>
      </c>
      <c r="Q749" t="s">
        <v>74</v>
      </c>
      <c r="R749" t="s">
        <v>74</v>
      </c>
      <c r="S749" t="s">
        <v>74</v>
      </c>
      <c r="T749" t="s">
        <v>14293</v>
      </c>
      <c r="U749" t="s">
        <v>74</v>
      </c>
      <c r="V749" t="s">
        <v>14294</v>
      </c>
      <c r="W749" t="s">
        <v>14295</v>
      </c>
      <c r="X749" t="s">
        <v>469</v>
      </c>
      <c r="Y749" t="s">
        <v>14296</v>
      </c>
      <c r="Z749" t="s">
        <v>14297</v>
      </c>
      <c r="AA749" t="s">
        <v>14298</v>
      </c>
      <c r="AB749" t="s">
        <v>14299</v>
      </c>
      <c r="AC749" t="s">
        <v>14300</v>
      </c>
      <c r="AD749" t="s">
        <v>14301</v>
      </c>
      <c r="AE749" t="s">
        <v>14302</v>
      </c>
      <c r="AF749" t="s">
        <v>74</v>
      </c>
      <c r="AG749">
        <v>10</v>
      </c>
      <c r="AH749">
        <v>3</v>
      </c>
      <c r="AI749">
        <v>3</v>
      </c>
      <c r="AJ749">
        <v>0</v>
      </c>
      <c r="AK749">
        <v>20</v>
      </c>
      <c r="AL749" t="s">
        <v>2541</v>
      </c>
      <c r="AM749" t="s">
        <v>502</v>
      </c>
      <c r="AN749" t="s">
        <v>503</v>
      </c>
      <c r="AO749" t="s">
        <v>14303</v>
      </c>
      <c r="AP749" t="s">
        <v>14304</v>
      </c>
      <c r="AQ749" t="s">
        <v>74</v>
      </c>
      <c r="AR749" t="s">
        <v>14292</v>
      </c>
      <c r="AS749" t="s">
        <v>14305</v>
      </c>
      <c r="AT749" t="s">
        <v>13423</v>
      </c>
      <c r="AU749">
        <v>2016</v>
      </c>
      <c r="AV749">
        <v>16</v>
      </c>
      <c r="AW749">
        <v>14</v>
      </c>
      <c r="AX749" t="s">
        <v>74</v>
      </c>
      <c r="AY749" t="s">
        <v>74</v>
      </c>
      <c r="AZ749" t="s">
        <v>74</v>
      </c>
      <c r="BA749" t="s">
        <v>74</v>
      </c>
      <c r="BB749">
        <v>2043</v>
      </c>
      <c r="BC749">
        <v>2047</v>
      </c>
      <c r="BD749" t="s">
        <v>74</v>
      </c>
      <c r="BE749" t="s">
        <v>14306</v>
      </c>
      <c r="BF749" t="str">
        <f>HYPERLINK("http://dx.doi.org/10.1002/pmic.201600051","http://dx.doi.org/10.1002/pmic.201600051")</f>
        <v>http://dx.doi.org/10.1002/pmic.201600051</v>
      </c>
      <c r="BG749" t="s">
        <v>74</v>
      </c>
      <c r="BH749" t="s">
        <v>74</v>
      </c>
      <c r="BI749">
        <v>5</v>
      </c>
      <c r="BJ749" t="s">
        <v>14307</v>
      </c>
      <c r="BK749" t="s">
        <v>156</v>
      </c>
      <c r="BL749" t="s">
        <v>2547</v>
      </c>
      <c r="BM749" t="s">
        <v>14308</v>
      </c>
      <c r="BN749">
        <v>27272914</v>
      </c>
      <c r="BO749" t="s">
        <v>74</v>
      </c>
      <c r="BP749" t="s">
        <v>74</v>
      </c>
      <c r="BQ749" t="s">
        <v>74</v>
      </c>
      <c r="BR749" t="s">
        <v>105</v>
      </c>
      <c r="BS749" t="s">
        <v>14309</v>
      </c>
      <c r="BT749" t="str">
        <f>HYPERLINK("https%3A%2F%2Fwww.webofscience.com%2Fwos%2Fwoscc%2Ffull-record%2FWOS:000380060300013","View Full Record in Web of Science")</f>
        <v>View Full Record in Web of Science</v>
      </c>
    </row>
    <row r="750" spans="1:72" x14ac:dyDescent="0.15">
      <c r="A750" t="s">
        <v>72</v>
      </c>
      <c r="B750" t="s">
        <v>14310</v>
      </c>
      <c r="C750" t="s">
        <v>74</v>
      </c>
      <c r="D750" t="s">
        <v>74</v>
      </c>
      <c r="E750" t="s">
        <v>74</v>
      </c>
      <c r="F750" t="s">
        <v>14311</v>
      </c>
      <c r="G750" t="s">
        <v>74</v>
      </c>
      <c r="H750" t="s">
        <v>74</v>
      </c>
      <c r="I750" t="s">
        <v>14312</v>
      </c>
      <c r="J750" t="s">
        <v>631</v>
      </c>
      <c r="K750" t="s">
        <v>74</v>
      </c>
      <c r="L750" t="s">
        <v>74</v>
      </c>
      <c r="M750" t="s">
        <v>78</v>
      </c>
      <c r="N750" t="s">
        <v>79</v>
      </c>
      <c r="O750" t="s">
        <v>74</v>
      </c>
      <c r="P750" t="s">
        <v>74</v>
      </c>
      <c r="Q750" t="s">
        <v>74</v>
      </c>
      <c r="R750" t="s">
        <v>74</v>
      </c>
      <c r="S750" t="s">
        <v>74</v>
      </c>
      <c r="T750" t="s">
        <v>14313</v>
      </c>
      <c r="U750" t="s">
        <v>14314</v>
      </c>
      <c r="V750" t="s">
        <v>14315</v>
      </c>
      <c r="W750" t="s">
        <v>14316</v>
      </c>
      <c r="X750" t="s">
        <v>14317</v>
      </c>
      <c r="Y750" t="s">
        <v>14318</v>
      </c>
      <c r="Z750" t="s">
        <v>14319</v>
      </c>
      <c r="AA750" t="s">
        <v>74</v>
      </c>
      <c r="AB750" t="s">
        <v>74</v>
      </c>
      <c r="AC750" t="s">
        <v>14320</v>
      </c>
      <c r="AD750" t="s">
        <v>14321</v>
      </c>
      <c r="AE750" t="s">
        <v>14322</v>
      </c>
      <c r="AF750" t="s">
        <v>74</v>
      </c>
      <c r="AG750">
        <v>44</v>
      </c>
      <c r="AH750">
        <v>4</v>
      </c>
      <c r="AI750">
        <v>4</v>
      </c>
      <c r="AJ750">
        <v>0</v>
      </c>
      <c r="AK750">
        <v>24</v>
      </c>
      <c r="AL750" t="s">
        <v>644</v>
      </c>
      <c r="AM750" t="s">
        <v>594</v>
      </c>
      <c r="AN750" t="s">
        <v>3025</v>
      </c>
      <c r="AO750" t="s">
        <v>646</v>
      </c>
      <c r="AP750" t="s">
        <v>647</v>
      </c>
      <c r="AQ750" t="s">
        <v>74</v>
      </c>
      <c r="AR750" t="s">
        <v>648</v>
      </c>
      <c r="AS750" t="s">
        <v>649</v>
      </c>
      <c r="AT750" t="s">
        <v>13423</v>
      </c>
      <c r="AU750">
        <v>2016</v>
      </c>
      <c r="AV750">
        <v>39</v>
      </c>
      <c r="AW750">
        <v>7</v>
      </c>
      <c r="AX750" t="s">
        <v>74</v>
      </c>
      <c r="AY750" t="s">
        <v>74</v>
      </c>
      <c r="AZ750" t="s">
        <v>74</v>
      </c>
      <c r="BA750" t="s">
        <v>74</v>
      </c>
      <c r="BB750">
        <v>1175</v>
      </c>
      <c r="BC750">
        <v>1181</v>
      </c>
      <c r="BD750" t="s">
        <v>74</v>
      </c>
      <c r="BE750" t="s">
        <v>14323</v>
      </c>
      <c r="BF750" t="str">
        <f>HYPERLINK("http://dx.doi.org/10.1007/s00300-015-1831-8","http://dx.doi.org/10.1007/s00300-015-1831-8")</f>
        <v>http://dx.doi.org/10.1007/s00300-015-1831-8</v>
      </c>
      <c r="BG750" t="s">
        <v>74</v>
      </c>
      <c r="BH750" t="s">
        <v>74</v>
      </c>
      <c r="BI750">
        <v>7</v>
      </c>
      <c r="BJ750" t="s">
        <v>652</v>
      </c>
      <c r="BK750" t="s">
        <v>156</v>
      </c>
      <c r="BL750" t="s">
        <v>653</v>
      </c>
      <c r="BM750" t="s">
        <v>14324</v>
      </c>
      <c r="BN750" t="s">
        <v>74</v>
      </c>
      <c r="BO750" t="s">
        <v>74</v>
      </c>
      <c r="BP750" t="s">
        <v>74</v>
      </c>
      <c r="BQ750" t="s">
        <v>74</v>
      </c>
      <c r="BR750" t="s">
        <v>105</v>
      </c>
      <c r="BS750" t="s">
        <v>14325</v>
      </c>
      <c r="BT750" t="str">
        <f>HYPERLINK("https%3A%2F%2Fwww.webofscience.com%2Fwos%2Fwoscc%2Ffull-record%2FWOS:000379739200001","View Full Record in Web of Science")</f>
        <v>View Full Record in Web of Science</v>
      </c>
    </row>
    <row r="751" spans="1:72" x14ac:dyDescent="0.15">
      <c r="A751" t="s">
        <v>72</v>
      </c>
      <c r="B751" t="s">
        <v>14326</v>
      </c>
      <c r="C751" t="s">
        <v>74</v>
      </c>
      <c r="D751" t="s">
        <v>74</v>
      </c>
      <c r="E751" t="s">
        <v>74</v>
      </c>
      <c r="F751" t="s">
        <v>14327</v>
      </c>
      <c r="G751" t="s">
        <v>74</v>
      </c>
      <c r="H751" t="s">
        <v>74</v>
      </c>
      <c r="I751" t="s">
        <v>14328</v>
      </c>
      <c r="J751" t="s">
        <v>631</v>
      </c>
      <c r="K751" t="s">
        <v>74</v>
      </c>
      <c r="L751" t="s">
        <v>74</v>
      </c>
      <c r="M751" t="s">
        <v>78</v>
      </c>
      <c r="N751" t="s">
        <v>79</v>
      </c>
      <c r="O751" t="s">
        <v>74</v>
      </c>
      <c r="P751" t="s">
        <v>74</v>
      </c>
      <c r="Q751" t="s">
        <v>74</v>
      </c>
      <c r="R751" t="s">
        <v>74</v>
      </c>
      <c r="S751" t="s">
        <v>74</v>
      </c>
      <c r="T751" t="s">
        <v>14329</v>
      </c>
      <c r="U751" t="s">
        <v>14330</v>
      </c>
      <c r="V751" t="s">
        <v>14331</v>
      </c>
      <c r="W751" t="s">
        <v>14332</v>
      </c>
      <c r="X751" t="s">
        <v>14333</v>
      </c>
      <c r="Y751" t="s">
        <v>14334</v>
      </c>
      <c r="Z751" t="s">
        <v>14335</v>
      </c>
      <c r="AA751" t="s">
        <v>14336</v>
      </c>
      <c r="AB751" t="s">
        <v>14337</v>
      </c>
      <c r="AC751" t="s">
        <v>14338</v>
      </c>
      <c r="AD751" t="s">
        <v>14339</v>
      </c>
      <c r="AE751" t="s">
        <v>14340</v>
      </c>
      <c r="AF751" t="s">
        <v>74</v>
      </c>
      <c r="AG751">
        <v>41</v>
      </c>
      <c r="AH751">
        <v>18</v>
      </c>
      <c r="AI751">
        <v>20</v>
      </c>
      <c r="AJ751">
        <v>2</v>
      </c>
      <c r="AK751">
        <v>40</v>
      </c>
      <c r="AL751" t="s">
        <v>644</v>
      </c>
      <c r="AM751" t="s">
        <v>594</v>
      </c>
      <c r="AN751" t="s">
        <v>3025</v>
      </c>
      <c r="AO751" t="s">
        <v>646</v>
      </c>
      <c r="AP751" t="s">
        <v>647</v>
      </c>
      <c r="AQ751" t="s">
        <v>74</v>
      </c>
      <c r="AR751" t="s">
        <v>648</v>
      </c>
      <c r="AS751" t="s">
        <v>649</v>
      </c>
      <c r="AT751" t="s">
        <v>13423</v>
      </c>
      <c r="AU751">
        <v>2016</v>
      </c>
      <c r="AV751">
        <v>39</v>
      </c>
      <c r="AW751">
        <v>7</v>
      </c>
      <c r="AX751" t="s">
        <v>74</v>
      </c>
      <c r="AY751" t="s">
        <v>74</v>
      </c>
      <c r="AZ751" t="s">
        <v>74</v>
      </c>
      <c r="BA751" t="s">
        <v>74</v>
      </c>
      <c r="BB751">
        <v>1183</v>
      </c>
      <c r="BC751">
        <v>1195</v>
      </c>
      <c r="BD751" t="s">
        <v>74</v>
      </c>
      <c r="BE751" t="s">
        <v>14341</v>
      </c>
      <c r="BF751" t="str">
        <f>HYPERLINK("http://dx.doi.org/10.1007/s00300-015-1832-7","http://dx.doi.org/10.1007/s00300-015-1832-7")</f>
        <v>http://dx.doi.org/10.1007/s00300-015-1832-7</v>
      </c>
      <c r="BG751" t="s">
        <v>74</v>
      </c>
      <c r="BH751" t="s">
        <v>74</v>
      </c>
      <c r="BI751">
        <v>13</v>
      </c>
      <c r="BJ751" t="s">
        <v>652</v>
      </c>
      <c r="BK751" t="s">
        <v>156</v>
      </c>
      <c r="BL751" t="s">
        <v>653</v>
      </c>
      <c r="BM751" t="s">
        <v>14324</v>
      </c>
      <c r="BN751" t="s">
        <v>74</v>
      </c>
      <c r="BO751" t="s">
        <v>74</v>
      </c>
      <c r="BP751" t="s">
        <v>74</v>
      </c>
      <c r="BQ751" t="s">
        <v>74</v>
      </c>
      <c r="BR751" t="s">
        <v>105</v>
      </c>
      <c r="BS751" t="s">
        <v>14342</v>
      </c>
      <c r="BT751" t="str">
        <f>HYPERLINK("https%3A%2F%2Fwww.webofscience.com%2Fwos%2Fwoscc%2Ffull-record%2FWOS:000379739200002","View Full Record in Web of Science")</f>
        <v>View Full Record in Web of Science</v>
      </c>
    </row>
    <row r="752" spans="1:72" x14ac:dyDescent="0.15">
      <c r="A752" t="s">
        <v>72</v>
      </c>
      <c r="B752" t="s">
        <v>14343</v>
      </c>
      <c r="C752" t="s">
        <v>74</v>
      </c>
      <c r="D752" t="s">
        <v>74</v>
      </c>
      <c r="E752" t="s">
        <v>74</v>
      </c>
      <c r="F752" t="s">
        <v>14344</v>
      </c>
      <c r="G752" t="s">
        <v>74</v>
      </c>
      <c r="H752" t="s">
        <v>74</v>
      </c>
      <c r="I752" t="s">
        <v>14345</v>
      </c>
      <c r="J752" t="s">
        <v>631</v>
      </c>
      <c r="K752" t="s">
        <v>74</v>
      </c>
      <c r="L752" t="s">
        <v>74</v>
      </c>
      <c r="M752" t="s">
        <v>78</v>
      </c>
      <c r="N752" t="s">
        <v>79</v>
      </c>
      <c r="O752" t="s">
        <v>74</v>
      </c>
      <c r="P752" t="s">
        <v>74</v>
      </c>
      <c r="Q752" t="s">
        <v>74</v>
      </c>
      <c r="R752" t="s">
        <v>74</v>
      </c>
      <c r="S752" t="s">
        <v>74</v>
      </c>
      <c r="T752" t="s">
        <v>14346</v>
      </c>
      <c r="U752" t="s">
        <v>14347</v>
      </c>
      <c r="V752" t="s">
        <v>14348</v>
      </c>
      <c r="W752" t="s">
        <v>14349</v>
      </c>
      <c r="X752" t="s">
        <v>14350</v>
      </c>
      <c r="Y752" t="s">
        <v>14351</v>
      </c>
      <c r="Z752" t="s">
        <v>14352</v>
      </c>
      <c r="AA752" t="s">
        <v>74</v>
      </c>
      <c r="AB752" t="s">
        <v>14353</v>
      </c>
      <c r="AC752" t="s">
        <v>74</v>
      </c>
      <c r="AD752" t="s">
        <v>74</v>
      </c>
      <c r="AE752" t="s">
        <v>74</v>
      </c>
      <c r="AF752" t="s">
        <v>74</v>
      </c>
      <c r="AG752">
        <v>48</v>
      </c>
      <c r="AH752">
        <v>10</v>
      </c>
      <c r="AI752">
        <v>10</v>
      </c>
      <c r="AJ752">
        <v>1</v>
      </c>
      <c r="AK752">
        <v>25</v>
      </c>
      <c r="AL752" t="s">
        <v>644</v>
      </c>
      <c r="AM752" t="s">
        <v>594</v>
      </c>
      <c r="AN752" t="s">
        <v>3025</v>
      </c>
      <c r="AO752" t="s">
        <v>646</v>
      </c>
      <c r="AP752" t="s">
        <v>647</v>
      </c>
      <c r="AQ752" t="s">
        <v>74</v>
      </c>
      <c r="AR752" t="s">
        <v>648</v>
      </c>
      <c r="AS752" t="s">
        <v>649</v>
      </c>
      <c r="AT752" t="s">
        <v>13423</v>
      </c>
      <c r="AU752">
        <v>2016</v>
      </c>
      <c r="AV752">
        <v>39</v>
      </c>
      <c r="AW752">
        <v>7</v>
      </c>
      <c r="AX752" t="s">
        <v>74</v>
      </c>
      <c r="AY752" t="s">
        <v>74</v>
      </c>
      <c r="AZ752" t="s">
        <v>74</v>
      </c>
      <c r="BA752" t="s">
        <v>74</v>
      </c>
      <c r="BB752">
        <v>1197</v>
      </c>
      <c r="BC752">
        <v>1206</v>
      </c>
      <c r="BD752" t="s">
        <v>74</v>
      </c>
      <c r="BE752" t="s">
        <v>14354</v>
      </c>
      <c r="BF752" t="str">
        <f>HYPERLINK("http://dx.doi.org/10.1007/s00300-015-1836-3","http://dx.doi.org/10.1007/s00300-015-1836-3")</f>
        <v>http://dx.doi.org/10.1007/s00300-015-1836-3</v>
      </c>
      <c r="BG752" t="s">
        <v>74</v>
      </c>
      <c r="BH752" t="s">
        <v>74</v>
      </c>
      <c r="BI752">
        <v>10</v>
      </c>
      <c r="BJ752" t="s">
        <v>652</v>
      </c>
      <c r="BK752" t="s">
        <v>156</v>
      </c>
      <c r="BL752" t="s">
        <v>653</v>
      </c>
      <c r="BM752" t="s">
        <v>14324</v>
      </c>
      <c r="BN752" t="s">
        <v>74</v>
      </c>
      <c r="BO752" t="s">
        <v>74</v>
      </c>
      <c r="BP752" t="s">
        <v>74</v>
      </c>
      <c r="BQ752" t="s">
        <v>74</v>
      </c>
      <c r="BR752" t="s">
        <v>105</v>
      </c>
      <c r="BS752" t="s">
        <v>14355</v>
      </c>
      <c r="BT752" t="str">
        <f>HYPERLINK("https%3A%2F%2Fwww.webofscience.com%2Fwos%2Fwoscc%2Ffull-record%2FWOS:000379739200003","View Full Record in Web of Science")</f>
        <v>View Full Record in Web of Science</v>
      </c>
    </row>
    <row r="753" spans="1:72" x14ac:dyDescent="0.15">
      <c r="A753" t="s">
        <v>72</v>
      </c>
      <c r="B753" t="s">
        <v>14356</v>
      </c>
      <c r="C753" t="s">
        <v>74</v>
      </c>
      <c r="D753" t="s">
        <v>74</v>
      </c>
      <c r="E753" t="s">
        <v>74</v>
      </c>
      <c r="F753" t="s">
        <v>14357</v>
      </c>
      <c r="G753" t="s">
        <v>74</v>
      </c>
      <c r="H753" t="s">
        <v>74</v>
      </c>
      <c r="I753" t="s">
        <v>14358</v>
      </c>
      <c r="J753" t="s">
        <v>631</v>
      </c>
      <c r="K753" t="s">
        <v>74</v>
      </c>
      <c r="L753" t="s">
        <v>74</v>
      </c>
      <c r="M753" t="s">
        <v>78</v>
      </c>
      <c r="N753" t="s">
        <v>79</v>
      </c>
      <c r="O753" t="s">
        <v>74</v>
      </c>
      <c r="P753" t="s">
        <v>74</v>
      </c>
      <c r="Q753" t="s">
        <v>74</v>
      </c>
      <c r="R753" t="s">
        <v>74</v>
      </c>
      <c r="S753" t="s">
        <v>74</v>
      </c>
      <c r="T753" t="s">
        <v>14359</v>
      </c>
      <c r="U753" t="s">
        <v>14360</v>
      </c>
      <c r="V753" t="s">
        <v>14361</v>
      </c>
      <c r="W753" t="s">
        <v>14362</v>
      </c>
      <c r="X753" t="s">
        <v>14363</v>
      </c>
      <c r="Y753" t="s">
        <v>14364</v>
      </c>
      <c r="Z753" t="s">
        <v>14365</v>
      </c>
      <c r="AA753" t="s">
        <v>14366</v>
      </c>
      <c r="AB753" t="s">
        <v>14367</v>
      </c>
      <c r="AC753" t="s">
        <v>14368</v>
      </c>
      <c r="AD753" t="s">
        <v>14369</v>
      </c>
      <c r="AE753" t="s">
        <v>14370</v>
      </c>
      <c r="AF753" t="s">
        <v>74</v>
      </c>
      <c r="AG753">
        <v>35</v>
      </c>
      <c r="AH753">
        <v>7</v>
      </c>
      <c r="AI753">
        <v>7</v>
      </c>
      <c r="AJ753">
        <v>1</v>
      </c>
      <c r="AK753">
        <v>16</v>
      </c>
      <c r="AL753" t="s">
        <v>644</v>
      </c>
      <c r="AM753" t="s">
        <v>594</v>
      </c>
      <c r="AN753" t="s">
        <v>3025</v>
      </c>
      <c r="AO753" t="s">
        <v>646</v>
      </c>
      <c r="AP753" t="s">
        <v>647</v>
      </c>
      <c r="AQ753" t="s">
        <v>74</v>
      </c>
      <c r="AR753" t="s">
        <v>648</v>
      </c>
      <c r="AS753" t="s">
        <v>649</v>
      </c>
      <c r="AT753" t="s">
        <v>13423</v>
      </c>
      <c r="AU753">
        <v>2016</v>
      </c>
      <c r="AV753">
        <v>39</v>
      </c>
      <c r="AW753">
        <v>7</v>
      </c>
      <c r="AX753" t="s">
        <v>74</v>
      </c>
      <c r="AY753" t="s">
        <v>74</v>
      </c>
      <c r="AZ753" t="s">
        <v>74</v>
      </c>
      <c r="BA753" t="s">
        <v>74</v>
      </c>
      <c r="BB753">
        <v>1207</v>
      </c>
      <c r="BC753">
        <v>1212</v>
      </c>
      <c r="BD753" t="s">
        <v>74</v>
      </c>
      <c r="BE753" t="s">
        <v>14371</v>
      </c>
      <c r="BF753" t="str">
        <f>HYPERLINK("http://dx.doi.org/10.1007/s00300-015-1839-0","http://dx.doi.org/10.1007/s00300-015-1839-0")</f>
        <v>http://dx.doi.org/10.1007/s00300-015-1839-0</v>
      </c>
      <c r="BG753" t="s">
        <v>74</v>
      </c>
      <c r="BH753" t="s">
        <v>74</v>
      </c>
      <c r="BI753">
        <v>6</v>
      </c>
      <c r="BJ753" t="s">
        <v>652</v>
      </c>
      <c r="BK753" t="s">
        <v>156</v>
      </c>
      <c r="BL753" t="s">
        <v>653</v>
      </c>
      <c r="BM753" t="s">
        <v>14324</v>
      </c>
      <c r="BN753" t="s">
        <v>74</v>
      </c>
      <c r="BO753" t="s">
        <v>1002</v>
      </c>
      <c r="BP753" t="s">
        <v>74</v>
      </c>
      <c r="BQ753" t="s">
        <v>74</v>
      </c>
      <c r="BR753" t="s">
        <v>105</v>
      </c>
      <c r="BS753" t="s">
        <v>14372</v>
      </c>
      <c r="BT753" t="str">
        <f>HYPERLINK("https%3A%2F%2Fwww.webofscience.com%2Fwos%2Fwoscc%2Ffull-record%2FWOS:000379739200004","View Full Record in Web of Science")</f>
        <v>View Full Record in Web of Science</v>
      </c>
    </row>
    <row r="754" spans="1:72" x14ac:dyDescent="0.15">
      <c r="A754" t="s">
        <v>72</v>
      </c>
      <c r="B754" t="s">
        <v>14373</v>
      </c>
      <c r="C754" t="s">
        <v>74</v>
      </c>
      <c r="D754" t="s">
        <v>74</v>
      </c>
      <c r="E754" t="s">
        <v>74</v>
      </c>
      <c r="F754" t="s">
        <v>14374</v>
      </c>
      <c r="G754" t="s">
        <v>74</v>
      </c>
      <c r="H754" t="s">
        <v>74</v>
      </c>
      <c r="I754" t="s">
        <v>14375</v>
      </c>
      <c r="J754" t="s">
        <v>631</v>
      </c>
      <c r="K754" t="s">
        <v>74</v>
      </c>
      <c r="L754" t="s">
        <v>74</v>
      </c>
      <c r="M754" t="s">
        <v>78</v>
      </c>
      <c r="N754" t="s">
        <v>79</v>
      </c>
      <c r="O754" t="s">
        <v>74</v>
      </c>
      <c r="P754" t="s">
        <v>74</v>
      </c>
      <c r="Q754" t="s">
        <v>74</v>
      </c>
      <c r="R754" t="s">
        <v>74</v>
      </c>
      <c r="S754" t="s">
        <v>74</v>
      </c>
      <c r="T754" t="s">
        <v>14376</v>
      </c>
      <c r="U754" t="s">
        <v>14377</v>
      </c>
      <c r="V754" t="s">
        <v>14378</v>
      </c>
      <c r="W754" t="s">
        <v>14379</v>
      </c>
      <c r="X754" t="s">
        <v>74</v>
      </c>
      <c r="Y754" t="s">
        <v>14380</v>
      </c>
      <c r="Z754" t="s">
        <v>14381</v>
      </c>
      <c r="AA754" t="s">
        <v>14382</v>
      </c>
      <c r="AB754" t="s">
        <v>14383</v>
      </c>
      <c r="AC754" t="s">
        <v>14384</v>
      </c>
      <c r="AD754" t="s">
        <v>14385</v>
      </c>
      <c r="AE754" t="s">
        <v>14386</v>
      </c>
      <c r="AF754" t="s">
        <v>74</v>
      </c>
      <c r="AG754">
        <v>47</v>
      </c>
      <c r="AH754">
        <v>3</v>
      </c>
      <c r="AI754">
        <v>3</v>
      </c>
      <c r="AJ754">
        <v>0</v>
      </c>
      <c r="AK754">
        <v>29</v>
      </c>
      <c r="AL754" t="s">
        <v>644</v>
      </c>
      <c r="AM754" t="s">
        <v>594</v>
      </c>
      <c r="AN754" t="s">
        <v>3025</v>
      </c>
      <c r="AO754" t="s">
        <v>646</v>
      </c>
      <c r="AP754" t="s">
        <v>647</v>
      </c>
      <c r="AQ754" t="s">
        <v>74</v>
      </c>
      <c r="AR754" t="s">
        <v>648</v>
      </c>
      <c r="AS754" t="s">
        <v>649</v>
      </c>
      <c r="AT754" t="s">
        <v>13423</v>
      </c>
      <c r="AU754">
        <v>2016</v>
      </c>
      <c r="AV754">
        <v>39</v>
      </c>
      <c r="AW754">
        <v>7</v>
      </c>
      <c r="AX754" t="s">
        <v>74</v>
      </c>
      <c r="AY754" t="s">
        <v>74</v>
      </c>
      <c r="AZ754" t="s">
        <v>74</v>
      </c>
      <c r="BA754" t="s">
        <v>74</v>
      </c>
      <c r="BB754">
        <v>1225</v>
      </c>
      <c r="BC754">
        <v>1232</v>
      </c>
      <c r="BD754" t="s">
        <v>74</v>
      </c>
      <c r="BE754" t="s">
        <v>14387</v>
      </c>
      <c r="BF754" t="str">
        <f>HYPERLINK("http://dx.doi.org/10.1007/s00300-015-1841-6","http://dx.doi.org/10.1007/s00300-015-1841-6")</f>
        <v>http://dx.doi.org/10.1007/s00300-015-1841-6</v>
      </c>
      <c r="BG754" t="s">
        <v>74</v>
      </c>
      <c r="BH754" t="s">
        <v>74</v>
      </c>
      <c r="BI754">
        <v>8</v>
      </c>
      <c r="BJ754" t="s">
        <v>652</v>
      </c>
      <c r="BK754" t="s">
        <v>156</v>
      </c>
      <c r="BL754" t="s">
        <v>653</v>
      </c>
      <c r="BM754" t="s">
        <v>14324</v>
      </c>
      <c r="BN754" t="s">
        <v>74</v>
      </c>
      <c r="BO754" t="s">
        <v>74</v>
      </c>
      <c r="BP754" t="s">
        <v>74</v>
      </c>
      <c r="BQ754" t="s">
        <v>74</v>
      </c>
      <c r="BR754" t="s">
        <v>105</v>
      </c>
      <c r="BS754" t="s">
        <v>14388</v>
      </c>
      <c r="BT754" t="str">
        <f>HYPERLINK("https%3A%2F%2Fwww.webofscience.com%2Fwos%2Fwoscc%2Ffull-record%2FWOS:000379739200006","View Full Record in Web of Science")</f>
        <v>View Full Record in Web of Science</v>
      </c>
    </row>
    <row r="755" spans="1:72" x14ac:dyDescent="0.15">
      <c r="A755" t="s">
        <v>72</v>
      </c>
      <c r="B755" t="s">
        <v>14389</v>
      </c>
      <c r="C755" t="s">
        <v>74</v>
      </c>
      <c r="D755" t="s">
        <v>74</v>
      </c>
      <c r="E755" t="s">
        <v>74</v>
      </c>
      <c r="F755" t="s">
        <v>14390</v>
      </c>
      <c r="G755" t="s">
        <v>74</v>
      </c>
      <c r="H755" t="s">
        <v>74</v>
      </c>
      <c r="I755" t="s">
        <v>14391</v>
      </c>
      <c r="J755" t="s">
        <v>631</v>
      </c>
      <c r="K755" t="s">
        <v>74</v>
      </c>
      <c r="L755" t="s">
        <v>74</v>
      </c>
      <c r="M755" t="s">
        <v>78</v>
      </c>
      <c r="N755" t="s">
        <v>79</v>
      </c>
      <c r="O755" t="s">
        <v>74</v>
      </c>
      <c r="P755" t="s">
        <v>74</v>
      </c>
      <c r="Q755" t="s">
        <v>74</v>
      </c>
      <c r="R755" t="s">
        <v>74</v>
      </c>
      <c r="S755" t="s">
        <v>74</v>
      </c>
      <c r="T755" t="s">
        <v>14392</v>
      </c>
      <c r="U755" t="s">
        <v>14393</v>
      </c>
      <c r="V755" t="s">
        <v>14394</v>
      </c>
      <c r="W755" t="s">
        <v>14395</v>
      </c>
      <c r="X755" t="s">
        <v>14396</v>
      </c>
      <c r="Y755" t="s">
        <v>14397</v>
      </c>
      <c r="Z755" t="s">
        <v>14398</v>
      </c>
      <c r="AA755" t="s">
        <v>74</v>
      </c>
      <c r="AB755" t="s">
        <v>14399</v>
      </c>
      <c r="AC755" t="s">
        <v>14400</v>
      </c>
      <c r="AD755" t="s">
        <v>14401</v>
      </c>
      <c r="AE755" t="s">
        <v>14402</v>
      </c>
      <c r="AF755" t="s">
        <v>74</v>
      </c>
      <c r="AG755">
        <v>77</v>
      </c>
      <c r="AH755">
        <v>2</v>
      </c>
      <c r="AI755">
        <v>3</v>
      </c>
      <c r="AJ755">
        <v>2</v>
      </c>
      <c r="AK755">
        <v>16</v>
      </c>
      <c r="AL755" t="s">
        <v>644</v>
      </c>
      <c r="AM755" t="s">
        <v>594</v>
      </c>
      <c r="AN755" t="s">
        <v>3025</v>
      </c>
      <c r="AO755" t="s">
        <v>646</v>
      </c>
      <c r="AP755" t="s">
        <v>647</v>
      </c>
      <c r="AQ755" t="s">
        <v>74</v>
      </c>
      <c r="AR755" t="s">
        <v>648</v>
      </c>
      <c r="AS755" t="s">
        <v>649</v>
      </c>
      <c r="AT755" t="s">
        <v>13423</v>
      </c>
      <c r="AU755">
        <v>2016</v>
      </c>
      <c r="AV755">
        <v>39</v>
      </c>
      <c r="AW755">
        <v>7</v>
      </c>
      <c r="AX755" t="s">
        <v>74</v>
      </c>
      <c r="AY755" t="s">
        <v>74</v>
      </c>
      <c r="AZ755" t="s">
        <v>74</v>
      </c>
      <c r="BA755" t="s">
        <v>74</v>
      </c>
      <c r="BB755">
        <v>1233</v>
      </c>
      <c r="BC755">
        <v>1244</v>
      </c>
      <c r="BD755" t="s">
        <v>74</v>
      </c>
      <c r="BE755" t="s">
        <v>14403</v>
      </c>
      <c r="BF755" t="str">
        <f>HYPERLINK("http://dx.doi.org/10.1007/s00300-015-1845-2","http://dx.doi.org/10.1007/s00300-015-1845-2")</f>
        <v>http://dx.doi.org/10.1007/s00300-015-1845-2</v>
      </c>
      <c r="BG755" t="s">
        <v>74</v>
      </c>
      <c r="BH755" t="s">
        <v>74</v>
      </c>
      <c r="BI755">
        <v>12</v>
      </c>
      <c r="BJ755" t="s">
        <v>652</v>
      </c>
      <c r="BK755" t="s">
        <v>156</v>
      </c>
      <c r="BL755" t="s">
        <v>653</v>
      </c>
      <c r="BM755" t="s">
        <v>14324</v>
      </c>
      <c r="BN755" t="s">
        <v>74</v>
      </c>
      <c r="BO755" t="s">
        <v>74</v>
      </c>
      <c r="BP755" t="s">
        <v>74</v>
      </c>
      <c r="BQ755" t="s">
        <v>74</v>
      </c>
      <c r="BR755" t="s">
        <v>105</v>
      </c>
      <c r="BS755" t="s">
        <v>14404</v>
      </c>
      <c r="BT755" t="str">
        <f>HYPERLINK("https%3A%2F%2Fwww.webofscience.com%2Fwos%2Fwoscc%2Ffull-record%2FWOS:000379739200007","View Full Record in Web of Science")</f>
        <v>View Full Record in Web of Science</v>
      </c>
    </row>
    <row r="756" spans="1:72" x14ac:dyDescent="0.15">
      <c r="A756" t="s">
        <v>72</v>
      </c>
      <c r="B756" t="s">
        <v>14405</v>
      </c>
      <c r="C756" t="s">
        <v>74</v>
      </c>
      <c r="D756" t="s">
        <v>74</v>
      </c>
      <c r="E756" t="s">
        <v>74</v>
      </c>
      <c r="F756" t="s">
        <v>14406</v>
      </c>
      <c r="G756" t="s">
        <v>74</v>
      </c>
      <c r="H756" t="s">
        <v>74</v>
      </c>
      <c r="I756" t="s">
        <v>14407</v>
      </c>
      <c r="J756" t="s">
        <v>631</v>
      </c>
      <c r="K756" t="s">
        <v>74</v>
      </c>
      <c r="L756" t="s">
        <v>74</v>
      </c>
      <c r="M756" t="s">
        <v>78</v>
      </c>
      <c r="N756" t="s">
        <v>79</v>
      </c>
      <c r="O756" t="s">
        <v>74</v>
      </c>
      <c r="P756" t="s">
        <v>74</v>
      </c>
      <c r="Q756" t="s">
        <v>74</v>
      </c>
      <c r="R756" t="s">
        <v>74</v>
      </c>
      <c r="S756" t="s">
        <v>74</v>
      </c>
      <c r="T756" t="s">
        <v>14408</v>
      </c>
      <c r="U756" t="s">
        <v>14409</v>
      </c>
      <c r="V756" t="s">
        <v>14410</v>
      </c>
      <c r="W756" t="s">
        <v>14411</v>
      </c>
      <c r="X756" t="s">
        <v>14412</v>
      </c>
      <c r="Y756" t="s">
        <v>14413</v>
      </c>
      <c r="Z756" t="s">
        <v>14414</v>
      </c>
      <c r="AA756" t="s">
        <v>14415</v>
      </c>
      <c r="AB756" t="s">
        <v>14416</v>
      </c>
      <c r="AC756" t="s">
        <v>14417</v>
      </c>
      <c r="AD756" t="s">
        <v>14418</v>
      </c>
      <c r="AE756" t="s">
        <v>14419</v>
      </c>
      <c r="AF756" t="s">
        <v>74</v>
      </c>
      <c r="AG756">
        <v>40</v>
      </c>
      <c r="AH756">
        <v>17</v>
      </c>
      <c r="AI756">
        <v>20</v>
      </c>
      <c r="AJ756">
        <v>4</v>
      </c>
      <c r="AK756">
        <v>42</v>
      </c>
      <c r="AL756" t="s">
        <v>644</v>
      </c>
      <c r="AM756" t="s">
        <v>594</v>
      </c>
      <c r="AN756" t="s">
        <v>3025</v>
      </c>
      <c r="AO756" t="s">
        <v>646</v>
      </c>
      <c r="AP756" t="s">
        <v>647</v>
      </c>
      <c r="AQ756" t="s">
        <v>74</v>
      </c>
      <c r="AR756" t="s">
        <v>648</v>
      </c>
      <c r="AS756" t="s">
        <v>649</v>
      </c>
      <c r="AT756" t="s">
        <v>13423</v>
      </c>
      <c r="AU756">
        <v>2016</v>
      </c>
      <c r="AV756">
        <v>39</v>
      </c>
      <c r="AW756">
        <v>7</v>
      </c>
      <c r="AX756" t="s">
        <v>74</v>
      </c>
      <c r="AY756" t="s">
        <v>74</v>
      </c>
      <c r="AZ756" t="s">
        <v>74</v>
      </c>
      <c r="BA756" t="s">
        <v>74</v>
      </c>
      <c r="BB756">
        <v>1343</v>
      </c>
      <c r="BC756">
        <v>1349</v>
      </c>
      <c r="BD756" t="s">
        <v>74</v>
      </c>
      <c r="BE756" t="s">
        <v>14420</v>
      </c>
      <c r="BF756" t="str">
        <f>HYPERLINK("http://dx.doi.org/10.1007/s00300-015-1846-1","http://dx.doi.org/10.1007/s00300-015-1846-1")</f>
        <v>http://dx.doi.org/10.1007/s00300-015-1846-1</v>
      </c>
      <c r="BG756" t="s">
        <v>74</v>
      </c>
      <c r="BH756" t="s">
        <v>74</v>
      </c>
      <c r="BI756">
        <v>7</v>
      </c>
      <c r="BJ756" t="s">
        <v>652</v>
      </c>
      <c r="BK756" t="s">
        <v>156</v>
      </c>
      <c r="BL756" t="s">
        <v>653</v>
      </c>
      <c r="BM756" t="s">
        <v>14324</v>
      </c>
      <c r="BN756" t="s">
        <v>74</v>
      </c>
      <c r="BO756" t="s">
        <v>74</v>
      </c>
      <c r="BP756" t="s">
        <v>74</v>
      </c>
      <c r="BQ756" t="s">
        <v>74</v>
      </c>
      <c r="BR756" t="s">
        <v>105</v>
      </c>
      <c r="BS756" t="s">
        <v>14421</v>
      </c>
      <c r="BT756" t="str">
        <f>HYPERLINK("https%3A%2F%2Fwww.webofscience.com%2Fwos%2Fwoscc%2Ffull-record%2FWOS:000379739200017","View Full Record in Web of Science")</f>
        <v>View Full Record in Web of Science</v>
      </c>
    </row>
    <row r="757" spans="1:72" x14ac:dyDescent="0.15">
      <c r="A757" t="s">
        <v>72</v>
      </c>
      <c r="B757" t="s">
        <v>14422</v>
      </c>
      <c r="C757" t="s">
        <v>74</v>
      </c>
      <c r="D757" t="s">
        <v>74</v>
      </c>
      <c r="E757" t="s">
        <v>74</v>
      </c>
      <c r="F757" t="s">
        <v>14423</v>
      </c>
      <c r="G757" t="s">
        <v>74</v>
      </c>
      <c r="H757" t="s">
        <v>74</v>
      </c>
      <c r="I757" t="s">
        <v>14424</v>
      </c>
      <c r="J757" t="s">
        <v>631</v>
      </c>
      <c r="K757" t="s">
        <v>74</v>
      </c>
      <c r="L757" t="s">
        <v>74</v>
      </c>
      <c r="M757" t="s">
        <v>78</v>
      </c>
      <c r="N757" t="s">
        <v>79</v>
      </c>
      <c r="O757" t="s">
        <v>74</v>
      </c>
      <c r="P757" t="s">
        <v>74</v>
      </c>
      <c r="Q757" t="s">
        <v>74</v>
      </c>
      <c r="R757" t="s">
        <v>74</v>
      </c>
      <c r="S757" t="s">
        <v>74</v>
      </c>
      <c r="T757" t="s">
        <v>14425</v>
      </c>
      <c r="U757" t="s">
        <v>14426</v>
      </c>
      <c r="V757" t="s">
        <v>14427</v>
      </c>
      <c r="W757" t="s">
        <v>14428</v>
      </c>
      <c r="X757" t="s">
        <v>14429</v>
      </c>
      <c r="Y757" t="s">
        <v>14430</v>
      </c>
      <c r="Z757" t="s">
        <v>14431</v>
      </c>
      <c r="AA757" t="s">
        <v>14432</v>
      </c>
      <c r="AB757" t="s">
        <v>14433</v>
      </c>
      <c r="AC757" t="s">
        <v>14434</v>
      </c>
      <c r="AD757" t="s">
        <v>14435</v>
      </c>
      <c r="AE757" t="s">
        <v>14436</v>
      </c>
      <c r="AF757" t="s">
        <v>74</v>
      </c>
      <c r="AG757">
        <v>41</v>
      </c>
      <c r="AH757">
        <v>7</v>
      </c>
      <c r="AI757">
        <v>10</v>
      </c>
      <c r="AJ757">
        <v>1</v>
      </c>
      <c r="AK757">
        <v>26</v>
      </c>
      <c r="AL757" t="s">
        <v>644</v>
      </c>
      <c r="AM757" t="s">
        <v>594</v>
      </c>
      <c r="AN757" t="s">
        <v>3025</v>
      </c>
      <c r="AO757" t="s">
        <v>646</v>
      </c>
      <c r="AP757" t="s">
        <v>647</v>
      </c>
      <c r="AQ757" t="s">
        <v>74</v>
      </c>
      <c r="AR757" t="s">
        <v>648</v>
      </c>
      <c r="AS757" t="s">
        <v>649</v>
      </c>
      <c r="AT757" t="s">
        <v>13423</v>
      </c>
      <c r="AU757">
        <v>2016</v>
      </c>
      <c r="AV757">
        <v>39</v>
      </c>
      <c r="AW757">
        <v>7</v>
      </c>
      <c r="AX757" t="s">
        <v>74</v>
      </c>
      <c r="AY757" t="s">
        <v>74</v>
      </c>
      <c r="AZ757" t="s">
        <v>74</v>
      </c>
      <c r="BA757" t="s">
        <v>74</v>
      </c>
      <c r="BB757">
        <v>1351</v>
      </c>
      <c r="BC757">
        <v>1355</v>
      </c>
      <c r="BD757" t="s">
        <v>74</v>
      </c>
      <c r="BE757" t="s">
        <v>14437</v>
      </c>
      <c r="BF757" t="str">
        <f>HYPERLINK("http://dx.doi.org/10.1007/s00300-015-1849-y","http://dx.doi.org/10.1007/s00300-015-1849-y")</f>
        <v>http://dx.doi.org/10.1007/s00300-015-1849-y</v>
      </c>
      <c r="BG757" t="s">
        <v>74</v>
      </c>
      <c r="BH757" t="s">
        <v>74</v>
      </c>
      <c r="BI757">
        <v>5</v>
      </c>
      <c r="BJ757" t="s">
        <v>652</v>
      </c>
      <c r="BK757" t="s">
        <v>156</v>
      </c>
      <c r="BL757" t="s">
        <v>653</v>
      </c>
      <c r="BM757" t="s">
        <v>14324</v>
      </c>
      <c r="BN757" t="s">
        <v>74</v>
      </c>
      <c r="BO757" t="s">
        <v>805</v>
      </c>
      <c r="BP757" t="s">
        <v>74</v>
      </c>
      <c r="BQ757" t="s">
        <v>74</v>
      </c>
      <c r="BR757" t="s">
        <v>105</v>
      </c>
      <c r="BS757" t="s">
        <v>14438</v>
      </c>
      <c r="BT757" t="str">
        <f>HYPERLINK("https%3A%2F%2Fwww.webofscience.com%2Fwos%2Fwoscc%2Ffull-record%2FWOS:000379739200018","View Full Record in Web of Science")</f>
        <v>View Full Record in Web of Science</v>
      </c>
    </row>
    <row r="758" spans="1:72" x14ac:dyDescent="0.15">
      <c r="A758" t="s">
        <v>72</v>
      </c>
      <c r="B758" t="s">
        <v>14439</v>
      </c>
      <c r="C758" t="s">
        <v>74</v>
      </c>
      <c r="D758" t="s">
        <v>74</v>
      </c>
      <c r="E758" t="s">
        <v>74</v>
      </c>
      <c r="F758" t="s">
        <v>14440</v>
      </c>
      <c r="G758" t="s">
        <v>74</v>
      </c>
      <c r="H758" t="s">
        <v>74</v>
      </c>
      <c r="I758" t="s">
        <v>14441</v>
      </c>
      <c r="J758" t="s">
        <v>7110</v>
      </c>
      <c r="K758" t="s">
        <v>74</v>
      </c>
      <c r="L758" t="s">
        <v>74</v>
      </c>
      <c r="M758" t="s">
        <v>7111</v>
      </c>
      <c r="N758" t="s">
        <v>79</v>
      </c>
      <c r="O758" t="s">
        <v>74</v>
      </c>
      <c r="P758" t="s">
        <v>74</v>
      </c>
      <c r="Q758" t="s">
        <v>74</v>
      </c>
      <c r="R758" t="s">
        <v>74</v>
      </c>
      <c r="S758" t="s">
        <v>74</v>
      </c>
      <c r="T758" t="s">
        <v>14442</v>
      </c>
      <c r="U758" t="s">
        <v>14443</v>
      </c>
      <c r="V758" t="s">
        <v>14444</v>
      </c>
      <c r="W758" t="s">
        <v>14445</v>
      </c>
      <c r="X758" t="s">
        <v>14446</v>
      </c>
      <c r="Y758" t="s">
        <v>11087</v>
      </c>
      <c r="Z758" t="s">
        <v>14447</v>
      </c>
      <c r="AA758" t="s">
        <v>11089</v>
      </c>
      <c r="AB758" t="s">
        <v>74</v>
      </c>
      <c r="AC758" t="s">
        <v>74</v>
      </c>
      <c r="AD758" t="s">
        <v>74</v>
      </c>
      <c r="AE758" t="s">
        <v>74</v>
      </c>
      <c r="AF758" t="s">
        <v>74</v>
      </c>
      <c r="AG758">
        <v>18</v>
      </c>
      <c r="AH758">
        <v>7</v>
      </c>
      <c r="AI758">
        <v>19</v>
      </c>
      <c r="AJ758">
        <v>0</v>
      </c>
      <c r="AK758">
        <v>21</v>
      </c>
      <c r="AL758" t="s">
        <v>7119</v>
      </c>
      <c r="AM758" t="s">
        <v>7120</v>
      </c>
      <c r="AN758" t="s">
        <v>7121</v>
      </c>
      <c r="AO758" t="s">
        <v>7122</v>
      </c>
      <c r="AP758" t="s">
        <v>74</v>
      </c>
      <c r="AQ758" t="s">
        <v>74</v>
      </c>
      <c r="AR758" t="s">
        <v>7123</v>
      </c>
      <c r="AS758" t="s">
        <v>7124</v>
      </c>
      <c r="AT758" t="s">
        <v>13423</v>
      </c>
      <c r="AU758">
        <v>2016</v>
      </c>
      <c r="AV758">
        <v>59</v>
      </c>
      <c r="AW758">
        <v>7</v>
      </c>
      <c r="AX758" t="s">
        <v>74</v>
      </c>
      <c r="AY758" t="s">
        <v>74</v>
      </c>
      <c r="AZ758" t="s">
        <v>74</v>
      </c>
      <c r="BA758" t="s">
        <v>74</v>
      </c>
      <c r="BB758">
        <v>2402</v>
      </c>
      <c r="BC758">
        <v>2412</v>
      </c>
      <c r="BD758" t="s">
        <v>74</v>
      </c>
      <c r="BE758" t="s">
        <v>14448</v>
      </c>
      <c r="BF758" t="str">
        <f>HYPERLINK("http://dx.doi.org/10.6038/cjg20160707","http://dx.doi.org/10.6038/cjg20160707")</f>
        <v>http://dx.doi.org/10.6038/cjg20160707</v>
      </c>
      <c r="BG758" t="s">
        <v>74</v>
      </c>
      <c r="BH758" t="s">
        <v>74</v>
      </c>
      <c r="BI758">
        <v>11</v>
      </c>
      <c r="BJ758" t="s">
        <v>155</v>
      </c>
      <c r="BK758" t="s">
        <v>156</v>
      </c>
      <c r="BL758" t="s">
        <v>155</v>
      </c>
      <c r="BM758" t="s">
        <v>14449</v>
      </c>
      <c r="BN758" t="s">
        <v>74</v>
      </c>
      <c r="BO758" t="s">
        <v>74</v>
      </c>
      <c r="BP758" t="s">
        <v>74</v>
      </c>
      <c r="BQ758" t="s">
        <v>74</v>
      </c>
      <c r="BR758" t="s">
        <v>105</v>
      </c>
      <c r="BS758" t="s">
        <v>14450</v>
      </c>
      <c r="BT758" t="str">
        <f>HYPERLINK("https%3A%2F%2Fwww.webofscience.com%2Fwos%2Fwoscc%2Ffull-record%2FWOS:000379377100007","View Full Record in Web of Science")</f>
        <v>View Full Record in Web of Science</v>
      </c>
    </row>
    <row r="759" spans="1:72" x14ac:dyDescent="0.15">
      <c r="A759" t="s">
        <v>72</v>
      </c>
      <c r="B759" t="s">
        <v>14451</v>
      </c>
      <c r="C759" t="s">
        <v>74</v>
      </c>
      <c r="D759" t="s">
        <v>74</v>
      </c>
      <c r="E759" t="s">
        <v>74</v>
      </c>
      <c r="F759" t="s">
        <v>14452</v>
      </c>
      <c r="G759" t="s">
        <v>74</v>
      </c>
      <c r="H759" t="s">
        <v>74</v>
      </c>
      <c r="I759" t="s">
        <v>14453</v>
      </c>
      <c r="J759" t="s">
        <v>3559</v>
      </c>
      <c r="K759" t="s">
        <v>74</v>
      </c>
      <c r="L759" t="s">
        <v>74</v>
      </c>
      <c r="M759" t="s">
        <v>78</v>
      </c>
      <c r="N759" t="s">
        <v>79</v>
      </c>
      <c r="O759" t="s">
        <v>74</v>
      </c>
      <c r="P759" t="s">
        <v>74</v>
      </c>
      <c r="Q759" t="s">
        <v>74</v>
      </c>
      <c r="R759" t="s">
        <v>74</v>
      </c>
      <c r="S759" t="s">
        <v>74</v>
      </c>
      <c r="T759" t="s">
        <v>14454</v>
      </c>
      <c r="U759" t="s">
        <v>14455</v>
      </c>
      <c r="V759" t="s">
        <v>14456</v>
      </c>
      <c r="W759" t="s">
        <v>14457</v>
      </c>
      <c r="X759" t="s">
        <v>14458</v>
      </c>
      <c r="Y759" t="s">
        <v>14459</v>
      </c>
      <c r="Z759" t="s">
        <v>14460</v>
      </c>
      <c r="AA759" t="s">
        <v>14461</v>
      </c>
      <c r="AB759" t="s">
        <v>14462</v>
      </c>
      <c r="AC759" t="s">
        <v>14463</v>
      </c>
      <c r="AD759" t="s">
        <v>14464</v>
      </c>
      <c r="AE759" t="s">
        <v>14465</v>
      </c>
      <c r="AF759" t="s">
        <v>74</v>
      </c>
      <c r="AG759">
        <v>52</v>
      </c>
      <c r="AH759">
        <v>7</v>
      </c>
      <c r="AI759">
        <v>7</v>
      </c>
      <c r="AJ759">
        <v>0</v>
      </c>
      <c r="AK759">
        <v>16</v>
      </c>
      <c r="AL759" t="s">
        <v>2501</v>
      </c>
      <c r="AM759" t="s">
        <v>304</v>
      </c>
      <c r="AN759" t="s">
        <v>2502</v>
      </c>
      <c r="AO759" t="s">
        <v>3572</v>
      </c>
      <c r="AP759" t="s">
        <v>3573</v>
      </c>
      <c r="AQ759" t="s">
        <v>74</v>
      </c>
      <c r="AR759" t="s">
        <v>3574</v>
      </c>
      <c r="AS759" t="s">
        <v>3575</v>
      </c>
      <c r="AT759" t="s">
        <v>13423</v>
      </c>
      <c r="AU759">
        <v>2016</v>
      </c>
      <c r="AV759">
        <v>92</v>
      </c>
      <c r="AW759">
        <v>7</v>
      </c>
      <c r="AX759" t="s">
        <v>74</v>
      </c>
      <c r="AY759" t="s">
        <v>74</v>
      </c>
      <c r="AZ759" t="s">
        <v>74</v>
      </c>
      <c r="BA759" t="s">
        <v>74</v>
      </c>
      <c r="BB759" t="s">
        <v>74</v>
      </c>
      <c r="BC759" t="s">
        <v>74</v>
      </c>
      <c r="BD759" t="s">
        <v>14466</v>
      </c>
      <c r="BE759" t="s">
        <v>14467</v>
      </c>
      <c r="BF759" t="str">
        <f>HYPERLINK("http://dx.doi.org/10.1093/femsec/fiw100","http://dx.doi.org/10.1093/femsec/fiw100")</f>
        <v>http://dx.doi.org/10.1093/femsec/fiw100</v>
      </c>
      <c r="BG759" t="s">
        <v>74</v>
      </c>
      <c r="BH759" t="s">
        <v>74</v>
      </c>
      <c r="BI759">
        <v>12</v>
      </c>
      <c r="BJ759" t="s">
        <v>130</v>
      </c>
      <c r="BK759" t="s">
        <v>156</v>
      </c>
      <c r="BL759" t="s">
        <v>130</v>
      </c>
      <c r="BM759" t="s">
        <v>14468</v>
      </c>
      <c r="BN759">
        <v>27162184</v>
      </c>
      <c r="BO759" t="s">
        <v>258</v>
      </c>
      <c r="BP759" t="s">
        <v>74</v>
      </c>
      <c r="BQ759" t="s">
        <v>74</v>
      </c>
      <c r="BR759" t="s">
        <v>105</v>
      </c>
      <c r="BS759" t="s">
        <v>14469</v>
      </c>
      <c r="BT759" t="str">
        <f>HYPERLINK("https%3A%2F%2Fwww.webofscience.com%2Fwos%2Fwoscc%2Ffull-record%2FWOS:000379693700011","View Full Record in Web of Science")</f>
        <v>View Full Record in Web of Science</v>
      </c>
    </row>
    <row r="760" spans="1:72" x14ac:dyDescent="0.15">
      <c r="A760" t="s">
        <v>72</v>
      </c>
      <c r="B760" t="s">
        <v>14470</v>
      </c>
      <c r="C760" t="s">
        <v>74</v>
      </c>
      <c r="D760" t="s">
        <v>74</v>
      </c>
      <c r="E760" t="s">
        <v>74</v>
      </c>
      <c r="F760" t="s">
        <v>14471</v>
      </c>
      <c r="G760" t="s">
        <v>74</v>
      </c>
      <c r="H760" t="s">
        <v>74</v>
      </c>
      <c r="I760" t="s">
        <v>14472</v>
      </c>
      <c r="J760" t="s">
        <v>14473</v>
      </c>
      <c r="K760" t="s">
        <v>74</v>
      </c>
      <c r="L760" t="s">
        <v>74</v>
      </c>
      <c r="M760" t="s">
        <v>78</v>
      </c>
      <c r="N760" t="s">
        <v>79</v>
      </c>
      <c r="O760" t="s">
        <v>74</v>
      </c>
      <c r="P760" t="s">
        <v>74</v>
      </c>
      <c r="Q760" t="s">
        <v>74</v>
      </c>
      <c r="R760" t="s">
        <v>74</v>
      </c>
      <c r="S760" t="s">
        <v>74</v>
      </c>
      <c r="T760" t="s">
        <v>14474</v>
      </c>
      <c r="U760" t="s">
        <v>14475</v>
      </c>
      <c r="V760" t="s">
        <v>14476</v>
      </c>
      <c r="W760" t="s">
        <v>14477</v>
      </c>
      <c r="X760" t="s">
        <v>14478</v>
      </c>
      <c r="Y760" t="s">
        <v>14479</v>
      </c>
      <c r="Z760" t="s">
        <v>14480</v>
      </c>
      <c r="AA760" t="s">
        <v>14481</v>
      </c>
      <c r="AB760" t="s">
        <v>14482</v>
      </c>
      <c r="AC760" t="s">
        <v>14483</v>
      </c>
      <c r="AD760" t="s">
        <v>14484</v>
      </c>
      <c r="AE760" t="s">
        <v>14485</v>
      </c>
      <c r="AF760" t="s">
        <v>74</v>
      </c>
      <c r="AG760">
        <v>62</v>
      </c>
      <c r="AH760">
        <v>14</v>
      </c>
      <c r="AI760">
        <v>16</v>
      </c>
      <c r="AJ760">
        <v>1</v>
      </c>
      <c r="AK760">
        <v>36</v>
      </c>
      <c r="AL760" t="s">
        <v>14486</v>
      </c>
      <c r="AM760" t="s">
        <v>2026</v>
      </c>
      <c r="AN760" t="s">
        <v>14487</v>
      </c>
      <c r="AO760" t="s">
        <v>14488</v>
      </c>
      <c r="AP760" t="s">
        <v>14489</v>
      </c>
      <c r="AQ760" t="s">
        <v>74</v>
      </c>
      <c r="AR760" t="s">
        <v>14490</v>
      </c>
      <c r="AS760" t="s">
        <v>14491</v>
      </c>
      <c r="AT760" t="s">
        <v>13423</v>
      </c>
      <c r="AU760">
        <v>2016</v>
      </c>
      <c r="AV760">
        <v>219</v>
      </c>
      <c r="AW760">
        <v>13</v>
      </c>
      <c r="AX760" t="s">
        <v>74</v>
      </c>
      <c r="AY760" t="s">
        <v>74</v>
      </c>
      <c r="AZ760" t="s">
        <v>74</v>
      </c>
      <c r="BA760" t="s">
        <v>74</v>
      </c>
      <c r="BB760">
        <v>2028</v>
      </c>
      <c r="BC760">
        <v>2038</v>
      </c>
      <c r="BD760" t="s">
        <v>74</v>
      </c>
      <c r="BE760" t="s">
        <v>14492</v>
      </c>
      <c r="BF760" t="str">
        <f>HYPERLINK("http://dx.doi.org/10.1242/jeb.139964","http://dx.doi.org/10.1242/jeb.139964")</f>
        <v>http://dx.doi.org/10.1242/jeb.139964</v>
      </c>
      <c r="BG760" t="s">
        <v>74</v>
      </c>
      <c r="BH760" t="s">
        <v>74</v>
      </c>
      <c r="BI760">
        <v>11</v>
      </c>
      <c r="BJ760" t="s">
        <v>2614</v>
      </c>
      <c r="BK760" t="s">
        <v>156</v>
      </c>
      <c r="BL760" t="s">
        <v>2615</v>
      </c>
      <c r="BM760" t="s">
        <v>14493</v>
      </c>
      <c r="BN760">
        <v>27207636</v>
      </c>
      <c r="BO760" t="s">
        <v>534</v>
      </c>
      <c r="BP760" t="s">
        <v>74</v>
      </c>
      <c r="BQ760" t="s">
        <v>74</v>
      </c>
      <c r="BR760" t="s">
        <v>105</v>
      </c>
      <c r="BS760" t="s">
        <v>14494</v>
      </c>
      <c r="BT760" t="str">
        <f>HYPERLINK("https%3A%2F%2Fwww.webofscience.com%2Fwos%2Fwoscc%2Ffull-record%2FWOS:000379366400021","View Full Record in Web of Science")</f>
        <v>View Full Record in Web of Science</v>
      </c>
    </row>
    <row r="761" spans="1:72" x14ac:dyDescent="0.15">
      <c r="A761" t="s">
        <v>72</v>
      </c>
      <c r="B761" t="s">
        <v>14495</v>
      </c>
      <c r="C761" t="s">
        <v>74</v>
      </c>
      <c r="D761" t="s">
        <v>74</v>
      </c>
      <c r="E761" t="s">
        <v>74</v>
      </c>
      <c r="F761" t="s">
        <v>14496</v>
      </c>
      <c r="G761" t="s">
        <v>74</v>
      </c>
      <c r="H761" t="s">
        <v>74</v>
      </c>
      <c r="I761" t="s">
        <v>14497</v>
      </c>
      <c r="J761" t="s">
        <v>14473</v>
      </c>
      <c r="K761" t="s">
        <v>74</v>
      </c>
      <c r="L761" t="s">
        <v>74</v>
      </c>
      <c r="M761" t="s">
        <v>78</v>
      </c>
      <c r="N761" t="s">
        <v>79</v>
      </c>
      <c r="O761" t="s">
        <v>74</v>
      </c>
      <c r="P761" t="s">
        <v>74</v>
      </c>
      <c r="Q761" t="s">
        <v>74</v>
      </c>
      <c r="R761" t="s">
        <v>74</v>
      </c>
      <c r="S761" t="s">
        <v>74</v>
      </c>
      <c r="T761" t="s">
        <v>14498</v>
      </c>
      <c r="U761" t="s">
        <v>14499</v>
      </c>
      <c r="V761" t="s">
        <v>14500</v>
      </c>
      <c r="W761" t="s">
        <v>14501</v>
      </c>
      <c r="X761" t="s">
        <v>14502</v>
      </c>
      <c r="Y761" t="s">
        <v>14503</v>
      </c>
      <c r="Z761" t="s">
        <v>14504</v>
      </c>
      <c r="AA761" t="s">
        <v>74</v>
      </c>
      <c r="AB761" t="s">
        <v>14505</v>
      </c>
      <c r="AC761" t="s">
        <v>14506</v>
      </c>
      <c r="AD761" t="s">
        <v>14506</v>
      </c>
      <c r="AE761" t="s">
        <v>14507</v>
      </c>
      <c r="AF761" t="s">
        <v>74</v>
      </c>
      <c r="AG761">
        <v>33</v>
      </c>
      <c r="AH761">
        <v>8</v>
      </c>
      <c r="AI761">
        <v>9</v>
      </c>
      <c r="AJ761">
        <v>1</v>
      </c>
      <c r="AK761">
        <v>20</v>
      </c>
      <c r="AL761" t="s">
        <v>14508</v>
      </c>
      <c r="AM761" t="s">
        <v>2026</v>
      </c>
      <c r="AN761" t="s">
        <v>14509</v>
      </c>
      <c r="AO761" t="s">
        <v>14488</v>
      </c>
      <c r="AP761" t="s">
        <v>14489</v>
      </c>
      <c r="AQ761" t="s">
        <v>74</v>
      </c>
      <c r="AR761" t="s">
        <v>14490</v>
      </c>
      <c r="AS761" t="s">
        <v>14491</v>
      </c>
      <c r="AT761" t="s">
        <v>13423</v>
      </c>
      <c r="AU761">
        <v>2016</v>
      </c>
      <c r="AV761">
        <v>219</v>
      </c>
      <c r="AW761">
        <v>13</v>
      </c>
      <c r="AX761" t="s">
        <v>74</v>
      </c>
      <c r="AY761" t="s">
        <v>74</v>
      </c>
      <c r="AZ761" t="s">
        <v>74</v>
      </c>
      <c r="BA761" t="s">
        <v>74</v>
      </c>
      <c r="BB761">
        <v>2060</v>
      </c>
      <c r="BC761">
        <v>2065</v>
      </c>
      <c r="BD761" t="s">
        <v>74</v>
      </c>
      <c r="BE761" t="s">
        <v>14510</v>
      </c>
      <c r="BF761" t="str">
        <f>HYPERLINK("http://dx.doi.org/10.1242/jeb.137190","http://dx.doi.org/10.1242/jeb.137190")</f>
        <v>http://dx.doi.org/10.1242/jeb.137190</v>
      </c>
      <c r="BG761" t="s">
        <v>74</v>
      </c>
      <c r="BH761" t="s">
        <v>74</v>
      </c>
      <c r="BI761">
        <v>6</v>
      </c>
      <c r="BJ761" t="s">
        <v>2614</v>
      </c>
      <c r="BK761" t="s">
        <v>156</v>
      </c>
      <c r="BL761" t="s">
        <v>2615</v>
      </c>
      <c r="BM761" t="s">
        <v>14493</v>
      </c>
      <c r="BN761">
        <v>27143749</v>
      </c>
      <c r="BO761" t="s">
        <v>258</v>
      </c>
      <c r="BP761" t="s">
        <v>74</v>
      </c>
      <c r="BQ761" t="s">
        <v>74</v>
      </c>
      <c r="BR761" t="s">
        <v>105</v>
      </c>
      <c r="BS761" t="s">
        <v>14511</v>
      </c>
      <c r="BT761" t="str">
        <f>HYPERLINK("https%3A%2F%2Fwww.webofscience.com%2Fwos%2Fwoscc%2Ffull-record%2FWOS:000379366400024","View Full Record in Web of Science")</f>
        <v>View Full Record in Web of Science</v>
      </c>
    </row>
    <row r="762" spans="1:72" x14ac:dyDescent="0.15">
      <c r="A762" t="s">
        <v>72</v>
      </c>
      <c r="B762" t="s">
        <v>14512</v>
      </c>
      <c r="C762" t="s">
        <v>74</v>
      </c>
      <c r="D762" t="s">
        <v>74</v>
      </c>
      <c r="E762" t="s">
        <v>74</v>
      </c>
      <c r="F762" t="s">
        <v>14513</v>
      </c>
      <c r="G762" t="s">
        <v>74</v>
      </c>
      <c r="H762" t="s">
        <v>74</v>
      </c>
      <c r="I762" t="s">
        <v>14514</v>
      </c>
      <c r="J762" t="s">
        <v>385</v>
      </c>
      <c r="K762" t="s">
        <v>74</v>
      </c>
      <c r="L762" t="s">
        <v>74</v>
      </c>
      <c r="M762" t="s">
        <v>78</v>
      </c>
      <c r="N762" t="s">
        <v>79</v>
      </c>
      <c r="O762" t="s">
        <v>74</v>
      </c>
      <c r="P762" t="s">
        <v>74</v>
      </c>
      <c r="Q762" t="s">
        <v>74</v>
      </c>
      <c r="R762" t="s">
        <v>74</v>
      </c>
      <c r="S762" t="s">
        <v>74</v>
      </c>
      <c r="T762" t="s">
        <v>14515</v>
      </c>
      <c r="U762" t="s">
        <v>14516</v>
      </c>
      <c r="V762" t="s">
        <v>14517</v>
      </c>
      <c r="W762" t="s">
        <v>14518</v>
      </c>
      <c r="X762" t="s">
        <v>14519</v>
      </c>
      <c r="Y762" t="s">
        <v>14520</v>
      </c>
      <c r="Z762" t="s">
        <v>14521</v>
      </c>
      <c r="AA762" t="s">
        <v>74</v>
      </c>
      <c r="AB762" t="s">
        <v>14522</v>
      </c>
      <c r="AC762" t="s">
        <v>14523</v>
      </c>
      <c r="AD762" t="s">
        <v>14524</v>
      </c>
      <c r="AE762" t="s">
        <v>14525</v>
      </c>
      <c r="AF762" t="s">
        <v>74</v>
      </c>
      <c r="AG762">
        <v>49</v>
      </c>
      <c r="AH762">
        <v>14</v>
      </c>
      <c r="AI762">
        <v>17</v>
      </c>
      <c r="AJ762">
        <v>2</v>
      </c>
      <c r="AK762">
        <v>12</v>
      </c>
      <c r="AL762" t="s">
        <v>397</v>
      </c>
      <c r="AM762" t="s">
        <v>398</v>
      </c>
      <c r="AN762" t="s">
        <v>3379</v>
      </c>
      <c r="AO762" t="s">
        <v>400</v>
      </c>
      <c r="AP762" t="s">
        <v>401</v>
      </c>
      <c r="AQ762" t="s">
        <v>74</v>
      </c>
      <c r="AR762" t="s">
        <v>402</v>
      </c>
      <c r="AS762" t="s">
        <v>403</v>
      </c>
      <c r="AT762" t="s">
        <v>13423</v>
      </c>
      <c r="AU762">
        <v>2016</v>
      </c>
      <c r="AV762">
        <v>46</v>
      </c>
      <c r="AW762">
        <v>7</v>
      </c>
      <c r="AX762" t="s">
        <v>74</v>
      </c>
      <c r="AY762" t="s">
        <v>74</v>
      </c>
      <c r="AZ762" t="s">
        <v>74</v>
      </c>
      <c r="BA762" t="s">
        <v>74</v>
      </c>
      <c r="BB762">
        <v>2103</v>
      </c>
      <c r="BC762">
        <v>2122</v>
      </c>
      <c r="BD762" t="s">
        <v>74</v>
      </c>
      <c r="BE762" t="s">
        <v>14526</v>
      </c>
      <c r="BF762" t="str">
        <f>HYPERLINK("http://dx.doi.org/10.1175/JPO-D-16-0029.1","http://dx.doi.org/10.1175/JPO-D-16-0029.1")</f>
        <v>http://dx.doi.org/10.1175/JPO-D-16-0029.1</v>
      </c>
      <c r="BG762" t="s">
        <v>74</v>
      </c>
      <c r="BH762" t="s">
        <v>74</v>
      </c>
      <c r="BI762">
        <v>20</v>
      </c>
      <c r="BJ762" t="s">
        <v>405</v>
      </c>
      <c r="BK762" t="s">
        <v>156</v>
      </c>
      <c r="BL762" t="s">
        <v>405</v>
      </c>
      <c r="BM762" t="s">
        <v>14527</v>
      </c>
      <c r="BN762" t="s">
        <v>74</v>
      </c>
      <c r="BO762" t="s">
        <v>407</v>
      </c>
      <c r="BP762" t="s">
        <v>74</v>
      </c>
      <c r="BQ762" t="s">
        <v>74</v>
      </c>
      <c r="BR762" t="s">
        <v>105</v>
      </c>
      <c r="BS762" t="s">
        <v>14528</v>
      </c>
      <c r="BT762" t="str">
        <f>HYPERLINK("https%3A%2F%2Fwww.webofscience.com%2Fwos%2Fwoscc%2Ffull-record%2FWOS:000379657300002","View Full Record in Web of Science")</f>
        <v>View Full Record in Web of Science</v>
      </c>
    </row>
    <row r="763" spans="1:72" x14ac:dyDescent="0.15">
      <c r="A763" t="s">
        <v>72</v>
      </c>
      <c r="B763" t="s">
        <v>14529</v>
      </c>
      <c r="C763" t="s">
        <v>74</v>
      </c>
      <c r="D763" t="s">
        <v>74</v>
      </c>
      <c r="E763" t="s">
        <v>74</v>
      </c>
      <c r="F763" t="s">
        <v>14530</v>
      </c>
      <c r="G763" t="s">
        <v>74</v>
      </c>
      <c r="H763" t="s">
        <v>74</v>
      </c>
      <c r="I763" t="s">
        <v>14531</v>
      </c>
      <c r="J763" t="s">
        <v>7855</v>
      </c>
      <c r="K763" t="s">
        <v>74</v>
      </c>
      <c r="L763" t="s">
        <v>74</v>
      </c>
      <c r="M763" t="s">
        <v>78</v>
      </c>
      <c r="N763" t="s">
        <v>79</v>
      </c>
      <c r="O763" t="s">
        <v>74</v>
      </c>
      <c r="P763" t="s">
        <v>74</v>
      </c>
      <c r="Q763" t="s">
        <v>74</v>
      </c>
      <c r="R763" t="s">
        <v>74</v>
      </c>
      <c r="S763" t="s">
        <v>74</v>
      </c>
      <c r="T763" t="s">
        <v>14532</v>
      </c>
      <c r="U763" t="s">
        <v>14533</v>
      </c>
      <c r="V763" t="s">
        <v>14534</v>
      </c>
      <c r="W763" t="s">
        <v>14535</v>
      </c>
      <c r="X763" t="s">
        <v>12902</v>
      </c>
      <c r="Y763" t="s">
        <v>14536</v>
      </c>
      <c r="Z763" t="s">
        <v>14537</v>
      </c>
      <c r="AA763" t="s">
        <v>14538</v>
      </c>
      <c r="AB763" t="s">
        <v>14539</v>
      </c>
      <c r="AC763" t="s">
        <v>14540</v>
      </c>
      <c r="AD763" t="s">
        <v>14541</v>
      </c>
      <c r="AE763" t="s">
        <v>14542</v>
      </c>
      <c r="AF763" t="s">
        <v>74</v>
      </c>
      <c r="AG763">
        <v>49</v>
      </c>
      <c r="AH763">
        <v>14</v>
      </c>
      <c r="AI763">
        <v>15</v>
      </c>
      <c r="AJ763">
        <v>1</v>
      </c>
      <c r="AK763">
        <v>27</v>
      </c>
      <c r="AL763" t="s">
        <v>7868</v>
      </c>
      <c r="AM763" t="s">
        <v>6459</v>
      </c>
      <c r="AN763" t="s">
        <v>7869</v>
      </c>
      <c r="AO763" t="s">
        <v>7870</v>
      </c>
      <c r="AP763" t="s">
        <v>7871</v>
      </c>
      <c r="AQ763" t="s">
        <v>74</v>
      </c>
      <c r="AR763" t="s">
        <v>7855</v>
      </c>
      <c r="AS763" t="s">
        <v>7872</v>
      </c>
      <c r="AT763" t="s">
        <v>13423</v>
      </c>
      <c r="AU763">
        <v>2016</v>
      </c>
      <c r="AV763">
        <v>20</v>
      </c>
      <c r="AW763">
        <v>4</v>
      </c>
      <c r="AX763" t="s">
        <v>74</v>
      </c>
      <c r="AY763" t="s">
        <v>74</v>
      </c>
      <c r="AZ763" t="s">
        <v>74</v>
      </c>
      <c r="BA763" t="s">
        <v>74</v>
      </c>
      <c r="BB763">
        <v>425</v>
      </c>
      <c r="BC763">
        <v>435</v>
      </c>
      <c r="BD763" t="s">
        <v>74</v>
      </c>
      <c r="BE763" t="s">
        <v>14543</v>
      </c>
      <c r="BF763" t="str">
        <f>HYPERLINK("http://dx.doi.org/10.1007/s00792-016-0833-y","http://dx.doi.org/10.1007/s00792-016-0833-y")</f>
        <v>http://dx.doi.org/10.1007/s00792-016-0833-y</v>
      </c>
      <c r="BG763" t="s">
        <v>74</v>
      </c>
      <c r="BH763" t="s">
        <v>74</v>
      </c>
      <c r="BI763">
        <v>11</v>
      </c>
      <c r="BJ763" t="s">
        <v>7874</v>
      </c>
      <c r="BK763" t="s">
        <v>156</v>
      </c>
      <c r="BL763" t="s">
        <v>7874</v>
      </c>
      <c r="BM763" t="s">
        <v>14544</v>
      </c>
      <c r="BN763">
        <v>27142030</v>
      </c>
      <c r="BO763" t="s">
        <v>74</v>
      </c>
      <c r="BP763" t="s">
        <v>74</v>
      </c>
      <c r="BQ763" t="s">
        <v>74</v>
      </c>
      <c r="BR763" t="s">
        <v>105</v>
      </c>
      <c r="BS763" t="s">
        <v>14545</v>
      </c>
      <c r="BT763" t="str">
        <f>HYPERLINK("https%3A%2F%2Fwww.webofscience.com%2Fwos%2Fwoscc%2Ffull-record%2FWOS:000379027600006","View Full Record in Web of Science")</f>
        <v>View Full Record in Web of Science</v>
      </c>
    </row>
    <row r="764" spans="1:72" x14ac:dyDescent="0.15">
      <c r="A764" t="s">
        <v>72</v>
      </c>
      <c r="B764" t="s">
        <v>14546</v>
      </c>
      <c r="C764" t="s">
        <v>74</v>
      </c>
      <c r="D764" t="s">
        <v>74</v>
      </c>
      <c r="E764" t="s">
        <v>74</v>
      </c>
      <c r="F764" t="s">
        <v>14547</v>
      </c>
      <c r="G764" t="s">
        <v>74</v>
      </c>
      <c r="H764" t="s">
        <v>74</v>
      </c>
      <c r="I764" t="s">
        <v>14548</v>
      </c>
      <c r="J764" t="s">
        <v>7855</v>
      </c>
      <c r="K764" t="s">
        <v>74</v>
      </c>
      <c r="L764" t="s">
        <v>74</v>
      </c>
      <c r="M764" t="s">
        <v>78</v>
      </c>
      <c r="N764" t="s">
        <v>79</v>
      </c>
      <c r="O764" t="s">
        <v>74</v>
      </c>
      <c r="P764" t="s">
        <v>74</v>
      </c>
      <c r="Q764" t="s">
        <v>74</v>
      </c>
      <c r="R764" t="s">
        <v>74</v>
      </c>
      <c r="S764" t="s">
        <v>74</v>
      </c>
      <c r="T764" t="s">
        <v>14549</v>
      </c>
      <c r="U764" t="s">
        <v>14550</v>
      </c>
      <c r="V764" t="s">
        <v>14551</v>
      </c>
      <c r="W764" t="s">
        <v>14552</v>
      </c>
      <c r="X764" t="s">
        <v>14553</v>
      </c>
      <c r="Y764" t="s">
        <v>14554</v>
      </c>
      <c r="Z764" t="s">
        <v>14555</v>
      </c>
      <c r="AA764" t="s">
        <v>14556</v>
      </c>
      <c r="AB764" t="s">
        <v>14557</v>
      </c>
      <c r="AC764" t="s">
        <v>14558</v>
      </c>
      <c r="AD764" t="s">
        <v>14559</v>
      </c>
      <c r="AE764" t="s">
        <v>14560</v>
      </c>
      <c r="AF764" t="s">
        <v>74</v>
      </c>
      <c r="AG764">
        <v>40</v>
      </c>
      <c r="AH764">
        <v>19</v>
      </c>
      <c r="AI764">
        <v>24</v>
      </c>
      <c r="AJ764">
        <v>0</v>
      </c>
      <c r="AK764">
        <v>29</v>
      </c>
      <c r="AL764" t="s">
        <v>7868</v>
      </c>
      <c r="AM764" t="s">
        <v>6459</v>
      </c>
      <c r="AN764" t="s">
        <v>7892</v>
      </c>
      <c r="AO764" t="s">
        <v>7870</v>
      </c>
      <c r="AP764" t="s">
        <v>7871</v>
      </c>
      <c r="AQ764" t="s">
        <v>74</v>
      </c>
      <c r="AR764" t="s">
        <v>7855</v>
      </c>
      <c r="AS764" t="s">
        <v>7872</v>
      </c>
      <c r="AT764" t="s">
        <v>13423</v>
      </c>
      <c r="AU764">
        <v>2016</v>
      </c>
      <c r="AV764">
        <v>20</v>
      </c>
      <c r="AW764">
        <v>4</v>
      </c>
      <c r="AX764" t="s">
        <v>74</v>
      </c>
      <c r="AY764" t="s">
        <v>74</v>
      </c>
      <c r="AZ764" t="s">
        <v>74</v>
      </c>
      <c r="BA764" t="s">
        <v>74</v>
      </c>
      <c r="BB764">
        <v>461</v>
      </c>
      <c r="BC764">
        <v>470</v>
      </c>
      <c r="BD764" t="s">
        <v>74</v>
      </c>
      <c r="BE764" t="s">
        <v>14561</v>
      </c>
      <c r="BF764" t="str">
        <f>HYPERLINK("http://dx.doi.org/10.1007/s00792-016-0836-8","http://dx.doi.org/10.1007/s00792-016-0836-8")</f>
        <v>http://dx.doi.org/10.1007/s00792-016-0836-8</v>
      </c>
      <c r="BG764" t="s">
        <v>74</v>
      </c>
      <c r="BH764" t="s">
        <v>74</v>
      </c>
      <c r="BI764">
        <v>10</v>
      </c>
      <c r="BJ764" t="s">
        <v>7874</v>
      </c>
      <c r="BK764" t="s">
        <v>156</v>
      </c>
      <c r="BL764" t="s">
        <v>7874</v>
      </c>
      <c r="BM764" t="s">
        <v>14544</v>
      </c>
      <c r="BN764">
        <v>27240672</v>
      </c>
      <c r="BO764" t="s">
        <v>74</v>
      </c>
      <c r="BP764" t="s">
        <v>74</v>
      </c>
      <c r="BQ764" t="s">
        <v>74</v>
      </c>
      <c r="BR764" t="s">
        <v>105</v>
      </c>
      <c r="BS764" t="s">
        <v>14562</v>
      </c>
      <c r="BT764" t="str">
        <f>HYPERLINK("https%3A%2F%2Fwww.webofscience.com%2Fwos%2Fwoscc%2Ffull-record%2FWOS:000379027600009","View Full Record in Web of Science")</f>
        <v>View Full Record in Web of Science</v>
      </c>
    </row>
    <row r="765" spans="1:72" x14ac:dyDescent="0.15">
      <c r="A765" t="s">
        <v>72</v>
      </c>
      <c r="B765" t="s">
        <v>14563</v>
      </c>
      <c r="C765" t="s">
        <v>74</v>
      </c>
      <c r="D765" t="s">
        <v>74</v>
      </c>
      <c r="E765" t="s">
        <v>74</v>
      </c>
      <c r="F765" t="s">
        <v>14564</v>
      </c>
      <c r="G765" t="s">
        <v>74</v>
      </c>
      <c r="H765" t="s">
        <v>74</v>
      </c>
      <c r="I765" t="s">
        <v>14565</v>
      </c>
      <c r="J765" t="s">
        <v>184</v>
      </c>
      <c r="K765" t="s">
        <v>74</v>
      </c>
      <c r="L765" t="s">
        <v>74</v>
      </c>
      <c r="M765" t="s">
        <v>78</v>
      </c>
      <c r="N765" t="s">
        <v>79</v>
      </c>
      <c r="O765" t="s">
        <v>74</v>
      </c>
      <c r="P765" t="s">
        <v>74</v>
      </c>
      <c r="Q765" t="s">
        <v>74</v>
      </c>
      <c r="R765" t="s">
        <v>74</v>
      </c>
      <c r="S765" t="s">
        <v>74</v>
      </c>
      <c r="T765" t="s">
        <v>14566</v>
      </c>
      <c r="U765" t="s">
        <v>14567</v>
      </c>
      <c r="V765" t="s">
        <v>14568</v>
      </c>
      <c r="W765" t="s">
        <v>14569</v>
      </c>
      <c r="X765" t="s">
        <v>14570</v>
      </c>
      <c r="Y765" t="s">
        <v>14571</v>
      </c>
      <c r="Z765" t="s">
        <v>74</v>
      </c>
      <c r="AA765" t="s">
        <v>74</v>
      </c>
      <c r="AB765" t="s">
        <v>14572</v>
      </c>
      <c r="AC765" t="s">
        <v>14573</v>
      </c>
      <c r="AD765" t="s">
        <v>14574</v>
      </c>
      <c r="AE765" t="s">
        <v>14575</v>
      </c>
      <c r="AF765" t="s">
        <v>74</v>
      </c>
      <c r="AG765">
        <v>75</v>
      </c>
      <c r="AH765">
        <v>12</v>
      </c>
      <c r="AI765">
        <v>12</v>
      </c>
      <c r="AJ765">
        <v>0</v>
      </c>
      <c r="AK765">
        <v>8</v>
      </c>
      <c r="AL765" t="s">
        <v>92</v>
      </c>
      <c r="AM765" t="s">
        <v>93</v>
      </c>
      <c r="AN765" t="s">
        <v>94</v>
      </c>
      <c r="AO765" t="s">
        <v>198</v>
      </c>
      <c r="AP765" t="s">
        <v>199</v>
      </c>
      <c r="AQ765" t="s">
        <v>74</v>
      </c>
      <c r="AR765" t="s">
        <v>200</v>
      </c>
      <c r="AS765" t="s">
        <v>201</v>
      </c>
      <c r="AT765" t="s">
        <v>13423</v>
      </c>
      <c r="AU765">
        <v>2016</v>
      </c>
      <c r="AV765">
        <v>142</v>
      </c>
      <c r="AW765" t="s">
        <v>74</v>
      </c>
      <c r="AX765" t="s">
        <v>74</v>
      </c>
      <c r="AY765" t="s">
        <v>74</v>
      </c>
      <c r="AZ765" t="s">
        <v>74</v>
      </c>
      <c r="BA765" t="s">
        <v>74</v>
      </c>
      <c r="BB765">
        <v>87</v>
      </c>
      <c r="BC765">
        <v>95</v>
      </c>
      <c r="BD765" t="s">
        <v>74</v>
      </c>
      <c r="BE765" t="s">
        <v>14576</v>
      </c>
      <c r="BF765" t="str">
        <f>HYPERLINK("http://dx.doi.org/10.1016/j.gloplacha.2016.04.009","http://dx.doi.org/10.1016/j.gloplacha.2016.04.009")</f>
        <v>http://dx.doi.org/10.1016/j.gloplacha.2016.04.009</v>
      </c>
      <c r="BG765" t="s">
        <v>74</v>
      </c>
      <c r="BH765" t="s">
        <v>74</v>
      </c>
      <c r="BI765">
        <v>9</v>
      </c>
      <c r="BJ765" t="s">
        <v>203</v>
      </c>
      <c r="BK765" t="s">
        <v>156</v>
      </c>
      <c r="BL765" t="s">
        <v>204</v>
      </c>
      <c r="BM765" t="s">
        <v>14577</v>
      </c>
      <c r="BN765" t="s">
        <v>74</v>
      </c>
      <c r="BO765" t="s">
        <v>104</v>
      </c>
      <c r="BP765" t="s">
        <v>74</v>
      </c>
      <c r="BQ765" t="s">
        <v>74</v>
      </c>
      <c r="BR765" t="s">
        <v>105</v>
      </c>
      <c r="BS765" t="s">
        <v>14578</v>
      </c>
      <c r="BT765" t="str">
        <f>HYPERLINK("https%3A%2F%2Fwww.webofscience.com%2Fwos%2Fwoscc%2Ffull-record%2FWOS:000379096800007","View Full Record in Web of Science")</f>
        <v>View Full Record in Web of Science</v>
      </c>
    </row>
    <row r="766" spans="1:72" x14ac:dyDescent="0.15">
      <c r="A766" t="s">
        <v>72</v>
      </c>
      <c r="B766" t="s">
        <v>14579</v>
      </c>
      <c r="C766" t="s">
        <v>74</v>
      </c>
      <c r="D766" t="s">
        <v>74</v>
      </c>
      <c r="E766" t="s">
        <v>74</v>
      </c>
      <c r="F766" t="s">
        <v>14580</v>
      </c>
      <c r="G766" t="s">
        <v>74</v>
      </c>
      <c r="H766" t="s">
        <v>74</v>
      </c>
      <c r="I766" t="s">
        <v>14581</v>
      </c>
      <c r="J766" t="s">
        <v>3036</v>
      </c>
      <c r="K766" t="s">
        <v>74</v>
      </c>
      <c r="L766" t="s">
        <v>74</v>
      </c>
      <c r="M766" t="s">
        <v>78</v>
      </c>
      <c r="N766" t="s">
        <v>79</v>
      </c>
      <c r="O766" t="s">
        <v>74</v>
      </c>
      <c r="P766" t="s">
        <v>74</v>
      </c>
      <c r="Q766" t="s">
        <v>74</v>
      </c>
      <c r="R766" t="s">
        <v>74</v>
      </c>
      <c r="S766" t="s">
        <v>74</v>
      </c>
      <c r="T766" t="s">
        <v>74</v>
      </c>
      <c r="U766" t="s">
        <v>14582</v>
      </c>
      <c r="V766" t="s">
        <v>14583</v>
      </c>
      <c r="W766" t="s">
        <v>14584</v>
      </c>
      <c r="X766" t="s">
        <v>14585</v>
      </c>
      <c r="Y766" t="s">
        <v>14586</v>
      </c>
      <c r="Z766" t="s">
        <v>14587</v>
      </c>
      <c r="AA766" t="s">
        <v>14588</v>
      </c>
      <c r="AB766" t="s">
        <v>14589</v>
      </c>
      <c r="AC766" t="s">
        <v>14590</v>
      </c>
      <c r="AD766" t="s">
        <v>14591</v>
      </c>
      <c r="AE766" t="s">
        <v>14592</v>
      </c>
      <c r="AF766" t="s">
        <v>74</v>
      </c>
      <c r="AG766">
        <v>44</v>
      </c>
      <c r="AH766">
        <v>25</v>
      </c>
      <c r="AI766">
        <v>33</v>
      </c>
      <c r="AJ766">
        <v>2</v>
      </c>
      <c r="AK766">
        <v>38</v>
      </c>
      <c r="AL766" t="s">
        <v>397</v>
      </c>
      <c r="AM766" t="s">
        <v>398</v>
      </c>
      <c r="AN766" t="s">
        <v>3379</v>
      </c>
      <c r="AO766" t="s">
        <v>3048</v>
      </c>
      <c r="AP766" t="s">
        <v>3049</v>
      </c>
      <c r="AQ766" t="s">
        <v>74</v>
      </c>
      <c r="AR766" t="s">
        <v>3050</v>
      </c>
      <c r="AS766" t="s">
        <v>3051</v>
      </c>
      <c r="AT766" t="s">
        <v>13423</v>
      </c>
      <c r="AU766">
        <v>2016</v>
      </c>
      <c r="AV766">
        <v>29</v>
      </c>
      <c r="AW766">
        <v>13</v>
      </c>
      <c r="AX766" t="s">
        <v>74</v>
      </c>
      <c r="AY766" t="s">
        <v>74</v>
      </c>
      <c r="AZ766" t="s">
        <v>74</v>
      </c>
      <c r="BA766" t="s">
        <v>74</v>
      </c>
      <c r="BB766">
        <v>4927</v>
      </c>
      <c r="BC766">
        <v>4938</v>
      </c>
      <c r="BD766" t="s">
        <v>74</v>
      </c>
      <c r="BE766" t="s">
        <v>14593</v>
      </c>
      <c r="BF766" t="str">
        <f>HYPERLINK("http://dx.doi.org/10.1175/JCLI-D-15-0503.1","http://dx.doi.org/10.1175/JCLI-D-15-0503.1")</f>
        <v>http://dx.doi.org/10.1175/JCLI-D-15-0503.1</v>
      </c>
      <c r="BG766" t="s">
        <v>74</v>
      </c>
      <c r="BH766" t="s">
        <v>74</v>
      </c>
      <c r="BI766">
        <v>12</v>
      </c>
      <c r="BJ766" t="s">
        <v>2482</v>
      </c>
      <c r="BK766" t="s">
        <v>156</v>
      </c>
      <c r="BL766" t="s">
        <v>2482</v>
      </c>
      <c r="BM766" t="s">
        <v>14594</v>
      </c>
      <c r="BN766" t="s">
        <v>74</v>
      </c>
      <c r="BO766" t="s">
        <v>104</v>
      </c>
      <c r="BP766" t="s">
        <v>74</v>
      </c>
      <c r="BQ766" t="s">
        <v>74</v>
      </c>
      <c r="BR766" t="s">
        <v>105</v>
      </c>
      <c r="BS766" t="s">
        <v>14595</v>
      </c>
      <c r="BT766" t="str">
        <f>HYPERLINK("https%3A%2F%2Fwww.webofscience.com%2Fwos%2Fwoscc%2Ffull-record%2FWOS:000379210900002","View Full Record in Web of Science")</f>
        <v>View Full Record in Web of Science</v>
      </c>
    </row>
    <row r="767" spans="1:72" x14ac:dyDescent="0.15">
      <c r="A767" t="s">
        <v>72</v>
      </c>
      <c r="B767" t="s">
        <v>14596</v>
      </c>
      <c r="C767" t="s">
        <v>74</v>
      </c>
      <c r="D767" t="s">
        <v>74</v>
      </c>
      <c r="E767" t="s">
        <v>74</v>
      </c>
      <c r="F767" t="s">
        <v>14597</v>
      </c>
      <c r="G767" t="s">
        <v>74</v>
      </c>
      <c r="H767" t="s">
        <v>74</v>
      </c>
      <c r="I767" t="s">
        <v>14598</v>
      </c>
      <c r="J767" t="s">
        <v>14599</v>
      </c>
      <c r="K767" t="s">
        <v>74</v>
      </c>
      <c r="L767" t="s">
        <v>74</v>
      </c>
      <c r="M767" t="s">
        <v>78</v>
      </c>
      <c r="N767" t="s">
        <v>317</v>
      </c>
      <c r="O767" t="s">
        <v>74</v>
      </c>
      <c r="P767" t="s">
        <v>74</v>
      </c>
      <c r="Q767" t="s">
        <v>74</v>
      </c>
      <c r="R767" t="s">
        <v>74</v>
      </c>
      <c r="S767" t="s">
        <v>74</v>
      </c>
      <c r="T767" t="s">
        <v>14600</v>
      </c>
      <c r="U767" t="s">
        <v>14601</v>
      </c>
      <c r="V767" t="s">
        <v>14602</v>
      </c>
      <c r="W767" t="s">
        <v>14603</v>
      </c>
      <c r="X767" t="s">
        <v>14604</v>
      </c>
      <c r="Y767" t="s">
        <v>14605</v>
      </c>
      <c r="Z767" t="s">
        <v>14606</v>
      </c>
      <c r="AA767" t="s">
        <v>14607</v>
      </c>
      <c r="AB767" t="s">
        <v>14608</v>
      </c>
      <c r="AC767" t="s">
        <v>14609</v>
      </c>
      <c r="AD767" t="s">
        <v>14610</v>
      </c>
      <c r="AE767" t="s">
        <v>14611</v>
      </c>
      <c r="AF767" t="s">
        <v>74</v>
      </c>
      <c r="AG767">
        <v>67</v>
      </c>
      <c r="AH767">
        <v>17</v>
      </c>
      <c r="AI767">
        <v>18</v>
      </c>
      <c r="AJ767">
        <v>0</v>
      </c>
      <c r="AK767">
        <v>22</v>
      </c>
      <c r="AL767" t="s">
        <v>644</v>
      </c>
      <c r="AM767" t="s">
        <v>740</v>
      </c>
      <c r="AN767" t="s">
        <v>741</v>
      </c>
      <c r="AO767" t="s">
        <v>14612</v>
      </c>
      <c r="AP767" t="s">
        <v>14613</v>
      </c>
      <c r="AQ767" t="s">
        <v>74</v>
      </c>
      <c r="AR767" t="s">
        <v>14614</v>
      </c>
      <c r="AS767" t="s">
        <v>14615</v>
      </c>
      <c r="AT767" t="s">
        <v>13423</v>
      </c>
      <c r="AU767">
        <v>2016</v>
      </c>
      <c r="AV767">
        <v>37</v>
      </c>
      <c r="AW767">
        <v>4</v>
      </c>
      <c r="AX767" t="s">
        <v>74</v>
      </c>
      <c r="AY767" t="s">
        <v>74</v>
      </c>
      <c r="AZ767" t="s">
        <v>74</v>
      </c>
      <c r="BA767" t="s">
        <v>74</v>
      </c>
      <c r="BB767">
        <v>757</v>
      </c>
      <c r="BC767">
        <v>789</v>
      </c>
      <c r="BD767" t="s">
        <v>74</v>
      </c>
      <c r="BE767" t="s">
        <v>14616</v>
      </c>
      <c r="BF767" t="str">
        <f>HYPERLINK("http://dx.doi.org/10.1007/s10712-016-9369-z","http://dx.doi.org/10.1007/s10712-016-9369-z")</f>
        <v>http://dx.doi.org/10.1007/s10712-016-9369-z</v>
      </c>
      <c r="BG767" t="s">
        <v>74</v>
      </c>
      <c r="BH767" t="s">
        <v>74</v>
      </c>
      <c r="BI767">
        <v>33</v>
      </c>
      <c r="BJ767" t="s">
        <v>155</v>
      </c>
      <c r="BK767" t="s">
        <v>156</v>
      </c>
      <c r="BL767" t="s">
        <v>155</v>
      </c>
      <c r="BM767" t="s">
        <v>14617</v>
      </c>
      <c r="BN767" t="s">
        <v>74</v>
      </c>
      <c r="BO767" t="s">
        <v>459</v>
      </c>
      <c r="BP767" t="s">
        <v>74</v>
      </c>
      <c r="BQ767" t="s">
        <v>74</v>
      </c>
      <c r="BR767" t="s">
        <v>105</v>
      </c>
      <c r="BS767" t="s">
        <v>14618</v>
      </c>
      <c r="BT767" t="str">
        <f>HYPERLINK("https%3A%2F%2Fwww.webofscience.com%2Fwos%2Fwoscc%2Ffull-record%2FWOS:000379016200002","View Full Record in Web of Science")</f>
        <v>View Full Record in Web of Science</v>
      </c>
    </row>
    <row r="768" spans="1:72" x14ac:dyDescent="0.15">
      <c r="A768" t="s">
        <v>72</v>
      </c>
      <c r="B768" t="s">
        <v>14619</v>
      </c>
      <c r="C768" t="s">
        <v>74</v>
      </c>
      <c r="D768" t="s">
        <v>74</v>
      </c>
      <c r="E768" t="s">
        <v>74</v>
      </c>
      <c r="F768" t="s">
        <v>14620</v>
      </c>
      <c r="G768" t="s">
        <v>74</v>
      </c>
      <c r="H768" t="s">
        <v>74</v>
      </c>
      <c r="I768" t="s">
        <v>14621</v>
      </c>
      <c r="J768" t="s">
        <v>14622</v>
      </c>
      <c r="K768" t="s">
        <v>74</v>
      </c>
      <c r="L768" t="s">
        <v>74</v>
      </c>
      <c r="M768" t="s">
        <v>78</v>
      </c>
      <c r="N768" t="s">
        <v>79</v>
      </c>
      <c r="O768" t="s">
        <v>74</v>
      </c>
      <c r="P768" t="s">
        <v>74</v>
      </c>
      <c r="Q768" t="s">
        <v>74</v>
      </c>
      <c r="R768" t="s">
        <v>74</v>
      </c>
      <c r="S768" t="s">
        <v>74</v>
      </c>
      <c r="T768" t="s">
        <v>14623</v>
      </c>
      <c r="U768" t="s">
        <v>14624</v>
      </c>
      <c r="V768" t="s">
        <v>14625</v>
      </c>
      <c r="W768" t="s">
        <v>14626</v>
      </c>
      <c r="X768" t="s">
        <v>14627</v>
      </c>
      <c r="Y768" t="s">
        <v>14628</v>
      </c>
      <c r="Z768" t="s">
        <v>14629</v>
      </c>
      <c r="AA768" t="s">
        <v>14630</v>
      </c>
      <c r="AB768" t="s">
        <v>14631</v>
      </c>
      <c r="AC768" t="s">
        <v>14632</v>
      </c>
      <c r="AD768" t="s">
        <v>14633</v>
      </c>
      <c r="AE768" t="s">
        <v>14634</v>
      </c>
      <c r="AF768" t="s">
        <v>74</v>
      </c>
      <c r="AG768">
        <v>33</v>
      </c>
      <c r="AH768">
        <v>8</v>
      </c>
      <c r="AI768">
        <v>10</v>
      </c>
      <c r="AJ768">
        <v>2</v>
      </c>
      <c r="AK768">
        <v>6</v>
      </c>
      <c r="AL768" t="s">
        <v>644</v>
      </c>
      <c r="AM768" t="s">
        <v>740</v>
      </c>
      <c r="AN768" t="s">
        <v>741</v>
      </c>
      <c r="AO768" t="s">
        <v>14635</v>
      </c>
      <c r="AP768" t="s">
        <v>14636</v>
      </c>
      <c r="AQ768" t="s">
        <v>74</v>
      </c>
      <c r="AR768" t="s">
        <v>14637</v>
      </c>
      <c r="AS768" t="s">
        <v>14638</v>
      </c>
      <c r="AT768" t="s">
        <v>13423</v>
      </c>
      <c r="AU768">
        <v>2016</v>
      </c>
      <c r="AV768">
        <v>21</v>
      </c>
      <c r="AW768">
        <v>4</v>
      </c>
      <c r="AX768" t="s">
        <v>74</v>
      </c>
      <c r="AY768" t="s">
        <v>74</v>
      </c>
      <c r="AZ768" t="s">
        <v>74</v>
      </c>
      <c r="BA768" t="s">
        <v>74</v>
      </c>
      <c r="BB768">
        <v>707</v>
      </c>
      <c r="BC768">
        <v>715</v>
      </c>
      <c r="BD768" t="s">
        <v>74</v>
      </c>
      <c r="BE768" t="s">
        <v>14639</v>
      </c>
      <c r="BF768" t="str">
        <f>HYPERLINK("http://dx.doi.org/10.1007/s12192-016-0696-2","http://dx.doi.org/10.1007/s12192-016-0696-2")</f>
        <v>http://dx.doi.org/10.1007/s12192-016-0696-2</v>
      </c>
      <c r="BG768" t="s">
        <v>74</v>
      </c>
      <c r="BH768" t="s">
        <v>74</v>
      </c>
      <c r="BI768">
        <v>9</v>
      </c>
      <c r="BJ768" t="s">
        <v>14640</v>
      </c>
      <c r="BK768" t="s">
        <v>156</v>
      </c>
      <c r="BL768" t="s">
        <v>14640</v>
      </c>
      <c r="BM768" t="s">
        <v>14641</v>
      </c>
      <c r="BN768">
        <v>27154490</v>
      </c>
      <c r="BO768" t="s">
        <v>3229</v>
      </c>
      <c r="BP768" t="s">
        <v>74</v>
      </c>
      <c r="BQ768" t="s">
        <v>74</v>
      </c>
      <c r="BR768" t="s">
        <v>105</v>
      </c>
      <c r="BS768" t="s">
        <v>14642</v>
      </c>
      <c r="BT768" t="str">
        <f>HYPERLINK("https%3A%2F%2Fwww.webofscience.com%2Fwos%2Fwoscc%2Ffull-record%2FWOS:000378579800016","View Full Record in Web of Science")</f>
        <v>View Full Record in Web of Science</v>
      </c>
    </row>
    <row r="769" spans="1:72" x14ac:dyDescent="0.15">
      <c r="A769" t="s">
        <v>72</v>
      </c>
      <c r="B769" t="s">
        <v>14643</v>
      </c>
      <c r="C769" t="s">
        <v>74</v>
      </c>
      <c r="D769" t="s">
        <v>74</v>
      </c>
      <c r="E769" t="s">
        <v>74</v>
      </c>
      <c r="F769" t="s">
        <v>14644</v>
      </c>
      <c r="G769" t="s">
        <v>74</v>
      </c>
      <c r="H769" t="s">
        <v>74</v>
      </c>
      <c r="I769" t="s">
        <v>14645</v>
      </c>
      <c r="J769" t="s">
        <v>14646</v>
      </c>
      <c r="K769" t="s">
        <v>74</v>
      </c>
      <c r="L769" t="s">
        <v>74</v>
      </c>
      <c r="M769" t="s">
        <v>78</v>
      </c>
      <c r="N769" t="s">
        <v>79</v>
      </c>
      <c r="O769" t="s">
        <v>74</v>
      </c>
      <c r="P769" t="s">
        <v>74</v>
      </c>
      <c r="Q769" t="s">
        <v>74</v>
      </c>
      <c r="R769" t="s">
        <v>74</v>
      </c>
      <c r="S769" t="s">
        <v>74</v>
      </c>
      <c r="T769" t="s">
        <v>14647</v>
      </c>
      <c r="U769" t="s">
        <v>74</v>
      </c>
      <c r="V769" t="s">
        <v>14648</v>
      </c>
      <c r="W769" t="s">
        <v>14649</v>
      </c>
      <c r="X769" t="s">
        <v>14650</v>
      </c>
      <c r="Y769" t="s">
        <v>14651</v>
      </c>
      <c r="Z769" t="s">
        <v>14652</v>
      </c>
      <c r="AA769" t="s">
        <v>14653</v>
      </c>
      <c r="AB769" t="s">
        <v>14654</v>
      </c>
      <c r="AC769" t="s">
        <v>14655</v>
      </c>
      <c r="AD769" t="s">
        <v>14656</v>
      </c>
      <c r="AE769" t="s">
        <v>14657</v>
      </c>
      <c r="AF769" t="s">
        <v>74</v>
      </c>
      <c r="AG769">
        <v>13</v>
      </c>
      <c r="AH769">
        <v>1</v>
      </c>
      <c r="AI769">
        <v>1</v>
      </c>
      <c r="AJ769">
        <v>1</v>
      </c>
      <c r="AK769">
        <v>13</v>
      </c>
      <c r="AL769" t="s">
        <v>449</v>
      </c>
      <c r="AM769" t="s">
        <v>450</v>
      </c>
      <c r="AN769" t="s">
        <v>451</v>
      </c>
      <c r="AO769" t="s">
        <v>14658</v>
      </c>
      <c r="AP769" t="s">
        <v>14659</v>
      </c>
      <c r="AQ769" t="s">
        <v>74</v>
      </c>
      <c r="AR769" t="s">
        <v>14660</v>
      </c>
      <c r="AS769" t="s">
        <v>14661</v>
      </c>
      <c r="AT769" t="s">
        <v>13423</v>
      </c>
      <c r="AU769">
        <v>2016</v>
      </c>
      <c r="AV769">
        <v>35</v>
      </c>
      <c r="AW769">
        <v>2</v>
      </c>
      <c r="AX769" t="s">
        <v>74</v>
      </c>
      <c r="AY769" t="s">
        <v>74</v>
      </c>
      <c r="AZ769" t="s">
        <v>74</v>
      </c>
      <c r="BA769" t="s">
        <v>74</v>
      </c>
      <c r="BB769">
        <v>619</v>
      </c>
      <c r="BC769">
        <v>628</v>
      </c>
      <c r="BD769" t="s">
        <v>74</v>
      </c>
      <c r="BE769" t="s">
        <v>14662</v>
      </c>
      <c r="BF769" t="str">
        <f>HYPERLINK("http://dx.doi.org/10.1007/s40314-014-0208-x","http://dx.doi.org/10.1007/s40314-014-0208-x")</f>
        <v>http://dx.doi.org/10.1007/s40314-014-0208-x</v>
      </c>
      <c r="BG769" t="s">
        <v>74</v>
      </c>
      <c r="BH769" t="s">
        <v>74</v>
      </c>
      <c r="BI769">
        <v>10</v>
      </c>
      <c r="BJ769" t="s">
        <v>14663</v>
      </c>
      <c r="BK769" t="s">
        <v>156</v>
      </c>
      <c r="BL769" t="s">
        <v>14664</v>
      </c>
      <c r="BM769" t="s">
        <v>14665</v>
      </c>
      <c r="BN769" t="s">
        <v>74</v>
      </c>
      <c r="BO769" t="s">
        <v>74</v>
      </c>
      <c r="BP769" t="s">
        <v>74</v>
      </c>
      <c r="BQ769" t="s">
        <v>74</v>
      </c>
      <c r="BR769" t="s">
        <v>105</v>
      </c>
      <c r="BS769" t="s">
        <v>14666</v>
      </c>
      <c r="BT769" t="str">
        <f>HYPERLINK("https%3A%2F%2Fwww.webofscience.com%2Fwos%2Fwoscc%2Ffull-record%2FWOS:000378929000016","View Full Record in Web of Science")</f>
        <v>View Full Record in Web of Science</v>
      </c>
    </row>
    <row r="770" spans="1:72" x14ac:dyDescent="0.15">
      <c r="A770" t="s">
        <v>72</v>
      </c>
      <c r="B770" t="s">
        <v>14667</v>
      </c>
      <c r="C770" t="s">
        <v>74</v>
      </c>
      <c r="D770" t="s">
        <v>74</v>
      </c>
      <c r="E770" t="s">
        <v>74</v>
      </c>
      <c r="F770" t="s">
        <v>14668</v>
      </c>
      <c r="G770" t="s">
        <v>74</v>
      </c>
      <c r="H770" t="s">
        <v>74</v>
      </c>
      <c r="I770" t="s">
        <v>14669</v>
      </c>
      <c r="J770" t="s">
        <v>1218</v>
      </c>
      <c r="K770" t="s">
        <v>74</v>
      </c>
      <c r="L770" t="s">
        <v>74</v>
      </c>
      <c r="M770" t="s">
        <v>78</v>
      </c>
      <c r="N770" t="s">
        <v>1715</v>
      </c>
      <c r="O770" t="s">
        <v>74</v>
      </c>
      <c r="P770" t="s">
        <v>74</v>
      </c>
      <c r="Q770" t="s">
        <v>74</v>
      </c>
      <c r="R770" t="s">
        <v>74</v>
      </c>
      <c r="S770" t="s">
        <v>74</v>
      </c>
      <c r="T770" t="s">
        <v>74</v>
      </c>
      <c r="U770" t="s">
        <v>74</v>
      </c>
      <c r="V770" t="s">
        <v>74</v>
      </c>
      <c r="W770" t="s">
        <v>74</v>
      </c>
      <c r="X770" t="s">
        <v>74</v>
      </c>
      <c r="Y770" t="s">
        <v>74</v>
      </c>
      <c r="Z770" t="s">
        <v>74</v>
      </c>
      <c r="AA770" t="s">
        <v>74</v>
      </c>
      <c r="AB770" t="s">
        <v>74</v>
      </c>
      <c r="AC770" t="s">
        <v>74</v>
      </c>
      <c r="AD770" t="s">
        <v>74</v>
      </c>
      <c r="AE770" t="s">
        <v>74</v>
      </c>
      <c r="AF770" t="s">
        <v>74</v>
      </c>
      <c r="AG770">
        <v>0</v>
      </c>
      <c r="AH770">
        <v>4</v>
      </c>
      <c r="AI770">
        <v>4</v>
      </c>
      <c r="AJ770">
        <v>0</v>
      </c>
      <c r="AK770">
        <v>27</v>
      </c>
      <c r="AL770" t="s">
        <v>1230</v>
      </c>
      <c r="AM770" t="s">
        <v>123</v>
      </c>
      <c r="AN770" t="s">
        <v>1231</v>
      </c>
      <c r="AO770" t="s">
        <v>1232</v>
      </c>
      <c r="AP770" t="s">
        <v>1233</v>
      </c>
      <c r="AQ770" t="s">
        <v>74</v>
      </c>
      <c r="AR770" t="s">
        <v>1218</v>
      </c>
      <c r="AS770" t="s">
        <v>1234</v>
      </c>
      <c r="AT770" t="s">
        <v>13581</v>
      </c>
      <c r="AU770">
        <v>2016</v>
      </c>
      <c r="AV770">
        <v>353</v>
      </c>
      <c r="AW770">
        <v>6294</v>
      </c>
      <c r="AX770" t="s">
        <v>74</v>
      </c>
      <c r="AY770" t="s">
        <v>74</v>
      </c>
      <c r="AZ770" t="s">
        <v>74</v>
      </c>
      <c r="BA770" t="s">
        <v>74</v>
      </c>
      <c r="BB770">
        <v>16</v>
      </c>
      <c r="BC770">
        <v>17</v>
      </c>
      <c r="BD770" t="s">
        <v>74</v>
      </c>
      <c r="BE770" t="s">
        <v>14670</v>
      </c>
      <c r="BF770" t="str">
        <f>HYPERLINK("http://dx.doi.org/10.1126/science.353.6294.16","http://dx.doi.org/10.1126/science.353.6294.16")</f>
        <v>http://dx.doi.org/10.1126/science.353.6294.16</v>
      </c>
      <c r="BG770" t="s">
        <v>74</v>
      </c>
      <c r="BH770" t="s">
        <v>74</v>
      </c>
      <c r="BI770">
        <v>2</v>
      </c>
      <c r="BJ770" t="s">
        <v>719</v>
      </c>
      <c r="BK770" t="s">
        <v>156</v>
      </c>
      <c r="BL770" t="s">
        <v>720</v>
      </c>
      <c r="BM770" t="s">
        <v>14671</v>
      </c>
      <c r="BN770">
        <v>27365432</v>
      </c>
      <c r="BO770" t="s">
        <v>74</v>
      </c>
      <c r="BP770" t="s">
        <v>74</v>
      </c>
      <c r="BQ770" t="s">
        <v>74</v>
      </c>
      <c r="BR770" t="s">
        <v>105</v>
      </c>
      <c r="BS770" t="s">
        <v>14672</v>
      </c>
      <c r="BT770" t="str">
        <f>HYPERLINK("https%3A%2F%2Fwww.webofscience.com%2Fwos%2Fwoscc%2Ffull-record%2FWOS:000378816200016","View Full Record in Web of Science")</f>
        <v>View Full Record in Web of Science</v>
      </c>
    </row>
    <row r="771" spans="1:72" x14ac:dyDescent="0.15">
      <c r="A771" t="s">
        <v>72</v>
      </c>
      <c r="B771" t="s">
        <v>14673</v>
      </c>
      <c r="C771" t="s">
        <v>74</v>
      </c>
      <c r="D771" t="s">
        <v>74</v>
      </c>
      <c r="E771" t="s">
        <v>74</v>
      </c>
      <c r="F771" t="s">
        <v>14674</v>
      </c>
      <c r="G771" t="s">
        <v>74</v>
      </c>
      <c r="H771" t="s">
        <v>74</v>
      </c>
      <c r="I771" t="s">
        <v>14675</v>
      </c>
      <c r="J771" t="s">
        <v>11232</v>
      </c>
      <c r="K771" t="s">
        <v>74</v>
      </c>
      <c r="L771" t="s">
        <v>74</v>
      </c>
      <c r="M771" t="s">
        <v>78</v>
      </c>
      <c r="N771" t="s">
        <v>79</v>
      </c>
      <c r="O771" t="s">
        <v>74</v>
      </c>
      <c r="P771" t="s">
        <v>74</v>
      </c>
      <c r="Q771" t="s">
        <v>74</v>
      </c>
      <c r="R771" t="s">
        <v>74</v>
      </c>
      <c r="S771" t="s">
        <v>74</v>
      </c>
      <c r="T771" t="s">
        <v>74</v>
      </c>
      <c r="U771" t="s">
        <v>14676</v>
      </c>
      <c r="V771" t="s">
        <v>14677</v>
      </c>
      <c r="W771" t="s">
        <v>14678</v>
      </c>
      <c r="X771" t="s">
        <v>14679</v>
      </c>
      <c r="Y771" t="s">
        <v>14680</v>
      </c>
      <c r="Z771" t="s">
        <v>14681</v>
      </c>
      <c r="AA771" t="s">
        <v>14682</v>
      </c>
      <c r="AB771" t="s">
        <v>14683</v>
      </c>
      <c r="AC771" t="s">
        <v>14684</v>
      </c>
      <c r="AD771" t="s">
        <v>14685</v>
      </c>
      <c r="AE771" t="s">
        <v>14686</v>
      </c>
      <c r="AF771" t="s">
        <v>74</v>
      </c>
      <c r="AG771">
        <v>39</v>
      </c>
      <c r="AH771">
        <v>8</v>
      </c>
      <c r="AI771">
        <v>9</v>
      </c>
      <c r="AJ771">
        <v>5</v>
      </c>
      <c r="AK771">
        <v>23</v>
      </c>
      <c r="AL771" t="s">
        <v>11244</v>
      </c>
      <c r="AM771" t="s">
        <v>11245</v>
      </c>
      <c r="AN771" t="s">
        <v>11246</v>
      </c>
      <c r="AO771" t="s">
        <v>11247</v>
      </c>
      <c r="AP771" t="s">
        <v>11248</v>
      </c>
      <c r="AQ771" t="s">
        <v>74</v>
      </c>
      <c r="AR771" t="s">
        <v>11249</v>
      </c>
      <c r="AS771" t="s">
        <v>11250</v>
      </c>
      <c r="AT771" t="s">
        <v>13423</v>
      </c>
      <c r="AU771">
        <v>2016</v>
      </c>
      <c r="AV771">
        <v>125</v>
      </c>
      <c r="AW771" t="s">
        <v>1720</v>
      </c>
      <c r="AX771" t="s">
        <v>74</v>
      </c>
      <c r="AY771" t="s">
        <v>74</v>
      </c>
      <c r="AZ771" t="s">
        <v>74</v>
      </c>
      <c r="BA771" t="s">
        <v>74</v>
      </c>
      <c r="BB771">
        <v>1</v>
      </c>
      <c r="BC771">
        <v>12</v>
      </c>
      <c r="BD771" t="s">
        <v>74</v>
      </c>
      <c r="BE771" t="s">
        <v>14687</v>
      </c>
      <c r="BF771" t="str">
        <f>HYPERLINK("http://dx.doi.org/10.1007/s00704-015-1485-z","http://dx.doi.org/10.1007/s00704-015-1485-z")</f>
        <v>http://dx.doi.org/10.1007/s00704-015-1485-z</v>
      </c>
      <c r="BG771" t="s">
        <v>74</v>
      </c>
      <c r="BH771" t="s">
        <v>74</v>
      </c>
      <c r="BI771">
        <v>12</v>
      </c>
      <c r="BJ771" t="s">
        <v>2482</v>
      </c>
      <c r="BK771" t="s">
        <v>156</v>
      </c>
      <c r="BL771" t="s">
        <v>2482</v>
      </c>
      <c r="BM771" t="s">
        <v>14688</v>
      </c>
      <c r="BN771" t="s">
        <v>74</v>
      </c>
      <c r="BO771" t="s">
        <v>74</v>
      </c>
      <c r="BP771" t="s">
        <v>74</v>
      </c>
      <c r="BQ771" t="s">
        <v>74</v>
      </c>
      <c r="BR771" t="s">
        <v>105</v>
      </c>
      <c r="BS771" t="s">
        <v>14689</v>
      </c>
      <c r="BT771" t="str">
        <f>HYPERLINK("https%3A%2F%2Fwww.webofscience.com%2Fwos%2Fwoscc%2Ffull-record%2FWOS:000378884600001","View Full Record in Web of Science")</f>
        <v>View Full Record in Web of Science</v>
      </c>
    </row>
    <row r="772" spans="1:72" x14ac:dyDescent="0.15">
      <c r="A772" t="s">
        <v>72</v>
      </c>
      <c r="B772" t="s">
        <v>14690</v>
      </c>
      <c r="C772" t="s">
        <v>74</v>
      </c>
      <c r="D772" t="s">
        <v>74</v>
      </c>
      <c r="E772" t="s">
        <v>74</v>
      </c>
      <c r="F772" t="s">
        <v>14691</v>
      </c>
      <c r="G772" t="s">
        <v>74</v>
      </c>
      <c r="H772" t="s">
        <v>74</v>
      </c>
      <c r="I772" t="s">
        <v>14692</v>
      </c>
      <c r="J772" t="s">
        <v>14693</v>
      </c>
      <c r="K772" t="s">
        <v>74</v>
      </c>
      <c r="L772" t="s">
        <v>74</v>
      </c>
      <c r="M772" t="s">
        <v>78</v>
      </c>
      <c r="N772" t="s">
        <v>79</v>
      </c>
      <c r="O772" t="s">
        <v>74</v>
      </c>
      <c r="P772" t="s">
        <v>74</v>
      </c>
      <c r="Q772" t="s">
        <v>74</v>
      </c>
      <c r="R772" t="s">
        <v>74</v>
      </c>
      <c r="S772" t="s">
        <v>74</v>
      </c>
      <c r="T772" t="s">
        <v>14694</v>
      </c>
      <c r="U772" t="s">
        <v>14695</v>
      </c>
      <c r="V772" t="s">
        <v>14696</v>
      </c>
      <c r="W772" t="s">
        <v>14697</v>
      </c>
      <c r="X772" t="s">
        <v>14698</v>
      </c>
      <c r="Y772" t="s">
        <v>14699</v>
      </c>
      <c r="Z772" t="s">
        <v>14700</v>
      </c>
      <c r="AA772" t="s">
        <v>14701</v>
      </c>
      <c r="AB772" t="s">
        <v>14702</v>
      </c>
      <c r="AC772" t="s">
        <v>14703</v>
      </c>
      <c r="AD772" t="s">
        <v>14704</v>
      </c>
      <c r="AE772" t="s">
        <v>14705</v>
      </c>
      <c r="AF772" t="s">
        <v>74</v>
      </c>
      <c r="AG772">
        <v>109</v>
      </c>
      <c r="AH772">
        <v>24</v>
      </c>
      <c r="AI772">
        <v>25</v>
      </c>
      <c r="AJ772">
        <v>1</v>
      </c>
      <c r="AK772">
        <v>24</v>
      </c>
      <c r="AL772" t="s">
        <v>2501</v>
      </c>
      <c r="AM772" t="s">
        <v>304</v>
      </c>
      <c r="AN772" t="s">
        <v>2502</v>
      </c>
      <c r="AO772" t="s">
        <v>14706</v>
      </c>
      <c r="AP772" t="s">
        <v>14707</v>
      </c>
      <c r="AQ772" t="s">
        <v>74</v>
      </c>
      <c r="AR772" t="s">
        <v>14708</v>
      </c>
      <c r="AS772" t="s">
        <v>14709</v>
      </c>
      <c r="AT772" t="s">
        <v>13423</v>
      </c>
      <c r="AU772">
        <v>2016</v>
      </c>
      <c r="AV772">
        <v>177</v>
      </c>
      <c r="AW772">
        <v>3</v>
      </c>
      <c r="AX772" t="s">
        <v>74</v>
      </c>
      <c r="AY772" t="s">
        <v>74</v>
      </c>
      <c r="AZ772" t="s">
        <v>74</v>
      </c>
      <c r="BA772" t="s">
        <v>74</v>
      </c>
      <c r="BB772">
        <v>507</v>
      </c>
      <c r="BC772">
        <v>525</v>
      </c>
      <c r="BD772" t="s">
        <v>74</v>
      </c>
      <c r="BE772" t="s">
        <v>14710</v>
      </c>
      <c r="BF772" t="str">
        <f>HYPERLINK("http://dx.doi.org/10.1111/zoj.12373","http://dx.doi.org/10.1111/zoj.12373")</f>
        <v>http://dx.doi.org/10.1111/zoj.12373</v>
      </c>
      <c r="BG772" t="s">
        <v>74</v>
      </c>
      <c r="BH772" t="s">
        <v>74</v>
      </c>
      <c r="BI772">
        <v>19</v>
      </c>
      <c r="BJ772" t="s">
        <v>3306</v>
      </c>
      <c r="BK772" t="s">
        <v>156</v>
      </c>
      <c r="BL772" t="s">
        <v>3306</v>
      </c>
      <c r="BM772" t="s">
        <v>14711</v>
      </c>
      <c r="BN772" t="s">
        <v>74</v>
      </c>
      <c r="BO772" t="s">
        <v>1494</v>
      </c>
      <c r="BP772" t="s">
        <v>74</v>
      </c>
      <c r="BQ772" t="s">
        <v>74</v>
      </c>
      <c r="BR772" t="s">
        <v>105</v>
      </c>
      <c r="BS772" t="s">
        <v>14712</v>
      </c>
      <c r="BT772" t="str">
        <f>HYPERLINK("https%3A%2F%2Fwww.webofscience.com%2Fwos%2Fwoscc%2Ffull-record%2FWOS:000378725000002","View Full Record in Web of Science")</f>
        <v>View Full Record in Web of Science</v>
      </c>
    </row>
    <row r="773" spans="1:72" x14ac:dyDescent="0.15">
      <c r="A773" t="s">
        <v>72</v>
      </c>
      <c r="B773" t="s">
        <v>14713</v>
      </c>
      <c r="C773" t="s">
        <v>74</v>
      </c>
      <c r="D773" t="s">
        <v>74</v>
      </c>
      <c r="E773" t="s">
        <v>74</v>
      </c>
      <c r="F773" t="s">
        <v>14714</v>
      </c>
      <c r="G773" t="s">
        <v>74</v>
      </c>
      <c r="H773" t="s">
        <v>74</v>
      </c>
      <c r="I773" t="s">
        <v>14715</v>
      </c>
      <c r="J773" t="s">
        <v>4057</v>
      </c>
      <c r="K773" t="s">
        <v>74</v>
      </c>
      <c r="L773" t="s">
        <v>74</v>
      </c>
      <c r="M773" t="s">
        <v>78</v>
      </c>
      <c r="N773" t="s">
        <v>79</v>
      </c>
      <c r="O773" t="s">
        <v>74</v>
      </c>
      <c r="P773" t="s">
        <v>74</v>
      </c>
      <c r="Q773" t="s">
        <v>74</v>
      </c>
      <c r="R773" t="s">
        <v>74</v>
      </c>
      <c r="S773" t="s">
        <v>74</v>
      </c>
      <c r="T773" t="s">
        <v>14716</v>
      </c>
      <c r="U773" t="s">
        <v>14717</v>
      </c>
      <c r="V773" t="s">
        <v>14718</v>
      </c>
      <c r="W773" t="s">
        <v>14719</v>
      </c>
      <c r="X773" t="s">
        <v>14720</v>
      </c>
      <c r="Y773" t="s">
        <v>14721</v>
      </c>
      <c r="Z773" t="s">
        <v>14722</v>
      </c>
      <c r="AA773" t="s">
        <v>74</v>
      </c>
      <c r="AB773" t="s">
        <v>14723</v>
      </c>
      <c r="AC773" t="s">
        <v>14724</v>
      </c>
      <c r="AD773" t="s">
        <v>14725</v>
      </c>
      <c r="AE773" t="s">
        <v>14726</v>
      </c>
      <c r="AF773" t="s">
        <v>74</v>
      </c>
      <c r="AG773">
        <v>49</v>
      </c>
      <c r="AH773">
        <v>4</v>
      </c>
      <c r="AI773">
        <v>4</v>
      </c>
      <c r="AJ773">
        <v>0</v>
      </c>
      <c r="AK773">
        <v>10</v>
      </c>
      <c r="AL773" t="s">
        <v>474</v>
      </c>
      <c r="AM773" t="s">
        <v>304</v>
      </c>
      <c r="AN773" t="s">
        <v>475</v>
      </c>
      <c r="AO773" t="s">
        <v>4070</v>
      </c>
      <c r="AP773" t="s">
        <v>4071</v>
      </c>
      <c r="AQ773" t="s">
        <v>74</v>
      </c>
      <c r="AR773" t="s">
        <v>4072</v>
      </c>
      <c r="AS773" t="s">
        <v>4073</v>
      </c>
      <c r="AT773" t="s">
        <v>13423</v>
      </c>
      <c r="AU773">
        <v>2016</v>
      </c>
      <c r="AV773">
        <v>118</v>
      </c>
      <c r="AW773" t="s">
        <v>74</v>
      </c>
      <c r="AX773" t="s">
        <v>74</v>
      </c>
      <c r="AY773" t="s">
        <v>74</v>
      </c>
      <c r="AZ773" t="s">
        <v>74</v>
      </c>
      <c r="BA773" t="s">
        <v>74</v>
      </c>
      <c r="BB773">
        <v>57</v>
      </c>
      <c r="BC773">
        <v>68</v>
      </c>
      <c r="BD773" t="s">
        <v>74</v>
      </c>
      <c r="BE773" t="s">
        <v>14727</v>
      </c>
      <c r="BF773" t="str">
        <f>HYPERLINK("http://dx.doi.org/10.1016/j.marenvres.2016.05.003","http://dx.doi.org/10.1016/j.marenvres.2016.05.003")</f>
        <v>http://dx.doi.org/10.1016/j.marenvres.2016.05.003</v>
      </c>
      <c r="BG773" t="s">
        <v>74</v>
      </c>
      <c r="BH773" t="s">
        <v>74</v>
      </c>
      <c r="BI773">
        <v>12</v>
      </c>
      <c r="BJ773" t="s">
        <v>4075</v>
      </c>
      <c r="BK773" t="s">
        <v>156</v>
      </c>
      <c r="BL773" t="s">
        <v>4076</v>
      </c>
      <c r="BM773" t="s">
        <v>14728</v>
      </c>
      <c r="BN773">
        <v>27180267</v>
      </c>
      <c r="BO773" t="s">
        <v>74</v>
      </c>
      <c r="BP773" t="s">
        <v>74</v>
      </c>
      <c r="BQ773" t="s">
        <v>74</v>
      </c>
      <c r="BR773" t="s">
        <v>105</v>
      </c>
      <c r="BS773" t="s">
        <v>14729</v>
      </c>
      <c r="BT773" t="str">
        <f>HYPERLINK("https%3A%2F%2Fwww.webofscience.com%2Fwos%2Fwoscc%2Ffull-record%2FWOS:000377737600006","View Full Record in Web of Science")</f>
        <v>View Full Record in Web of Science</v>
      </c>
    </row>
    <row r="774" spans="1:72" x14ac:dyDescent="0.15">
      <c r="A774" t="s">
        <v>72</v>
      </c>
      <c r="B774" t="s">
        <v>14730</v>
      </c>
      <c r="C774" t="s">
        <v>74</v>
      </c>
      <c r="D774" t="s">
        <v>74</v>
      </c>
      <c r="E774" t="s">
        <v>74</v>
      </c>
      <c r="F774" t="s">
        <v>14731</v>
      </c>
      <c r="G774" t="s">
        <v>74</v>
      </c>
      <c r="H774" t="s">
        <v>74</v>
      </c>
      <c r="I774" t="s">
        <v>14732</v>
      </c>
      <c r="J774" t="s">
        <v>14733</v>
      </c>
      <c r="K774" t="s">
        <v>74</v>
      </c>
      <c r="L774" t="s">
        <v>74</v>
      </c>
      <c r="M774" t="s">
        <v>78</v>
      </c>
      <c r="N774" t="s">
        <v>14734</v>
      </c>
      <c r="O774" t="s">
        <v>74</v>
      </c>
      <c r="P774" t="s">
        <v>74</v>
      </c>
      <c r="Q774" t="s">
        <v>74</v>
      </c>
      <c r="R774" t="s">
        <v>74</v>
      </c>
      <c r="S774" t="s">
        <v>74</v>
      </c>
      <c r="T774" t="s">
        <v>74</v>
      </c>
      <c r="U774" t="s">
        <v>74</v>
      </c>
      <c r="V774" t="s">
        <v>74</v>
      </c>
      <c r="W774" t="s">
        <v>74</v>
      </c>
      <c r="X774" t="s">
        <v>74</v>
      </c>
      <c r="Y774" t="s">
        <v>74</v>
      </c>
      <c r="Z774" t="s">
        <v>74</v>
      </c>
      <c r="AA774" t="s">
        <v>74</v>
      </c>
      <c r="AB774" t="s">
        <v>74</v>
      </c>
      <c r="AC774" t="s">
        <v>74</v>
      </c>
      <c r="AD774" t="s">
        <v>74</v>
      </c>
      <c r="AE774" t="s">
        <v>74</v>
      </c>
      <c r="AF774" t="s">
        <v>74</v>
      </c>
      <c r="AG774">
        <v>1</v>
      </c>
      <c r="AH774">
        <v>0</v>
      </c>
      <c r="AI774">
        <v>0</v>
      </c>
      <c r="AJ774">
        <v>0</v>
      </c>
      <c r="AK774">
        <v>0</v>
      </c>
      <c r="AL774" t="s">
        <v>14735</v>
      </c>
      <c r="AM774" t="s">
        <v>250</v>
      </c>
      <c r="AN774" t="s">
        <v>14736</v>
      </c>
      <c r="AO774" t="s">
        <v>14737</v>
      </c>
      <c r="AP774" t="s">
        <v>74</v>
      </c>
      <c r="AQ774" t="s">
        <v>74</v>
      </c>
      <c r="AR774" t="s">
        <v>14738</v>
      </c>
      <c r="AS774" t="s">
        <v>14739</v>
      </c>
      <c r="AT774" t="s">
        <v>13423</v>
      </c>
      <c r="AU774">
        <v>2016</v>
      </c>
      <c r="AV774">
        <v>26</v>
      </c>
      <c r="AW774">
        <v>7</v>
      </c>
      <c r="AX774" t="s">
        <v>74</v>
      </c>
      <c r="AY774" t="s">
        <v>74</v>
      </c>
      <c r="AZ774" t="s">
        <v>74</v>
      </c>
      <c r="BA774" t="s">
        <v>74</v>
      </c>
      <c r="BB774">
        <v>101</v>
      </c>
      <c r="BC774">
        <v>102</v>
      </c>
      <c r="BD774" t="s">
        <v>74</v>
      </c>
      <c r="BE774" t="s">
        <v>74</v>
      </c>
      <c r="BF774" t="s">
        <v>74</v>
      </c>
      <c r="BG774" t="s">
        <v>74</v>
      </c>
      <c r="BH774" t="s">
        <v>74</v>
      </c>
      <c r="BI774">
        <v>2</v>
      </c>
      <c r="BJ774" t="s">
        <v>14740</v>
      </c>
      <c r="BK774" t="s">
        <v>11989</v>
      </c>
      <c r="BL774" t="s">
        <v>14741</v>
      </c>
      <c r="BM774" t="s">
        <v>14742</v>
      </c>
      <c r="BN774" t="s">
        <v>74</v>
      </c>
      <c r="BO774" t="s">
        <v>74</v>
      </c>
      <c r="BP774" t="s">
        <v>74</v>
      </c>
      <c r="BQ774" t="s">
        <v>74</v>
      </c>
      <c r="BR774" t="s">
        <v>105</v>
      </c>
      <c r="BS774" t="s">
        <v>14743</v>
      </c>
      <c r="BT774" t="str">
        <f>HYPERLINK("https%3A%2F%2Fwww.webofscience.com%2Fwos%2Fwoscc%2Ffull-record%2FWOS:000377845300080","View Full Record in Web of Science")</f>
        <v>View Full Record in Web of Science</v>
      </c>
    </row>
    <row r="775" spans="1:72" x14ac:dyDescent="0.15">
      <c r="A775" t="s">
        <v>72</v>
      </c>
      <c r="B775" t="s">
        <v>14744</v>
      </c>
      <c r="C775" t="s">
        <v>74</v>
      </c>
      <c r="D775" t="s">
        <v>74</v>
      </c>
      <c r="E775" t="s">
        <v>74</v>
      </c>
      <c r="F775" t="s">
        <v>14745</v>
      </c>
      <c r="G775" t="s">
        <v>74</v>
      </c>
      <c r="H775" t="s">
        <v>74</v>
      </c>
      <c r="I775" t="s">
        <v>14746</v>
      </c>
      <c r="J775" t="s">
        <v>14747</v>
      </c>
      <c r="K775" t="s">
        <v>74</v>
      </c>
      <c r="L775" t="s">
        <v>74</v>
      </c>
      <c r="M775" t="s">
        <v>78</v>
      </c>
      <c r="N775" t="s">
        <v>79</v>
      </c>
      <c r="O775" t="s">
        <v>74</v>
      </c>
      <c r="P775" t="s">
        <v>74</v>
      </c>
      <c r="Q775" t="s">
        <v>74</v>
      </c>
      <c r="R775" t="s">
        <v>74</v>
      </c>
      <c r="S775" t="s">
        <v>74</v>
      </c>
      <c r="T775" t="s">
        <v>14748</v>
      </c>
      <c r="U775" t="s">
        <v>74</v>
      </c>
      <c r="V775" t="s">
        <v>14749</v>
      </c>
      <c r="W775" t="s">
        <v>14750</v>
      </c>
      <c r="X775" t="s">
        <v>2471</v>
      </c>
      <c r="Y775" t="s">
        <v>14751</v>
      </c>
      <c r="Z775" t="s">
        <v>14752</v>
      </c>
      <c r="AA775" t="s">
        <v>74</v>
      </c>
      <c r="AB775" t="s">
        <v>74</v>
      </c>
      <c r="AC775" t="s">
        <v>74</v>
      </c>
      <c r="AD775" t="s">
        <v>74</v>
      </c>
      <c r="AE775" t="s">
        <v>74</v>
      </c>
      <c r="AF775" t="s">
        <v>74</v>
      </c>
      <c r="AG775">
        <v>21</v>
      </c>
      <c r="AH775">
        <v>0</v>
      </c>
      <c r="AI775">
        <v>0</v>
      </c>
      <c r="AJ775">
        <v>0</v>
      </c>
      <c r="AK775">
        <v>1</v>
      </c>
      <c r="AL775" t="s">
        <v>10297</v>
      </c>
      <c r="AM775" t="s">
        <v>5967</v>
      </c>
      <c r="AN775" t="s">
        <v>10298</v>
      </c>
      <c r="AO775" t="s">
        <v>14753</v>
      </c>
      <c r="AP775" t="s">
        <v>14754</v>
      </c>
      <c r="AQ775" t="s">
        <v>74</v>
      </c>
      <c r="AR775" t="s">
        <v>14755</v>
      </c>
      <c r="AS775" t="s">
        <v>14756</v>
      </c>
      <c r="AT775" t="s">
        <v>13423</v>
      </c>
      <c r="AU775">
        <v>2016</v>
      </c>
      <c r="AV775">
        <v>6</v>
      </c>
      <c r="AW775">
        <v>3</v>
      </c>
      <c r="AX775" t="s">
        <v>74</v>
      </c>
      <c r="AY775" t="s">
        <v>74</v>
      </c>
      <c r="AZ775" t="s">
        <v>74</v>
      </c>
      <c r="BA775" t="s">
        <v>74</v>
      </c>
      <c r="BB775">
        <v>167</v>
      </c>
      <c r="BC775">
        <v>179</v>
      </c>
      <c r="BD775" t="s">
        <v>74</v>
      </c>
      <c r="BE775" t="s">
        <v>14757</v>
      </c>
      <c r="BF775" t="str">
        <f>HYPERLINK("http://dx.doi.org/10.1134/S2079057016030103","http://dx.doi.org/10.1134/S2079057016030103")</f>
        <v>http://dx.doi.org/10.1134/S2079057016030103</v>
      </c>
      <c r="BG775" t="s">
        <v>74</v>
      </c>
      <c r="BH775" t="s">
        <v>74</v>
      </c>
      <c r="BI775">
        <v>13</v>
      </c>
      <c r="BJ775" t="s">
        <v>14758</v>
      </c>
      <c r="BK775" t="s">
        <v>131</v>
      </c>
      <c r="BL775" t="s">
        <v>14758</v>
      </c>
      <c r="BM775" t="s">
        <v>14759</v>
      </c>
      <c r="BN775" t="s">
        <v>74</v>
      </c>
      <c r="BO775" t="s">
        <v>74</v>
      </c>
      <c r="BP775" t="s">
        <v>74</v>
      </c>
      <c r="BQ775" t="s">
        <v>74</v>
      </c>
      <c r="BR775" t="s">
        <v>105</v>
      </c>
      <c r="BS775" t="s">
        <v>14760</v>
      </c>
      <c r="BT775" t="str">
        <f>HYPERLINK("https%3A%2F%2Fwww.webofscience.com%2Fwos%2Fwoscc%2Ffull-record%2FWOS:000517100500001","View Full Record in Web of Science")</f>
        <v>View Full Record in Web of Science</v>
      </c>
    </row>
    <row r="776" spans="1:72" x14ac:dyDescent="0.15">
      <c r="A776" t="s">
        <v>72</v>
      </c>
      <c r="B776" t="s">
        <v>14744</v>
      </c>
      <c r="C776" t="s">
        <v>74</v>
      </c>
      <c r="D776" t="s">
        <v>74</v>
      </c>
      <c r="E776" t="s">
        <v>74</v>
      </c>
      <c r="F776" t="s">
        <v>14745</v>
      </c>
      <c r="G776" t="s">
        <v>74</v>
      </c>
      <c r="H776" t="s">
        <v>74</v>
      </c>
      <c r="I776" t="s">
        <v>14761</v>
      </c>
      <c r="J776" t="s">
        <v>14747</v>
      </c>
      <c r="K776" t="s">
        <v>74</v>
      </c>
      <c r="L776" t="s">
        <v>74</v>
      </c>
      <c r="M776" t="s">
        <v>78</v>
      </c>
      <c r="N776" t="s">
        <v>79</v>
      </c>
      <c r="O776" t="s">
        <v>74</v>
      </c>
      <c r="P776" t="s">
        <v>74</v>
      </c>
      <c r="Q776" t="s">
        <v>74</v>
      </c>
      <c r="R776" t="s">
        <v>74</v>
      </c>
      <c r="S776" t="s">
        <v>74</v>
      </c>
      <c r="T776" t="s">
        <v>14762</v>
      </c>
      <c r="U776" t="s">
        <v>74</v>
      </c>
      <c r="V776" t="s">
        <v>14763</v>
      </c>
      <c r="W776" t="s">
        <v>14750</v>
      </c>
      <c r="X776" t="s">
        <v>2471</v>
      </c>
      <c r="Y776" t="s">
        <v>14751</v>
      </c>
      <c r="Z776" t="s">
        <v>14752</v>
      </c>
      <c r="AA776" t="s">
        <v>74</v>
      </c>
      <c r="AB776" t="s">
        <v>74</v>
      </c>
      <c r="AC776" t="s">
        <v>74</v>
      </c>
      <c r="AD776" t="s">
        <v>74</v>
      </c>
      <c r="AE776" t="s">
        <v>74</v>
      </c>
      <c r="AF776" t="s">
        <v>74</v>
      </c>
      <c r="AG776">
        <v>7</v>
      </c>
      <c r="AH776">
        <v>0</v>
      </c>
      <c r="AI776">
        <v>0</v>
      </c>
      <c r="AJ776">
        <v>0</v>
      </c>
      <c r="AK776">
        <v>1</v>
      </c>
      <c r="AL776" t="s">
        <v>10297</v>
      </c>
      <c r="AM776" t="s">
        <v>5967</v>
      </c>
      <c r="AN776" t="s">
        <v>10298</v>
      </c>
      <c r="AO776" t="s">
        <v>14753</v>
      </c>
      <c r="AP776" t="s">
        <v>14754</v>
      </c>
      <c r="AQ776" t="s">
        <v>74</v>
      </c>
      <c r="AR776" t="s">
        <v>14755</v>
      </c>
      <c r="AS776" t="s">
        <v>14756</v>
      </c>
      <c r="AT776" t="s">
        <v>13423</v>
      </c>
      <c r="AU776">
        <v>2016</v>
      </c>
      <c r="AV776">
        <v>6</v>
      </c>
      <c r="AW776">
        <v>3</v>
      </c>
      <c r="AX776" t="s">
        <v>74</v>
      </c>
      <c r="AY776" t="s">
        <v>74</v>
      </c>
      <c r="AZ776" t="s">
        <v>74</v>
      </c>
      <c r="BA776" t="s">
        <v>74</v>
      </c>
      <c r="BB776">
        <v>180</v>
      </c>
      <c r="BC776">
        <v>184</v>
      </c>
      <c r="BD776" t="s">
        <v>74</v>
      </c>
      <c r="BE776" t="s">
        <v>14764</v>
      </c>
      <c r="BF776" t="str">
        <f>HYPERLINK("http://dx.doi.org/10.1134/S2079057016030115","http://dx.doi.org/10.1134/S2079057016030115")</f>
        <v>http://dx.doi.org/10.1134/S2079057016030115</v>
      </c>
      <c r="BG776" t="s">
        <v>74</v>
      </c>
      <c r="BH776" t="s">
        <v>74</v>
      </c>
      <c r="BI776">
        <v>5</v>
      </c>
      <c r="BJ776" t="s">
        <v>14758</v>
      </c>
      <c r="BK776" t="s">
        <v>131</v>
      </c>
      <c r="BL776" t="s">
        <v>14758</v>
      </c>
      <c r="BM776" t="s">
        <v>14759</v>
      </c>
      <c r="BN776" t="s">
        <v>74</v>
      </c>
      <c r="BO776" t="s">
        <v>74</v>
      </c>
      <c r="BP776" t="s">
        <v>74</v>
      </c>
      <c r="BQ776" t="s">
        <v>74</v>
      </c>
      <c r="BR776" t="s">
        <v>105</v>
      </c>
      <c r="BS776" t="s">
        <v>14765</v>
      </c>
      <c r="BT776" t="str">
        <f>HYPERLINK("https%3A%2F%2Fwww.webofscience.com%2Fwos%2Fwoscc%2Ffull-record%2FWOS:000517100500002","View Full Record in Web of Science")</f>
        <v>View Full Record in Web of Science</v>
      </c>
    </row>
    <row r="777" spans="1:72" x14ac:dyDescent="0.15">
      <c r="A777" t="s">
        <v>72</v>
      </c>
      <c r="B777" t="s">
        <v>14766</v>
      </c>
      <c r="C777" t="s">
        <v>74</v>
      </c>
      <c r="D777" t="s">
        <v>74</v>
      </c>
      <c r="E777" t="s">
        <v>74</v>
      </c>
      <c r="F777" t="s">
        <v>14767</v>
      </c>
      <c r="G777" t="s">
        <v>74</v>
      </c>
      <c r="H777" t="s">
        <v>74</v>
      </c>
      <c r="I777" t="s">
        <v>14768</v>
      </c>
      <c r="J777" t="s">
        <v>14769</v>
      </c>
      <c r="K777" t="s">
        <v>74</v>
      </c>
      <c r="L777" t="s">
        <v>74</v>
      </c>
      <c r="M777" t="s">
        <v>78</v>
      </c>
      <c r="N777" t="s">
        <v>79</v>
      </c>
      <c r="O777" t="s">
        <v>74</v>
      </c>
      <c r="P777" t="s">
        <v>74</v>
      </c>
      <c r="Q777" t="s">
        <v>74</v>
      </c>
      <c r="R777" t="s">
        <v>74</v>
      </c>
      <c r="S777" t="s">
        <v>74</v>
      </c>
      <c r="T777" t="s">
        <v>14770</v>
      </c>
      <c r="U777" t="s">
        <v>14771</v>
      </c>
      <c r="V777" t="s">
        <v>14772</v>
      </c>
      <c r="W777" t="s">
        <v>14773</v>
      </c>
      <c r="X777" t="s">
        <v>14774</v>
      </c>
      <c r="Y777" t="s">
        <v>14775</v>
      </c>
      <c r="Z777" t="s">
        <v>14776</v>
      </c>
      <c r="AA777" t="s">
        <v>14777</v>
      </c>
      <c r="AB777" t="s">
        <v>14778</v>
      </c>
      <c r="AC777" t="s">
        <v>14779</v>
      </c>
      <c r="AD777" t="s">
        <v>14780</v>
      </c>
      <c r="AE777" t="s">
        <v>14781</v>
      </c>
      <c r="AF777" t="s">
        <v>74</v>
      </c>
      <c r="AG777">
        <v>12</v>
      </c>
      <c r="AH777">
        <v>15</v>
      </c>
      <c r="AI777">
        <v>15</v>
      </c>
      <c r="AJ777">
        <v>0</v>
      </c>
      <c r="AK777">
        <v>17</v>
      </c>
      <c r="AL777" t="s">
        <v>449</v>
      </c>
      <c r="AM777" t="s">
        <v>450</v>
      </c>
      <c r="AN777" t="s">
        <v>451</v>
      </c>
      <c r="AO777" t="s">
        <v>14782</v>
      </c>
      <c r="AP777" t="s">
        <v>14783</v>
      </c>
      <c r="AQ777" t="s">
        <v>74</v>
      </c>
      <c r="AR777" t="s">
        <v>14784</v>
      </c>
      <c r="AS777" t="s">
        <v>14785</v>
      </c>
      <c r="AT777" t="s">
        <v>13423</v>
      </c>
      <c r="AU777">
        <v>2016</v>
      </c>
      <c r="AV777">
        <v>19</v>
      </c>
      <c r="AW777">
        <v>4</v>
      </c>
      <c r="AX777" t="s">
        <v>74</v>
      </c>
      <c r="AY777" t="s">
        <v>74</v>
      </c>
      <c r="AZ777" t="s">
        <v>74</v>
      </c>
      <c r="BA777" t="s">
        <v>74</v>
      </c>
      <c r="BB777">
        <v>861</v>
      </c>
      <c r="BC777">
        <v>865</v>
      </c>
      <c r="BD777" t="s">
        <v>74</v>
      </c>
      <c r="BE777" t="s">
        <v>14786</v>
      </c>
      <c r="BF777" t="str">
        <f>HYPERLINK("http://dx.doi.org/10.1007/s10071-016-0970-9","http://dx.doi.org/10.1007/s10071-016-0970-9")</f>
        <v>http://dx.doi.org/10.1007/s10071-016-0970-9</v>
      </c>
      <c r="BG777" t="s">
        <v>74</v>
      </c>
      <c r="BH777" t="s">
        <v>74</v>
      </c>
      <c r="BI777">
        <v>5</v>
      </c>
      <c r="BJ777" t="s">
        <v>14787</v>
      </c>
      <c r="BK777" t="s">
        <v>156</v>
      </c>
      <c r="BL777" t="s">
        <v>14787</v>
      </c>
      <c r="BM777" t="s">
        <v>14788</v>
      </c>
      <c r="BN777">
        <v>26939544</v>
      </c>
      <c r="BO777" t="s">
        <v>74</v>
      </c>
      <c r="BP777" t="s">
        <v>74</v>
      </c>
      <c r="BQ777" t="s">
        <v>74</v>
      </c>
      <c r="BR777" t="s">
        <v>105</v>
      </c>
      <c r="BS777" t="s">
        <v>14789</v>
      </c>
      <c r="BT777" t="str">
        <f>HYPERLINK("https%3A%2F%2Fwww.webofscience.com%2Fwos%2Fwoscc%2Ffull-record%2FWOS:000377454000016","View Full Record in Web of Science")</f>
        <v>View Full Record in Web of Science</v>
      </c>
    </row>
    <row r="778" spans="1:72" x14ac:dyDescent="0.15">
      <c r="A778" t="s">
        <v>72</v>
      </c>
      <c r="B778" t="s">
        <v>14790</v>
      </c>
      <c r="C778" t="s">
        <v>74</v>
      </c>
      <c r="D778" t="s">
        <v>74</v>
      </c>
      <c r="E778" t="s">
        <v>74</v>
      </c>
      <c r="F778" t="s">
        <v>14791</v>
      </c>
      <c r="G778" t="s">
        <v>74</v>
      </c>
      <c r="H778" t="s">
        <v>74</v>
      </c>
      <c r="I778" t="s">
        <v>14792</v>
      </c>
      <c r="J778" t="s">
        <v>5745</v>
      </c>
      <c r="K778" t="s">
        <v>74</v>
      </c>
      <c r="L778" t="s">
        <v>74</v>
      </c>
      <c r="M778" t="s">
        <v>78</v>
      </c>
      <c r="N778" t="s">
        <v>2730</v>
      </c>
      <c r="O778" t="s">
        <v>13489</v>
      </c>
      <c r="P778" t="s">
        <v>13490</v>
      </c>
      <c r="Q778" t="s">
        <v>13491</v>
      </c>
      <c r="R778" t="s">
        <v>74</v>
      </c>
      <c r="S778" t="s">
        <v>74</v>
      </c>
      <c r="T778" t="s">
        <v>14793</v>
      </c>
      <c r="U778" t="s">
        <v>14794</v>
      </c>
      <c r="V778" t="s">
        <v>14795</v>
      </c>
      <c r="W778" t="s">
        <v>14796</v>
      </c>
      <c r="X778" t="s">
        <v>14797</v>
      </c>
      <c r="Y778" t="s">
        <v>14798</v>
      </c>
      <c r="Z778" t="s">
        <v>14799</v>
      </c>
      <c r="AA778" t="s">
        <v>14800</v>
      </c>
      <c r="AB778" t="s">
        <v>14801</v>
      </c>
      <c r="AC778" t="s">
        <v>14802</v>
      </c>
      <c r="AD778" t="s">
        <v>525</v>
      </c>
      <c r="AE778" t="s">
        <v>74</v>
      </c>
      <c r="AF778" t="s">
        <v>74</v>
      </c>
      <c r="AG778">
        <v>58</v>
      </c>
      <c r="AH778">
        <v>21</v>
      </c>
      <c r="AI778">
        <v>23</v>
      </c>
      <c r="AJ778">
        <v>0</v>
      </c>
      <c r="AK778">
        <v>20</v>
      </c>
      <c r="AL778" t="s">
        <v>2670</v>
      </c>
      <c r="AM778" t="s">
        <v>2026</v>
      </c>
      <c r="AN778" t="s">
        <v>2671</v>
      </c>
      <c r="AO778" t="s">
        <v>5757</v>
      </c>
      <c r="AP778" t="s">
        <v>5758</v>
      </c>
      <c r="AQ778" t="s">
        <v>74</v>
      </c>
      <c r="AR778" t="s">
        <v>5759</v>
      </c>
      <c r="AS778" t="s">
        <v>5760</v>
      </c>
      <c r="AT778" t="s">
        <v>13423</v>
      </c>
      <c r="AU778">
        <v>2016</v>
      </c>
      <c r="AV778">
        <v>57</v>
      </c>
      <c r="AW778">
        <v>72</v>
      </c>
      <c r="AX778" t="s">
        <v>74</v>
      </c>
      <c r="AY778" t="s">
        <v>74</v>
      </c>
      <c r="AZ778" t="s">
        <v>74</v>
      </c>
      <c r="BA778" t="s">
        <v>74</v>
      </c>
      <c r="BB778">
        <v>96</v>
      </c>
      <c r="BC778">
        <v>108</v>
      </c>
      <c r="BD778" t="s">
        <v>74</v>
      </c>
      <c r="BE778" t="s">
        <v>14803</v>
      </c>
      <c r="BF778" t="str">
        <f>HYPERLINK("http://dx.doi.org/10.1017/aog.2016.15","http://dx.doi.org/10.1017/aog.2016.15")</f>
        <v>http://dx.doi.org/10.1017/aog.2016.15</v>
      </c>
      <c r="BG778" t="s">
        <v>74</v>
      </c>
      <c r="BH778" t="s">
        <v>74</v>
      </c>
      <c r="BI778">
        <v>13</v>
      </c>
      <c r="BJ778" t="s">
        <v>203</v>
      </c>
      <c r="BK778" t="s">
        <v>2548</v>
      </c>
      <c r="BL778" t="s">
        <v>204</v>
      </c>
      <c r="BM778" t="s">
        <v>13502</v>
      </c>
      <c r="BN778" t="s">
        <v>74</v>
      </c>
      <c r="BO778" t="s">
        <v>14804</v>
      </c>
      <c r="BP778" t="s">
        <v>74</v>
      </c>
      <c r="BQ778" t="s">
        <v>74</v>
      </c>
      <c r="BR778" t="s">
        <v>105</v>
      </c>
      <c r="BS778" t="s">
        <v>14805</v>
      </c>
      <c r="BT778" t="str">
        <f>HYPERLINK("https%3A%2F%2Fwww.webofscience.com%2Fwos%2Fwoscc%2Ffull-record%2FWOS:000385592800011","View Full Record in Web of Science")</f>
        <v>View Full Record in Web of Science</v>
      </c>
    </row>
    <row r="779" spans="1:72" x14ac:dyDescent="0.15">
      <c r="A779" t="s">
        <v>72</v>
      </c>
      <c r="B779" t="s">
        <v>14806</v>
      </c>
      <c r="C779" t="s">
        <v>74</v>
      </c>
      <c r="D779" t="s">
        <v>74</v>
      </c>
      <c r="E779" t="s">
        <v>74</v>
      </c>
      <c r="F779" t="s">
        <v>14807</v>
      </c>
      <c r="G779" t="s">
        <v>74</v>
      </c>
      <c r="H779" t="s">
        <v>74</v>
      </c>
      <c r="I779" t="s">
        <v>14808</v>
      </c>
      <c r="J779" t="s">
        <v>14809</v>
      </c>
      <c r="K779" t="s">
        <v>74</v>
      </c>
      <c r="L779" t="s">
        <v>74</v>
      </c>
      <c r="M779" t="s">
        <v>78</v>
      </c>
      <c r="N779" t="s">
        <v>79</v>
      </c>
      <c r="O779" t="s">
        <v>74</v>
      </c>
      <c r="P779" t="s">
        <v>74</v>
      </c>
      <c r="Q779" t="s">
        <v>74</v>
      </c>
      <c r="R779" t="s">
        <v>74</v>
      </c>
      <c r="S779" t="s">
        <v>74</v>
      </c>
      <c r="T779" t="s">
        <v>14810</v>
      </c>
      <c r="U779" t="s">
        <v>14811</v>
      </c>
      <c r="V779" t="s">
        <v>14812</v>
      </c>
      <c r="W779" t="s">
        <v>14813</v>
      </c>
      <c r="X779" t="s">
        <v>14814</v>
      </c>
      <c r="Y779" t="s">
        <v>14815</v>
      </c>
      <c r="Z779" t="s">
        <v>14816</v>
      </c>
      <c r="AA779" t="s">
        <v>14817</v>
      </c>
      <c r="AB779" t="s">
        <v>14818</v>
      </c>
      <c r="AC779" t="s">
        <v>14819</v>
      </c>
      <c r="AD779" t="s">
        <v>14820</v>
      </c>
      <c r="AE779" t="s">
        <v>14821</v>
      </c>
      <c r="AF779" t="s">
        <v>74</v>
      </c>
      <c r="AG779">
        <v>36</v>
      </c>
      <c r="AH779">
        <v>24</v>
      </c>
      <c r="AI779">
        <v>28</v>
      </c>
      <c r="AJ779">
        <v>3</v>
      </c>
      <c r="AK779">
        <v>30</v>
      </c>
      <c r="AL779" t="s">
        <v>371</v>
      </c>
      <c r="AM779" t="s">
        <v>372</v>
      </c>
      <c r="AN779" t="s">
        <v>373</v>
      </c>
      <c r="AO779" t="s">
        <v>14822</v>
      </c>
      <c r="AP779" t="s">
        <v>14823</v>
      </c>
      <c r="AQ779" t="s">
        <v>74</v>
      </c>
      <c r="AR779" t="s">
        <v>14824</v>
      </c>
      <c r="AS779" t="s">
        <v>14825</v>
      </c>
      <c r="AT779" t="s">
        <v>14826</v>
      </c>
      <c r="AU779">
        <v>2016</v>
      </c>
      <c r="AV779">
        <v>27</v>
      </c>
      <c r="AW779">
        <v>4</v>
      </c>
      <c r="AX779" t="s">
        <v>74</v>
      </c>
      <c r="AY779" t="s">
        <v>74</v>
      </c>
      <c r="AZ779" t="s">
        <v>74</v>
      </c>
      <c r="BA779" t="s">
        <v>74</v>
      </c>
      <c r="BB779">
        <v>1223</v>
      </c>
      <c r="BC779">
        <v>1234</v>
      </c>
      <c r="BD779" t="s">
        <v>74</v>
      </c>
      <c r="BE779" t="s">
        <v>14827</v>
      </c>
      <c r="BF779" t="str">
        <f>HYPERLINK("http://dx.doi.org/10.1093/beheco/arw039","http://dx.doi.org/10.1093/beheco/arw039")</f>
        <v>http://dx.doi.org/10.1093/beheco/arw039</v>
      </c>
      <c r="BG779" t="s">
        <v>74</v>
      </c>
      <c r="BH779" t="s">
        <v>74</v>
      </c>
      <c r="BI779">
        <v>12</v>
      </c>
      <c r="BJ779" t="s">
        <v>14828</v>
      </c>
      <c r="BK779" t="s">
        <v>156</v>
      </c>
      <c r="BL779" t="s">
        <v>14829</v>
      </c>
      <c r="BM779" t="s">
        <v>14830</v>
      </c>
      <c r="BN779" t="s">
        <v>74</v>
      </c>
      <c r="BO779" t="s">
        <v>258</v>
      </c>
      <c r="BP779" t="s">
        <v>74</v>
      </c>
      <c r="BQ779" t="s">
        <v>74</v>
      </c>
      <c r="BR779" t="s">
        <v>105</v>
      </c>
      <c r="BS779" t="s">
        <v>14831</v>
      </c>
      <c r="BT779" t="str">
        <f>HYPERLINK("https%3A%2F%2Fwww.webofscience.com%2Fwos%2Fwoscc%2Ffull-record%2FWOS:000381225300036","View Full Record in Web of Science")</f>
        <v>View Full Record in Web of Science</v>
      </c>
    </row>
    <row r="780" spans="1:72" x14ac:dyDescent="0.15">
      <c r="A780" t="s">
        <v>72</v>
      </c>
      <c r="B780" t="s">
        <v>14832</v>
      </c>
      <c r="C780" t="s">
        <v>74</v>
      </c>
      <c r="D780" t="s">
        <v>74</v>
      </c>
      <c r="E780" t="s">
        <v>74</v>
      </c>
      <c r="F780" t="s">
        <v>14833</v>
      </c>
      <c r="G780" t="s">
        <v>74</v>
      </c>
      <c r="H780" t="s">
        <v>74</v>
      </c>
      <c r="I780" t="s">
        <v>14834</v>
      </c>
      <c r="J780" t="s">
        <v>3443</v>
      </c>
      <c r="K780" t="s">
        <v>74</v>
      </c>
      <c r="L780" t="s">
        <v>74</v>
      </c>
      <c r="M780" t="s">
        <v>78</v>
      </c>
      <c r="N780" t="s">
        <v>79</v>
      </c>
      <c r="O780" t="s">
        <v>74</v>
      </c>
      <c r="P780" t="s">
        <v>74</v>
      </c>
      <c r="Q780" t="s">
        <v>74</v>
      </c>
      <c r="R780" t="s">
        <v>74</v>
      </c>
      <c r="S780" t="s">
        <v>74</v>
      </c>
      <c r="T780" t="s">
        <v>14835</v>
      </c>
      <c r="U780" t="s">
        <v>14836</v>
      </c>
      <c r="V780" t="s">
        <v>14837</v>
      </c>
      <c r="W780" t="s">
        <v>14838</v>
      </c>
      <c r="X780" t="s">
        <v>14839</v>
      </c>
      <c r="Y780" t="s">
        <v>14840</v>
      </c>
      <c r="Z780" t="s">
        <v>14841</v>
      </c>
      <c r="AA780" t="s">
        <v>14842</v>
      </c>
      <c r="AB780" t="s">
        <v>14843</v>
      </c>
      <c r="AC780" t="s">
        <v>14844</v>
      </c>
      <c r="AD780" t="s">
        <v>14845</v>
      </c>
      <c r="AE780" t="s">
        <v>14846</v>
      </c>
      <c r="AF780" t="s">
        <v>74</v>
      </c>
      <c r="AG780">
        <v>22</v>
      </c>
      <c r="AH780">
        <v>71</v>
      </c>
      <c r="AI780">
        <v>81</v>
      </c>
      <c r="AJ780">
        <v>4</v>
      </c>
      <c r="AK780">
        <v>122</v>
      </c>
      <c r="AL780" t="s">
        <v>474</v>
      </c>
      <c r="AM780" t="s">
        <v>304</v>
      </c>
      <c r="AN780" t="s">
        <v>475</v>
      </c>
      <c r="AO780" t="s">
        <v>3455</v>
      </c>
      <c r="AP780" t="s">
        <v>3456</v>
      </c>
      <c r="AQ780" t="s">
        <v>74</v>
      </c>
      <c r="AR780" t="s">
        <v>3457</v>
      </c>
      <c r="AS780" t="s">
        <v>3458</v>
      </c>
      <c r="AT780" t="s">
        <v>13423</v>
      </c>
      <c r="AU780">
        <v>2016</v>
      </c>
      <c r="AV780">
        <v>199</v>
      </c>
      <c r="AW780" t="s">
        <v>74</v>
      </c>
      <c r="AX780" t="s">
        <v>74</v>
      </c>
      <c r="AY780" t="s">
        <v>74</v>
      </c>
      <c r="AZ780" t="s">
        <v>74</v>
      </c>
      <c r="BA780" t="s">
        <v>74</v>
      </c>
      <c r="BB780">
        <v>132</v>
      </c>
      <c r="BC780">
        <v>136</v>
      </c>
      <c r="BD780" t="s">
        <v>74</v>
      </c>
      <c r="BE780" t="s">
        <v>14847</v>
      </c>
      <c r="BF780" t="str">
        <f>HYPERLINK("http://dx.doi.org/10.1016/j.biocon.2016.05.009","http://dx.doi.org/10.1016/j.biocon.2016.05.009")</f>
        <v>http://dx.doi.org/10.1016/j.biocon.2016.05.009</v>
      </c>
      <c r="BG780" t="s">
        <v>74</v>
      </c>
      <c r="BH780" t="s">
        <v>74</v>
      </c>
      <c r="BI780">
        <v>5</v>
      </c>
      <c r="BJ780" t="s">
        <v>3460</v>
      </c>
      <c r="BK780" t="s">
        <v>156</v>
      </c>
      <c r="BL780" t="s">
        <v>653</v>
      </c>
      <c r="BM780" t="s">
        <v>14848</v>
      </c>
      <c r="BN780" t="s">
        <v>74</v>
      </c>
      <c r="BO780" t="s">
        <v>74</v>
      </c>
      <c r="BP780" t="s">
        <v>74</v>
      </c>
      <c r="BQ780" t="s">
        <v>74</v>
      </c>
      <c r="BR780" t="s">
        <v>105</v>
      </c>
      <c r="BS780" t="s">
        <v>14849</v>
      </c>
      <c r="BT780" t="str">
        <f>HYPERLINK("https%3A%2F%2Fwww.webofscience.com%2Fwos%2Fwoscc%2Ffull-record%2FWOS:000379559600018","View Full Record in Web of Science")</f>
        <v>View Full Record in Web of Science</v>
      </c>
    </row>
    <row r="781" spans="1:72" x14ac:dyDescent="0.15">
      <c r="A781" t="s">
        <v>72</v>
      </c>
      <c r="B781" t="s">
        <v>14850</v>
      </c>
      <c r="C781" t="s">
        <v>74</v>
      </c>
      <c r="D781" t="s">
        <v>74</v>
      </c>
      <c r="E781" t="s">
        <v>74</v>
      </c>
      <c r="F781" t="s">
        <v>14851</v>
      </c>
      <c r="G781" t="s">
        <v>74</v>
      </c>
      <c r="H781" t="s">
        <v>74</v>
      </c>
      <c r="I781" t="s">
        <v>14852</v>
      </c>
      <c r="J781" t="s">
        <v>14853</v>
      </c>
      <c r="K781" t="s">
        <v>74</v>
      </c>
      <c r="L781" t="s">
        <v>74</v>
      </c>
      <c r="M781" t="s">
        <v>78</v>
      </c>
      <c r="N781" t="s">
        <v>79</v>
      </c>
      <c r="O781" t="s">
        <v>74</v>
      </c>
      <c r="P781" t="s">
        <v>74</v>
      </c>
      <c r="Q781" t="s">
        <v>74</v>
      </c>
      <c r="R781" t="s">
        <v>74</v>
      </c>
      <c r="S781" t="s">
        <v>74</v>
      </c>
      <c r="T781" t="s">
        <v>14854</v>
      </c>
      <c r="U781" t="s">
        <v>14855</v>
      </c>
      <c r="V781" t="s">
        <v>14856</v>
      </c>
      <c r="W781" t="s">
        <v>14857</v>
      </c>
      <c r="X781" t="s">
        <v>14858</v>
      </c>
      <c r="Y781" t="s">
        <v>14859</v>
      </c>
      <c r="Z781" t="s">
        <v>14860</v>
      </c>
      <c r="AA781" t="s">
        <v>14861</v>
      </c>
      <c r="AB781" t="s">
        <v>14862</v>
      </c>
      <c r="AC781" t="s">
        <v>14863</v>
      </c>
      <c r="AD781" t="s">
        <v>14864</v>
      </c>
      <c r="AE781" t="s">
        <v>14865</v>
      </c>
      <c r="AF781" t="s">
        <v>74</v>
      </c>
      <c r="AG781">
        <v>65</v>
      </c>
      <c r="AH781">
        <v>26</v>
      </c>
      <c r="AI781">
        <v>28</v>
      </c>
      <c r="AJ781">
        <v>10</v>
      </c>
      <c r="AK781">
        <v>108</v>
      </c>
      <c r="AL781" t="s">
        <v>644</v>
      </c>
      <c r="AM781" t="s">
        <v>740</v>
      </c>
      <c r="AN781" t="s">
        <v>741</v>
      </c>
      <c r="AO781" t="s">
        <v>14866</v>
      </c>
      <c r="AP781" t="s">
        <v>14867</v>
      </c>
      <c r="AQ781" t="s">
        <v>74</v>
      </c>
      <c r="AR781" t="s">
        <v>14868</v>
      </c>
      <c r="AS781" t="s">
        <v>14869</v>
      </c>
      <c r="AT781" t="s">
        <v>13423</v>
      </c>
      <c r="AU781">
        <v>2016</v>
      </c>
      <c r="AV781">
        <v>18</v>
      </c>
      <c r="AW781">
        <v>7</v>
      </c>
      <c r="AX781" t="s">
        <v>74</v>
      </c>
      <c r="AY781" t="s">
        <v>74</v>
      </c>
      <c r="AZ781" t="s">
        <v>74</v>
      </c>
      <c r="BA781" t="s">
        <v>74</v>
      </c>
      <c r="BB781">
        <v>1923</v>
      </c>
      <c r="BC781">
        <v>1938</v>
      </c>
      <c r="BD781" t="s">
        <v>74</v>
      </c>
      <c r="BE781" t="s">
        <v>14870</v>
      </c>
      <c r="BF781" t="str">
        <f>HYPERLINK("http://dx.doi.org/10.1007/s10530-016-1135-0","http://dx.doi.org/10.1007/s10530-016-1135-0")</f>
        <v>http://dx.doi.org/10.1007/s10530-016-1135-0</v>
      </c>
      <c r="BG781" t="s">
        <v>74</v>
      </c>
      <c r="BH781" t="s">
        <v>74</v>
      </c>
      <c r="BI781">
        <v>16</v>
      </c>
      <c r="BJ781" t="s">
        <v>652</v>
      </c>
      <c r="BK781" t="s">
        <v>156</v>
      </c>
      <c r="BL781" t="s">
        <v>653</v>
      </c>
      <c r="BM781" t="s">
        <v>14871</v>
      </c>
      <c r="BN781" t="s">
        <v>74</v>
      </c>
      <c r="BO781" t="s">
        <v>74</v>
      </c>
      <c r="BP781" t="s">
        <v>74</v>
      </c>
      <c r="BQ781" t="s">
        <v>74</v>
      </c>
      <c r="BR781" t="s">
        <v>105</v>
      </c>
      <c r="BS781" t="s">
        <v>14872</v>
      </c>
      <c r="BT781" t="str">
        <f>HYPERLINK("https%3A%2F%2Fwww.webofscience.com%2Fwos%2Fwoscc%2Ffull-record%2FWOS:000378816500010","View Full Record in Web of Science")</f>
        <v>View Full Record in Web of Science</v>
      </c>
    </row>
    <row r="782" spans="1:72" x14ac:dyDescent="0.15">
      <c r="A782" t="s">
        <v>72</v>
      </c>
      <c r="B782" t="s">
        <v>14873</v>
      </c>
      <c r="C782" t="s">
        <v>74</v>
      </c>
      <c r="D782" t="s">
        <v>74</v>
      </c>
      <c r="E782" t="s">
        <v>74</v>
      </c>
      <c r="F782" t="s">
        <v>14874</v>
      </c>
      <c r="G782" t="s">
        <v>74</v>
      </c>
      <c r="H782" t="s">
        <v>74</v>
      </c>
      <c r="I782" t="s">
        <v>14875</v>
      </c>
      <c r="J782" t="s">
        <v>14853</v>
      </c>
      <c r="K782" t="s">
        <v>74</v>
      </c>
      <c r="L782" t="s">
        <v>74</v>
      </c>
      <c r="M782" t="s">
        <v>78</v>
      </c>
      <c r="N782" t="s">
        <v>79</v>
      </c>
      <c r="O782" t="s">
        <v>74</v>
      </c>
      <c r="P782" t="s">
        <v>74</v>
      </c>
      <c r="Q782" t="s">
        <v>74</v>
      </c>
      <c r="R782" t="s">
        <v>74</v>
      </c>
      <c r="S782" t="s">
        <v>74</v>
      </c>
      <c r="T782" t="s">
        <v>14876</v>
      </c>
      <c r="U782" t="s">
        <v>14877</v>
      </c>
      <c r="V782" t="s">
        <v>14878</v>
      </c>
      <c r="W782" t="s">
        <v>14879</v>
      </c>
      <c r="X782" t="s">
        <v>14880</v>
      </c>
      <c r="Y782" t="s">
        <v>14881</v>
      </c>
      <c r="Z782" t="s">
        <v>14882</v>
      </c>
      <c r="AA782" t="s">
        <v>14883</v>
      </c>
      <c r="AB782" t="s">
        <v>14884</v>
      </c>
      <c r="AC782" t="s">
        <v>14885</v>
      </c>
      <c r="AD782" t="s">
        <v>14886</v>
      </c>
      <c r="AE782" t="s">
        <v>14887</v>
      </c>
      <c r="AF782" t="s">
        <v>74</v>
      </c>
      <c r="AG782">
        <v>101</v>
      </c>
      <c r="AH782">
        <v>19</v>
      </c>
      <c r="AI782">
        <v>23</v>
      </c>
      <c r="AJ782">
        <v>1</v>
      </c>
      <c r="AK782">
        <v>48</v>
      </c>
      <c r="AL782" t="s">
        <v>644</v>
      </c>
      <c r="AM782" t="s">
        <v>740</v>
      </c>
      <c r="AN782" t="s">
        <v>741</v>
      </c>
      <c r="AO782" t="s">
        <v>14866</v>
      </c>
      <c r="AP782" t="s">
        <v>14867</v>
      </c>
      <c r="AQ782" t="s">
        <v>74</v>
      </c>
      <c r="AR782" t="s">
        <v>14868</v>
      </c>
      <c r="AS782" t="s">
        <v>14869</v>
      </c>
      <c r="AT782" t="s">
        <v>13423</v>
      </c>
      <c r="AU782">
        <v>2016</v>
      </c>
      <c r="AV782">
        <v>18</v>
      </c>
      <c r="AW782">
        <v>7</v>
      </c>
      <c r="AX782" t="s">
        <v>74</v>
      </c>
      <c r="AY782" t="s">
        <v>74</v>
      </c>
      <c r="AZ782" t="s">
        <v>74</v>
      </c>
      <c r="BA782" t="s">
        <v>74</v>
      </c>
      <c r="BB782">
        <v>2093</v>
      </c>
      <c r="BC782">
        <v>2106</v>
      </c>
      <c r="BD782" t="s">
        <v>74</v>
      </c>
      <c r="BE782" t="s">
        <v>14888</v>
      </c>
      <c r="BF782" t="str">
        <f>HYPERLINK("http://dx.doi.org/10.1007/s10530-016-1154-x","http://dx.doi.org/10.1007/s10530-016-1154-x")</f>
        <v>http://dx.doi.org/10.1007/s10530-016-1154-x</v>
      </c>
      <c r="BG782" t="s">
        <v>74</v>
      </c>
      <c r="BH782" t="s">
        <v>74</v>
      </c>
      <c r="BI782">
        <v>14</v>
      </c>
      <c r="BJ782" t="s">
        <v>652</v>
      </c>
      <c r="BK782" t="s">
        <v>156</v>
      </c>
      <c r="BL782" t="s">
        <v>653</v>
      </c>
      <c r="BM782" t="s">
        <v>14871</v>
      </c>
      <c r="BN782" t="s">
        <v>74</v>
      </c>
      <c r="BO782" t="s">
        <v>74</v>
      </c>
      <c r="BP782" t="s">
        <v>74</v>
      </c>
      <c r="BQ782" t="s">
        <v>74</v>
      </c>
      <c r="BR782" t="s">
        <v>105</v>
      </c>
      <c r="BS782" t="s">
        <v>14889</v>
      </c>
      <c r="BT782" t="str">
        <f>HYPERLINK("https%3A%2F%2Fwww.webofscience.com%2Fwos%2Fwoscc%2Ffull-record%2FWOS:000378816500021","View Full Record in Web of Science")</f>
        <v>View Full Record in Web of Science</v>
      </c>
    </row>
    <row r="783" spans="1:72" x14ac:dyDescent="0.15">
      <c r="A783" t="s">
        <v>72</v>
      </c>
      <c r="B783" t="s">
        <v>14890</v>
      </c>
      <c r="C783" t="s">
        <v>74</v>
      </c>
      <c r="D783" t="s">
        <v>74</v>
      </c>
      <c r="E783" t="s">
        <v>74</v>
      </c>
      <c r="F783" t="s">
        <v>14891</v>
      </c>
      <c r="G783" t="s">
        <v>74</v>
      </c>
      <c r="H783" t="s">
        <v>74</v>
      </c>
      <c r="I783" t="s">
        <v>14892</v>
      </c>
      <c r="J783" t="s">
        <v>831</v>
      </c>
      <c r="K783" t="s">
        <v>74</v>
      </c>
      <c r="L783" t="s">
        <v>74</v>
      </c>
      <c r="M783" t="s">
        <v>78</v>
      </c>
      <c r="N783" t="s">
        <v>79</v>
      </c>
      <c r="O783" t="s">
        <v>74</v>
      </c>
      <c r="P783" t="s">
        <v>74</v>
      </c>
      <c r="Q783" t="s">
        <v>74</v>
      </c>
      <c r="R783" t="s">
        <v>74</v>
      </c>
      <c r="S783" t="s">
        <v>74</v>
      </c>
      <c r="T783" t="s">
        <v>14893</v>
      </c>
      <c r="U783" t="s">
        <v>14894</v>
      </c>
      <c r="V783" t="s">
        <v>14895</v>
      </c>
      <c r="W783" t="s">
        <v>14896</v>
      </c>
      <c r="X783" t="s">
        <v>14897</v>
      </c>
      <c r="Y783" t="s">
        <v>14898</v>
      </c>
      <c r="Z783" t="s">
        <v>14899</v>
      </c>
      <c r="AA783" t="s">
        <v>14900</v>
      </c>
      <c r="AB783" t="s">
        <v>14901</v>
      </c>
      <c r="AC783" t="s">
        <v>14902</v>
      </c>
      <c r="AD783" t="s">
        <v>14903</v>
      </c>
      <c r="AE783" t="s">
        <v>14904</v>
      </c>
      <c r="AF783" t="s">
        <v>74</v>
      </c>
      <c r="AG783">
        <v>47</v>
      </c>
      <c r="AH783">
        <v>21</v>
      </c>
      <c r="AI783">
        <v>26</v>
      </c>
      <c r="AJ783">
        <v>8</v>
      </c>
      <c r="AK783">
        <v>137</v>
      </c>
      <c r="AL783" t="s">
        <v>303</v>
      </c>
      <c r="AM783" t="s">
        <v>304</v>
      </c>
      <c r="AN783" t="s">
        <v>305</v>
      </c>
      <c r="AO783" t="s">
        <v>842</v>
      </c>
      <c r="AP783" t="s">
        <v>843</v>
      </c>
      <c r="AQ783" t="s">
        <v>74</v>
      </c>
      <c r="AR783" t="s">
        <v>831</v>
      </c>
      <c r="AS783" t="s">
        <v>844</v>
      </c>
      <c r="AT783" t="s">
        <v>13423</v>
      </c>
      <c r="AU783">
        <v>2016</v>
      </c>
      <c r="AV783">
        <v>155</v>
      </c>
      <c r="AW783" t="s">
        <v>74</v>
      </c>
      <c r="AX783" t="s">
        <v>74</v>
      </c>
      <c r="AY783" t="s">
        <v>74</v>
      </c>
      <c r="AZ783" t="s">
        <v>74</v>
      </c>
      <c r="BA783" t="s">
        <v>74</v>
      </c>
      <c r="BB783">
        <v>375</v>
      </c>
      <c r="BC783">
        <v>379</v>
      </c>
      <c r="BD783" t="s">
        <v>74</v>
      </c>
      <c r="BE783" t="s">
        <v>14905</v>
      </c>
      <c r="BF783" t="str">
        <f>HYPERLINK("http://dx.doi.org/10.1016/j.chemosphere.2016.04.087","http://dx.doi.org/10.1016/j.chemosphere.2016.04.087")</f>
        <v>http://dx.doi.org/10.1016/j.chemosphere.2016.04.087</v>
      </c>
      <c r="BG783" t="s">
        <v>74</v>
      </c>
      <c r="BH783" t="s">
        <v>74</v>
      </c>
      <c r="BI783">
        <v>5</v>
      </c>
      <c r="BJ783" t="s">
        <v>846</v>
      </c>
      <c r="BK783" t="s">
        <v>156</v>
      </c>
      <c r="BL783" t="s">
        <v>532</v>
      </c>
      <c r="BM783" t="s">
        <v>14906</v>
      </c>
      <c r="BN783">
        <v>27135699</v>
      </c>
      <c r="BO783" t="s">
        <v>74</v>
      </c>
      <c r="BP783" t="s">
        <v>74</v>
      </c>
      <c r="BQ783" t="s">
        <v>74</v>
      </c>
      <c r="BR783" t="s">
        <v>105</v>
      </c>
      <c r="BS783" t="s">
        <v>14907</v>
      </c>
      <c r="BT783" t="str">
        <f>HYPERLINK("https%3A%2F%2Fwww.webofscience.com%2Fwos%2Fwoscc%2Ffull-record%2FWOS:000377736100044","View Full Record in Web of Science")</f>
        <v>View Full Record in Web of Science</v>
      </c>
    </row>
    <row r="784" spans="1:72" x14ac:dyDescent="0.15">
      <c r="A784" t="s">
        <v>72</v>
      </c>
      <c r="B784" t="s">
        <v>14908</v>
      </c>
      <c r="C784" t="s">
        <v>74</v>
      </c>
      <c r="D784" t="s">
        <v>74</v>
      </c>
      <c r="E784" t="s">
        <v>74</v>
      </c>
      <c r="F784" t="s">
        <v>14909</v>
      </c>
      <c r="G784" t="s">
        <v>74</v>
      </c>
      <c r="H784" t="s">
        <v>74</v>
      </c>
      <c r="I784" t="s">
        <v>14910</v>
      </c>
      <c r="J784" t="s">
        <v>10067</v>
      </c>
      <c r="K784" t="s">
        <v>74</v>
      </c>
      <c r="L784" t="s">
        <v>74</v>
      </c>
      <c r="M784" t="s">
        <v>78</v>
      </c>
      <c r="N784" t="s">
        <v>79</v>
      </c>
      <c r="O784" t="s">
        <v>74</v>
      </c>
      <c r="P784" t="s">
        <v>74</v>
      </c>
      <c r="Q784" t="s">
        <v>74</v>
      </c>
      <c r="R784" t="s">
        <v>74</v>
      </c>
      <c r="S784" t="s">
        <v>74</v>
      </c>
      <c r="T784" t="s">
        <v>14911</v>
      </c>
      <c r="U784" t="s">
        <v>14912</v>
      </c>
      <c r="V784" t="s">
        <v>14913</v>
      </c>
      <c r="W784" t="s">
        <v>14914</v>
      </c>
      <c r="X784" t="s">
        <v>14915</v>
      </c>
      <c r="Y784" t="s">
        <v>14916</v>
      </c>
      <c r="Z784" t="s">
        <v>12646</v>
      </c>
      <c r="AA784" t="s">
        <v>14917</v>
      </c>
      <c r="AB784" t="s">
        <v>14918</v>
      </c>
      <c r="AC784" t="s">
        <v>14919</v>
      </c>
      <c r="AD784" t="s">
        <v>14920</v>
      </c>
      <c r="AE784" t="s">
        <v>14921</v>
      </c>
      <c r="AF784" t="s">
        <v>74</v>
      </c>
      <c r="AG784">
        <v>89</v>
      </c>
      <c r="AH784">
        <v>18</v>
      </c>
      <c r="AI784">
        <v>20</v>
      </c>
      <c r="AJ784">
        <v>0</v>
      </c>
      <c r="AK784">
        <v>28</v>
      </c>
      <c r="AL784" t="s">
        <v>501</v>
      </c>
      <c r="AM784" t="s">
        <v>502</v>
      </c>
      <c r="AN784" t="s">
        <v>503</v>
      </c>
      <c r="AO784" t="s">
        <v>10078</v>
      </c>
      <c r="AP784" t="s">
        <v>74</v>
      </c>
      <c r="AQ784" t="s">
        <v>74</v>
      </c>
      <c r="AR784" t="s">
        <v>10067</v>
      </c>
      <c r="AS784" t="s">
        <v>10079</v>
      </c>
      <c r="AT784" t="s">
        <v>13423</v>
      </c>
      <c r="AU784">
        <v>2016</v>
      </c>
      <c r="AV784">
        <v>7</v>
      </c>
      <c r="AW784">
        <v>7</v>
      </c>
      <c r="AX784" t="s">
        <v>74</v>
      </c>
      <c r="AY784" t="s">
        <v>74</v>
      </c>
      <c r="AZ784" t="s">
        <v>74</v>
      </c>
      <c r="BA784" t="s">
        <v>74</v>
      </c>
      <c r="BB784" t="s">
        <v>74</v>
      </c>
      <c r="BC784" t="s">
        <v>74</v>
      </c>
      <c r="BD784" t="s">
        <v>14922</v>
      </c>
      <c r="BE784" t="s">
        <v>14923</v>
      </c>
      <c r="BF784" t="str">
        <f>HYPERLINK("http://dx.doi.org/10.1002/ecs2.1362","http://dx.doi.org/10.1002/ecs2.1362")</f>
        <v>http://dx.doi.org/10.1002/ecs2.1362</v>
      </c>
      <c r="BG784" t="s">
        <v>74</v>
      </c>
      <c r="BH784" t="s">
        <v>74</v>
      </c>
      <c r="BI784">
        <v>18</v>
      </c>
      <c r="BJ784" t="s">
        <v>531</v>
      </c>
      <c r="BK784" t="s">
        <v>156</v>
      </c>
      <c r="BL784" t="s">
        <v>532</v>
      </c>
      <c r="BM784" t="s">
        <v>14924</v>
      </c>
      <c r="BN784" t="s">
        <v>74</v>
      </c>
      <c r="BO784" t="s">
        <v>14804</v>
      </c>
      <c r="BP784" t="s">
        <v>74</v>
      </c>
      <c r="BQ784" t="s">
        <v>74</v>
      </c>
      <c r="BR784" t="s">
        <v>105</v>
      </c>
      <c r="BS784" t="s">
        <v>14925</v>
      </c>
      <c r="BT784" t="str">
        <f>HYPERLINK("https%3A%2F%2Fwww.webofscience.com%2Fwos%2Fwoscc%2Ffull-record%2FWOS:000380020500003","View Full Record in Web of Science")</f>
        <v>View Full Record in Web of Science</v>
      </c>
    </row>
    <row r="785" spans="1:72" x14ac:dyDescent="0.15">
      <c r="A785" t="s">
        <v>14926</v>
      </c>
      <c r="B785" t="s">
        <v>14927</v>
      </c>
      <c r="C785" t="s">
        <v>74</v>
      </c>
      <c r="D785" t="s">
        <v>74</v>
      </c>
      <c r="E785" t="s">
        <v>74</v>
      </c>
      <c r="F785" t="s">
        <v>14928</v>
      </c>
      <c r="G785" t="s">
        <v>74</v>
      </c>
      <c r="H785" t="s">
        <v>74</v>
      </c>
      <c r="I785" t="s">
        <v>14929</v>
      </c>
      <c r="J785" t="s">
        <v>14930</v>
      </c>
      <c r="K785" t="s">
        <v>74</v>
      </c>
      <c r="L785" t="s">
        <v>74</v>
      </c>
      <c r="M785" t="s">
        <v>78</v>
      </c>
      <c r="N785" t="s">
        <v>14931</v>
      </c>
      <c r="O785" t="s">
        <v>14932</v>
      </c>
      <c r="P785" t="s">
        <v>14933</v>
      </c>
      <c r="Q785" t="s">
        <v>14934</v>
      </c>
      <c r="R785" t="s">
        <v>74</v>
      </c>
      <c r="S785" t="s">
        <v>74</v>
      </c>
      <c r="T785" t="s">
        <v>14935</v>
      </c>
      <c r="U785" t="s">
        <v>14936</v>
      </c>
      <c r="V785" t="s">
        <v>14937</v>
      </c>
      <c r="W785" t="s">
        <v>14938</v>
      </c>
      <c r="X785" t="s">
        <v>14939</v>
      </c>
      <c r="Y785" t="s">
        <v>14940</v>
      </c>
      <c r="Z785" t="s">
        <v>14941</v>
      </c>
      <c r="AA785" t="s">
        <v>74</v>
      </c>
      <c r="AB785" t="s">
        <v>74</v>
      </c>
      <c r="AC785" t="s">
        <v>14942</v>
      </c>
      <c r="AD785" t="s">
        <v>14943</v>
      </c>
      <c r="AE785" t="s">
        <v>14944</v>
      </c>
      <c r="AF785" t="s">
        <v>74</v>
      </c>
      <c r="AG785">
        <v>19</v>
      </c>
      <c r="AH785">
        <v>0</v>
      </c>
      <c r="AI785">
        <v>0</v>
      </c>
      <c r="AJ785">
        <v>0</v>
      </c>
      <c r="AK785">
        <v>5</v>
      </c>
      <c r="AL785" t="s">
        <v>14945</v>
      </c>
      <c r="AM785" t="s">
        <v>14946</v>
      </c>
      <c r="AN785" t="s">
        <v>14947</v>
      </c>
      <c r="AO785" t="s">
        <v>14948</v>
      </c>
      <c r="AP785" t="s">
        <v>74</v>
      </c>
      <c r="AQ785" t="s">
        <v>74</v>
      </c>
      <c r="AR785" t="s">
        <v>14949</v>
      </c>
      <c r="AS785" t="s">
        <v>14950</v>
      </c>
      <c r="AT785" t="s">
        <v>13423</v>
      </c>
      <c r="AU785">
        <v>2016</v>
      </c>
      <c r="AV785">
        <v>1</v>
      </c>
      <c r="AW785">
        <v>2</v>
      </c>
      <c r="AX785" t="s">
        <v>74</v>
      </c>
      <c r="AY785" t="s">
        <v>74</v>
      </c>
      <c r="AZ785" t="s">
        <v>74</v>
      </c>
      <c r="BA785" t="s">
        <v>74</v>
      </c>
      <c r="BB785">
        <v>215</v>
      </c>
      <c r="BC785">
        <v>224</v>
      </c>
      <c r="BD785" t="s">
        <v>74</v>
      </c>
      <c r="BE785" t="s">
        <v>14951</v>
      </c>
      <c r="BF785" t="str">
        <f>HYPERLINK("http://dx.doi.org/10.21834/e-bpj.v1i2.1216","http://dx.doi.org/10.21834/e-bpj.v1i2.1216")</f>
        <v>http://dx.doi.org/10.21834/e-bpj.v1i2.1216</v>
      </c>
      <c r="BG785" t="s">
        <v>74</v>
      </c>
      <c r="BH785" t="s">
        <v>74</v>
      </c>
      <c r="BI785">
        <v>10</v>
      </c>
      <c r="BJ785" t="s">
        <v>14952</v>
      </c>
      <c r="BK785" t="s">
        <v>14953</v>
      </c>
      <c r="BL785" t="s">
        <v>532</v>
      </c>
      <c r="BM785" t="s">
        <v>14954</v>
      </c>
      <c r="BN785" t="s">
        <v>74</v>
      </c>
      <c r="BO785" t="s">
        <v>258</v>
      </c>
      <c r="BP785" t="s">
        <v>74</v>
      </c>
      <c r="BQ785" t="s">
        <v>74</v>
      </c>
      <c r="BR785" t="s">
        <v>105</v>
      </c>
      <c r="BS785" t="s">
        <v>14955</v>
      </c>
      <c r="BT785" t="str">
        <f>HYPERLINK("https%3A%2F%2Fwww.webofscience.com%2Fwos%2Fwoscc%2Ffull-record%2FWOS:000454282900022","View Full Record in Web of Science")</f>
        <v>View Full Record in Web of Science</v>
      </c>
    </row>
    <row r="786" spans="1:72" x14ac:dyDescent="0.15">
      <c r="A786" t="s">
        <v>72</v>
      </c>
      <c r="B786" t="s">
        <v>14956</v>
      </c>
      <c r="C786" t="s">
        <v>74</v>
      </c>
      <c r="D786" t="s">
        <v>74</v>
      </c>
      <c r="E786" t="s">
        <v>74</v>
      </c>
      <c r="F786" t="s">
        <v>14957</v>
      </c>
      <c r="G786" t="s">
        <v>74</v>
      </c>
      <c r="H786" t="s">
        <v>74</v>
      </c>
      <c r="I786" t="s">
        <v>14958</v>
      </c>
      <c r="J786" t="s">
        <v>7855</v>
      </c>
      <c r="K786" t="s">
        <v>74</v>
      </c>
      <c r="L786" t="s">
        <v>74</v>
      </c>
      <c r="M786" t="s">
        <v>78</v>
      </c>
      <c r="N786" t="s">
        <v>79</v>
      </c>
      <c r="O786" t="s">
        <v>74</v>
      </c>
      <c r="P786" t="s">
        <v>74</v>
      </c>
      <c r="Q786" t="s">
        <v>74</v>
      </c>
      <c r="R786" t="s">
        <v>74</v>
      </c>
      <c r="S786" t="s">
        <v>74</v>
      </c>
      <c r="T786" t="s">
        <v>14959</v>
      </c>
      <c r="U786" t="s">
        <v>14960</v>
      </c>
      <c r="V786" t="s">
        <v>14961</v>
      </c>
      <c r="W786" t="s">
        <v>14962</v>
      </c>
      <c r="X786" t="s">
        <v>14963</v>
      </c>
      <c r="Y786" t="s">
        <v>14964</v>
      </c>
      <c r="Z786" t="s">
        <v>14965</v>
      </c>
      <c r="AA786" t="s">
        <v>14966</v>
      </c>
      <c r="AB786" t="s">
        <v>14967</v>
      </c>
      <c r="AC786" t="s">
        <v>14968</v>
      </c>
      <c r="AD786" t="s">
        <v>14969</v>
      </c>
      <c r="AE786" t="s">
        <v>14970</v>
      </c>
      <c r="AF786" t="s">
        <v>74</v>
      </c>
      <c r="AG786">
        <v>47</v>
      </c>
      <c r="AH786">
        <v>42</v>
      </c>
      <c r="AI786">
        <v>43</v>
      </c>
      <c r="AJ786">
        <v>3</v>
      </c>
      <c r="AK786">
        <v>39</v>
      </c>
      <c r="AL786" t="s">
        <v>7868</v>
      </c>
      <c r="AM786" t="s">
        <v>6459</v>
      </c>
      <c r="AN786" t="s">
        <v>7892</v>
      </c>
      <c r="AO786" t="s">
        <v>7870</v>
      </c>
      <c r="AP786" t="s">
        <v>7871</v>
      </c>
      <c r="AQ786" t="s">
        <v>74</v>
      </c>
      <c r="AR786" t="s">
        <v>7855</v>
      </c>
      <c r="AS786" t="s">
        <v>7872</v>
      </c>
      <c r="AT786" t="s">
        <v>13423</v>
      </c>
      <c r="AU786">
        <v>2016</v>
      </c>
      <c r="AV786">
        <v>20</v>
      </c>
      <c r="AW786">
        <v>4</v>
      </c>
      <c r="AX786" t="s">
        <v>74</v>
      </c>
      <c r="AY786" t="s">
        <v>74</v>
      </c>
      <c r="AZ786" t="s">
        <v>74</v>
      </c>
      <c r="BA786" t="s">
        <v>74</v>
      </c>
      <c r="BB786">
        <v>403</v>
      </c>
      <c r="BC786">
        <v>413</v>
      </c>
      <c r="BD786" t="s">
        <v>74</v>
      </c>
      <c r="BE786" t="s">
        <v>14971</v>
      </c>
      <c r="BF786" t="str">
        <f>HYPERLINK("http://dx.doi.org/10.1007/s00792-016-0831-0","http://dx.doi.org/10.1007/s00792-016-0831-0")</f>
        <v>http://dx.doi.org/10.1007/s00792-016-0831-0</v>
      </c>
      <c r="BG786" t="s">
        <v>74</v>
      </c>
      <c r="BH786" t="s">
        <v>74</v>
      </c>
      <c r="BI786">
        <v>11</v>
      </c>
      <c r="BJ786" t="s">
        <v>7874</v>
      </c>
      <c r="BK786" t="s">
        <v>156</v>
      </c>
      <c r="BL786" t="s">
        <v>7874</v>
      </c>
      <c r="BM786" t="s">
        <v>14544</v>
      </c>
      <c r="BN786">
        <v>27097637</v>
      </c>
      <c r="BO786" t="s">
        <v>10158</v>
      </c>
      <c r="BP786" t="s">
        <v>74</v>
      </c>
      <c r="BQ786" t="s">
        <v>74</v>
      </c>
      <c r="BR786" t="s">
        <v>105</v>
      </c>
      <c r="BS786" t="s">
        <v>14972</v>
      </c>
      <c r="BT786" t="str">
        <f>HYPERLINK("https%3A%2F%2Fwww.webofscience.com%2Fwos%2Fwoscc%2Ffull-record%2FWOS:000379027600004","View Full Record in Web of Science")</f>
        <v>View Full Record in Web of Science</v>
      </c>
    </row>
    <row r="787" spans="1:72" x14ac:dyDescent="0.15">
      <c r="A787" t="s">
        <v>72</v>
      </c>
      <c r="B787" t="s">
        <v>14973</v>
      </c>
      <c r="C787" t="s">
        <v>74</v>
      </c>
      <c r="D787" t="s">
        <v>74</v>
      </c>
      <c r="E787" t="s">
        <v>74</v>
      </c>
      <c r="F787" t="s">
        <v>14974</v>
      </c>
      <c r="G787" t="s">
        <v>74</v>
      </c>
      <c r="H787" t="s">
        <v>74</v>
      </c>
      <c r="I787" t="s">
        <v>14975</v>
      </c>
      <c r="J787" t="s">
        <v>7855</v>
      </c>
      <c r="K787" t="s">
        <v>74</v>
      </c>
      <c r="L787" t="s">
        <v>74</v>
      </c>
      <c r="M787" t="s">
        <v>78</v>
      </c>
      <c r="N787" t="s">
        <v>79</v>
      </c>
      <c r="O787" t="s">
        <v>74</v>
      </c>
      <c r="P787" t="s">
        <v>74</v>
      </c>
      <c r="Q787" t="s">
        <v>74</v>
      </c>
      <c r="R787" t="s">
        <v>74</v>
      </c>
      <c r="S787" t="s">
        <v>74</v>
      </c>
      <c r="T787" t="s">
        <v>14976</v>
      </c>
      <c r="U787" t="s">
        <v>14977</v>
      </c>
      <c r="V787" t="s">
        <v>14978</v>
      </c>
      <c r="W787" t="s">
        <v>14979</v>
      </c>
      <c r="X787" t="s">
        <v>14240</v>
      </c>
      <c r="Y787" t="s">
        <v>14980</v>
      </c>
      <c r="Z787" t="s">
        <v>14981</v>
      </c>
      <c r="AA787" t="s">
        <v>14982</v>
      </c>
      <c r="AB787" t="s">
        <v>14983</v>
      </c>
      <c r="AC787" t="s">
        <v>14984</v>
      </c>
      <c r="AD787" t="s">
        <v>14985</v>
      </c>
      <c r="AE787" t="s">
        <v>14986</v>
      </c>
      <c r="AF787" t="s">
        <v>74</v>
      </c>
      <c r="AG787">
        <v>60</v>
      </c>
      <c r="AH787">
        <v>27</v>
      </c>
      <c r="AI787">
        <v>30</v>
      </c>
      <c r="AJ787">
        <v>2</v>
      </c>
      <c r="AK787">
        <v>76</v>
      </c>
      <c r="AL787" t="s">
        <v>7868</v>
      </c>
      <c r="AM787" t="s">
        <v>6459</v>
      </c>
      <c r="AN787" t="s">
        <v>7869</v>
      </c>
      <c r="AO787" t="s">
        <v>7870</v>
      </c>
      <c r="AP787" t="s">
        <v>7871</v>
      </c>
      <c r="AQ787" t="s">
        <v>74</v>
      </c>
      <c r="AR787" t="s">
        <v>7855</v>
      </c>
      <c r="AS787" t="s">
        <v>7872</v>
      </c>
      <c r="AT787" t="s">
        <v>13423</v>
      </c>
      <c r="AU787">
        <v>2016</v>
      </c>
      <c r="AV787">
        <v>20</v>
      </c>
      <c r="AW787">
        <v>4</v>
      </c>
      <c r="AX787" t="s">
        <v>74</v>
      </c>
      <c r="AY787" t="s">
        <v>74</v>
      </c>
      <c r="AZ787" t="s">
        <v>74</v>
      </c>
      <c r="BA787" t="s">
        <v>74</v>
      </c>
      <c r="BB787">
        <v>437</v>
      </c>
      <c r="BC787">
        <v>450</v>
      </c>
      <c r="BD787" t="s">
        <v>74</v>
      </c>
      <c r="BE787" t="s">
        <v>14987</v>
      </c>
      <c r="BF787" t="str">
        <f>HYPERLINK("http://dx.doi.org/10.1007/s00792-016-0834-x","http://dx.doi.org/10.1007/s00792-016-0834-x")</f>
        <v>http://dx.doi.org/10.1007/s00792-016-0834-x</v>
      </c>
      <c r="BG787" t="s">
        <v>74</v>
      </c>
      <c r="BH787" t="s">
        <v>74</v>
      </c>
      <c r="BI787">
        <v>14</v>
      </c>
      <c r="BJ787" t="s">
        <v>7874</v>
      </c>
      <c r="BK787" t="s">
        <v>156</v>
      </c>
      <c r="BL787" t="s">
        <v>7874</v>
      </c>
      <c r="BM787" t="s">
        <v>14544</v>
      </c>
      <c r="BN787">
        <v>27161450</v>
      </c>
      <c r="BO787" t="s">
        <v>74</v>
      </c>
      <c r="BP787" t="s">
        <v>74</v>
      </c>
      <c r="BQ787" t="s">
        <v>74</v>
      </c>
      <c r="BR787" t="s">
        <v>105</v>
      </c>
      <c r="BS787" t="s">
        <v>14988</v>
      </c>
      <c r="BT787" t="str">
        <f>HYPERLINK("https%3A%2F%2Fwww.webofscience.com%2Fwos%2Fwoscc%2Ffull-record%2FWOS:000379027600007","View Full Record in Web of Science")</f>
        <v>View Full Record in Web of Science</v>
      </c>
    </row>
    <row r="788" spans="1:72" x14ac:dyDescent="0.15">
      <c r="A788" t="s">
        <v>72</v>
      </c>
      <c r="B788" t="s">
        <v>14989</v>
      </c>
      <c r="C788" t="s">
        <v>74</v>
      </c>
      <c r="D788" t="s">
        <v>74</v>
      </c>
      <c r="E788" t="s">
        <v>74</v>
      </c>
      <c r="F788" t="s">
        <v>14990</v>
      </c>
      <c r="G788" t="s">
        <v>74</v>
      </c>
      <c r="H788" t="s">
        <v>74</v>
      </c>
      <c r="I788" t="s">
        <v>14991</v>
      </c>
      <c r="J788" t="s">
        <v>3559</v>
      </c>
      <c r="K788" t="s">
        <v>74</v>
      </c>
      <c r="L788" t="s">
        <v>74</v>
      </c>
      <c r="M788" t="s">
        <v>78</v>
      </c>
      <c r="N788" t="s">
        <v>79</v>
      </c>
      <c r="O788" t="s">
        <v>74</v>
      </c>
      <c r="P788" t="s">
        <v>74</v>
      </c>
      <c r="Q788" t="s">
        <v>74</v>
      </c>
      <c r="R788" t="s">
        <v>74</v>
      </c>
      <c r="S788" t="s">
        <v>74</v>
      </c>
      <c r="T788" t="s">
        <v>14992</v>
      </c>
      <c r="U788" t="s">
        <v>14993</v>
      </c>
      <c r="V788" t="s">
        <v>14994</v>
      </c>
      <c r="W788" t="s">
        <v>14995</v>
      </c>
      <c r="X788" t="s">
        <v>14996</v>
      </c>
      <c r="Y788" t="s">
        <v>14997</v>
      </c>
      <c r="Z788" t="s">
        <v>14998</v>
      </c>
      <c r="AA788" t="s">
        <v>14999</v>
      </c>
      <c r="AB788" t="s">
        <v>15000</v>
      </c>
      <c r="AC788" t="s">
        <v>15001</v>
      </c>
      <c r="AD788" t="s">
        <v>15002</v>
      </c>
      <c r="AE788" t="s">
        <v>15003</v>
      </c>
      <c r="AF788" t="s">
        <v>74</v>
      </c>
      <c r="AG788">
        <v>81</v>
      </c>
      <c r="AH788">
        <v>28</v>
      </c>
      <c r="AI788">
        <v>28</v>
      </c>
      <c r="AJ788">
        <v>2</v>
      </c>
      <c r="AK788">
        <v>50</v>
      </c>
      <c r="AL788" t="s">
        <v>2501</v>
      </c>
      <c r="AM788" t="s">
        <v>304</v>
      </c>
      <c r="AN788" t="s">
        <v>2502</v>
      </c>
      <c r="AO788" t="s">
        <v>3572</v>
      </c>
      <c r="AP788" t="s">
        <v>3573</v>
      </c>
      <c r="AQ788" t="s">
        <v>74</v>
      </c>
      <c r="AR788" t="s">
        <v>3574</v>
      </c>
      <c r="AS788" t="s">
        <v>3575</v>
      </c>
      <c r="AT788" t="s">
        <v>13423</v>
      </c>
      <c r="AU788">
        <v>2016</v>
      </c>
      <c r="AV788">
        <v>92</v>
      </c>
      <c r="AW788">
        <v>7</v>
      </c>
      <c r="AX788" t="s">
        <v>74</v>
      </c>
      <c r="AY788" t="s">
        <v>74</v>
      </c>
      <c r="AZ788" t="s">
        <v>74</v>
      </c>
      <c r="BA788" t="s">
        <v>74</v>
      </c>
      <c r="BB788" t="s">
        <v>74</v>
      </c>
      <c r="BC788" t="s">
        <v>74</v>
      </c>
      <c r="BD788" t="s">
        <v>15004</v>
      </c>
      <c r="BE788" t="s">
        <v>15005</v>
      </c>
      <c r="BF788" t="str">
        <f>HYPERLINK("http://dx.doi.org/10.1093/femsec/fiw088","http://dx.doi.org/10.1093/femsec/fiw088")</f>
        <v>http://dx.doi.org/10.1093/femsec/fiw088</v>
      </c>
      <c r="BG788" t="s">
        <v>74</v>
      </c>
      <c r="BH788" t="s">
        <v>74</v>
      </c>
      <c r="BI788">
        <v>13</v>
      </c>
      <c r="BJ788" t="s">
        <v>130</v>
      </c>
      <c r="BK788" t="s">
        <v>156</v>
      </c>
      <c r="BL788" t="s">
        <v>130</v>
      </c>
      <c r="BM788" t="s">
        <v>14468</v>
      </c>
      <c r="BN788">
        <v>27127198</v>
      </c>
      <c r="BO788" t="s">
        <v>258</v>
      </c>
      <c r="BP788" t="s">
        <v>74</v>
      </c>
      <c r="BQ788" t="s">
        <v>74</v>
      </c>
      <c r="BR788" t="s">
        <v>105</v>
      </c>
      <c r="BS788" t="s">
        <v>15006</v>
      </c>
      <c r="BT788" t="str">
        <f>HYPERLINK("https%3A%2F%2Fwww.webofscience.com%2Fwos%2Fwoscc%2Ffull-record%2FWOS:000379693700002","View Full Record in Web of Science")</f>
        <v>View Full Record in Web of Science</v>
      </c>
    </row>
    <row r="789" spans="1:72" x14ac:dyDescent="0.15">
      <c r="A789" t="s">
        <v>72</v>
      </c>
      <c r="B789" t="s">
        <v>15007</v>
      </c>
      <c r="C789" t="s">
        <v>74</v>
      </c>
      <c r="D789" t="s">
        <v>74</v>
      </c>
      <c r="E789" t="s">
        <v>74</v>
      </c>
      <c r="F789" t="s">
        <v>15008</v>
      </c>
      <c r="G789" t="s">
        <v>74</v>
      </c>
      <c r="H789" t="s">
        <v>74</v>
      </c>
      <c r="I789" t="s">
        <v>15009</v>
      </c>
      <c r="J789" t="s">
        <v>3559</v>
      </c>
      <c r="K789" t="s">
        <v>74</v>
      </c>
      <c r="L789" t="s">
        <v>74</v>
      </c>
      <c r="M789" t="s">
        <v>78</v>
      </c>
      <c r="N789" t="s">
        <v>79</v>
      </c>
      <c r="O789" t="s">
        <v>74</v>
      </c>
      <c r="P789" t="s">
        <v>74</v>
      </c>
      <c r="Q789" t="s">
        <v>74</v>
      </c>
      <c r="R789" t="s">
        <v>74</v>
      </c>
      <c r="S789" t="s">
        <v>74</v>
      </c>
      <c r="T789" t="s">
        <v>15010</v>
      </c>
      <c r="U789" t="s">
        <v>15011</v>
      </c>
      <c r="V789" t="s">
        <v>15012</v>
      </c>
      <c r="W789" t="s">
        <v>15013</v>
      </c>
      <c r="X789" t="s">
        <v>15014</v>
      </c>
      <c r="Y789" t="s">
        <v>15015</v>
      </c>
      <c r="Z789" t="s">
        <v>8758</v>
      </c>
      <c r="AA789" t="s">
        <v>15016</v>
      </c>
      <c r="AB789" t="s">
        <v>15017</v>
      </c>
      <c r="AC789" t="s">
        <v>15018</v>
      </c>
      <c r="AD789" t="s">
        <v>15019</v>
      </c>
      <c r="AE789" t="s">
        <v>15020</v>
      </c>
      <c r="AF789" t="s">
        <v>74</v>
      </c>
      <c r="AG789">
        <v>46</v>
      </c>
      <c r="AH789">
        <v>34</v>
      </c>
      <c r="AI789">
        <v>34</v>
      </c>
      <c r="AJ789">
        <v>1</v>
      </c>
      <c r="AK789">
        <v>19</v>
      </c>
      <c r="AL789" t="s">
        <v>2501</v>
      </c>
      <c r="AM789" t="s">
        <v>304</v>
      </c>
      <c r="AN789" t="s">
        <v>2502</v>
      </c>
      <c r="AO789" t="s">
        <v>3572</v>
      </c>
      <c r="AP789" t="s">
        <v>3573</v>
      </c>
      <c r="AQ789" t="s">
        <v>74</v>
      </c>
      <c r="AR789" t="s">
        <v>3574</v>
      </c>
      <c r="AS789" t="s">
        <v>3575</v>
      </c>
      <c r="AT789" t="s">
        <v>13423</v>
      </c>
      <c r="AU789">
        <v>2016</v>
      </c>
      <c r="AV789">
        <v>92</v>
      </c>
      <c r="AW789">
        <v>7</v>
      </c>
      <c r="AX789" t="s">
        <v>74</v>
      </c>
      <c r="AY789" t="s">
        <v>74</v>
      </c>
      <c r="AZ789" t="s">
        <v>74</v>
      </c>
      <c r="BA789" t="s">
        <v>74</v>
      </c>
      <c r="BB789" t="s">
        <v>74</v>
      </c>
      <c r="BC789" t="s">
        <v>74</v>
      </c>
      <c r="BD789" t="s">
        <v>15021</v>
      </c>
      <c r="BE789" t="s">
        <v>15022</v>
      </c>
      <c r="BF789" t="str">
        <f>HYPERLINK("http://dx.doi.org/10.1093/femsec/fiw096","http://dx.doi.org/10.1093/femsec/fiw096")</f>
        <v>http://dx.doi.org/10.1093/femsec/fiw096</v>
      </c>
      <c r="BG789" t="s">
        <v>74</v>
      </c>
      <c r="BH789" t="s">
        <v>74</v>
      </c>
      <c r="BI789">
        <v>9</v>
      </c>
      <c r="BJ789" t="s">
        <v>130</v>
      </c>
      <c r="BK789" t="s">
        <v>156</v>
      </c>
      <c r="BL789" t="s">
        <v>130</v>
      </c>
      <c r="BM789" t="s">
        <v>14468</v>
      </c>
      <c r="BN789">
        <v>27170362</v>
      </c>
      <c r="BO789" t="s">
        <v>8418</v>
      </c>
      <c r="BP789" t="s">
        <v>74</v>
      </c>
      <c r="BQ789" t="s">
        <v>74</v>
      </c>
      <c r="BR789" t="s">
        <v>105</v>
      </c>
      <c r="BS789" t="s">
        <v>15023</v>
      </c>
      <c r="BT789" t="str">
        <f>HYPERLINK("https%3A%2F%2Fwww.webofscience.com%2Fwos%2Fwoscc%2Ffull-record%2FWOS:000379693700007","View Full Record in Web of Science")</f>
        <v>View Full Record in Web of Science</v>
      </c>
    </row>
    <row r="790" spans="1:72" x14ac:dyDescent="0.15">
      <c r="A790" t="s">
        <v>72</v>
      </c>
      <c r="B790" t="s">
        <v>15024</v>
      </c>
      <c r="C790" t="s">
        <v>74</v>
      </c>
      <c r="D790" t="s">
        <v>74</v>
      </c>
      <c r="E790" t="s">
        <v>74</v>
      </c>
      <c r="F790" t="s">
        <v>15025</v>
      </c>
      <c r="G790" t="s">
        <v>74</v>
      </c>
      <c r="H790" t="s">
        <v>74</v>
      </c>
      <c r="I790" t="s">
        <v>15026</v>
      </c>
      <c r="J790" t="s">
        <v>110</v>
      </c>
      <c r="K790" t="s">
        <v>74</v>
      </c>
      <c r="L790" t="s">
        <v>74</v>
      </c>
      <c r="M790" t="s">
        <v>78</v>
      </c>
      <c r="N790" t="s">
        <v>79</v>
      </c>
      <c r="O790" t="s">
        <v>74</v>
      </c>
      <c r="P790" t="s">
        <v>74</v>
      </c>
      <c r="Q790" t="s">
        <v>74</v>
      </c>
      <c r="R790" t="s">
        <v>74</v>
      </c>
      <c r="S790" t="s">
        <v>74</v>
      </c>
      <c r="T790" t="s">
        <v>74</v>
      </c>
      <c r="U790" t="s">
        <v>74</v>
      </c>
      <c r="V790" t="s">
        <v>15027</v>
      </c>
      <c r="W790" t="s">
        <v>15028</v>
      </c>
      <c r="X790" t="s">
        <v>15029</v>
      </c>
      <c r="Y790" t="s">
        <v>15030</v>
      </c>
      <c r="Z790" t="s">
        <v>15031</v>
      </c>
      <c r="AA790" t="s">
        <v>15032</v>
      </c>
      <c r="AB790" t="s">
        <v>15033</v>
      </c>
      <c r="AC790" t="s">
        <v>15034</v>
      </c>
      <c r="AD790" t="s">
        <v>15035</v>
      </c>
      <c r="AE790" t="s">
        <v>15036</v>
      </c>
      <c r="AF790" t="s">
        <v>74</v>
      </c>
      <c r="AG790">
        <v>11</v>
      </c>
      <c r="AH790">
        <v>1</v>
      </c>
      <c r="AI790">
        <v>2</v>
      </c>
      <c r="AJ790">
        <v>2</v>
      </c>
      <c r="AK790">
        <v>6</v>
      </c>
      <c r="AL790" t="s">
        <v>122</v>
      </c>
      <c r="AM790" t="s">
        <v>123</v>
      </c>
      <c r="AN790" t="s">
        <v>124</v>
      </c>
      <c r="AO790" t="s">
        <v>74</v>
      </c>
      <c r="AP790" t="s">
        <v>125</v>
      </c>
      <c r="AQ790" t="s">
        <v>74</v>
      </c>
      <c r="AR790" t="s">
        <v>110</v>
      </c>
      <c r="AS790" t="s">
        <v>126</v>
      </c>
      <c r="AT790" t="s">
        <v>14826</v>
      </c>
      <c r="AU790">
        <v>2016</v>
      </c>
      <c r="AV790">
        <v>4</v>
      </c>
      <c r="AW790">
        <v>4</v>
      </c>
      <c r="AX790" t="s">
        <v>74</v>
      </c>
      <c r="AY790" t="s">
        <v>74</v>
      </c>
      <c r="AZ790" t="s">
        <v>74</v>
      </c>
      <c r="BA790" t="s">
        <v>74</v>
      </c>
      <c r="BB790" t="s">
        <v>74</v>
      </c>
      <c r="BC790" t="s">
        <v>74</v>
      </c>
      <c r="BD790" t="s">
        <v>15037</v>
      </c>
      <c r="BE790" t="s">
        <v>15038</v>
      </c>
      <c r="BF790" t="str">
        <f>HYPERLINK("http://dx.doi.org/10.1128/genomeA.00704-16","http://dx.doi.org/10.1128/genomeA.00704-16")</f>
        <v>http://dx.doi.org/10.1128/genomeA.00704-16</v>
      </c>
      <c r="BG790" t="s">
        <v>74</v>
      </c>
      <c r="BH790" t="s">
        <v>74</v>
      </c>
      <c r="BI790">
        <v>2</v>
      </c>
      <c r="BJ790" t="s">
        <v>130</v>
      </c>
      <c r="BK790" t="s">
        <v>131</v>
      </c>
      <c r="BL790" t="s">
        <v>130</v>
      </c>
      <c r="BM790" t="s">
        <v>15039</v>
      </c>
      <c r="BN790">
        <v>27445386</v>
      </c>
      <c r="BO790" t="s">
        <v>133</v>
      </c>
      <c r="BP790" t="s">
        <v>74</v>
      </c>
      <c r="BQ790" t="s">
        <v>74</v>
      </c>
      <c r="BR790" t="s">
        <v>105</v>
      </c>
      <c r="BS790" t="s">
        <v>15040</v>
      </c>
      <c r="BT790" t="str">
        <f>HYPERLINK("https%3A%2F%2Fwww.webofscience.com%2Fwos%2Fwoscc%2Ffull-record%2FWOS:000460662700087","View Full Record in Web of Science")</f>
        <v>View Full Record in Web of Science</v>
      </c>
    </row>
    <row r="791" spans="1:72" x14ac:dyDescent="0.15">
      <c r="A791" t="s">
        <v>72</v>
      </c>
      <c r="B791" t="s">
        <v>15041</v>
      </c>
      <c r="C791" t="s">
        <v>74</v>
      </c>
      <c r="D791" t="s">
        <v>74</v>
      </c>
      <c r="E791" t="s">
        <v>74</v>
      </c>
      <c r="F791" t="s">
        <v>15042</v>
      </c>
      <c r="G791" t="s">
        <v>74</v>
      </c>
      <c r="H791" t="s">
        <v>74</v>
      </c>
      <c r="I791" t="s">
        <v>15043</v>
      </c>
      <c r="J791" t="s">
        <v>110</v>
      </c>
      <c r="K791" t="s">
        <v>74</v>
      </c>
      <c r="L791" t="s">
        <v>74</v>
      </c>
      <c r="M791" t="s">
        <v>78</v>
      </c>
      <c r="N791" t="s">
        <v>79</v>
      </c>
      <c r="O791" t="s">
        <v>74</v>
      </c>
      <c r="P791" t="s">
        <v>74</v>
      </c>
      <c r="Q791" t="s">
        <v>74</v>
      </c>
      <c r="R791" t="s">
        <v>74</v>
      </c>
      <c r="S791" t="s">
        <v>74</v>
      </c>
      <c r="T791" t="s">
        <v>74</v>
      </c>
      <c r="U791" t="s">
        <v>74</v>
      </c>
      <c r="V791" t="s">
        <v>15044</v>
      </c>
      <c r="W791" t="s">
        <v>15045</v>
      </c>
      <c r="X791" t="s">
        <v>15046</v>
      </c>
      <c r="Y791" t="s">
        <v>15047</v>
      </c>
      <c r="Z791" t="s">
        <v>15048</v>
      </c>
      <c r="AA791" t="s">
        <v>15049</v>
      </c>
      <c r="AB791" t="s">
        <v>15050</v>
      </c>
      <c r="AC791" t="s">
        <v>15051</v>
      </c>
      <c r="AD791" t="s">
        <v>15052</v>
      </c>
      <c r="AE791" t="s">
        <v>15053</v>
      </c>
      <c r="AF791" t="s">
        <v>74</v>
      </c>
      <c r="AG791">
        <v>11</v>
      </c>
      <c r="AH791">
        <v>4</v>
      </c>
      <c r="AI791">
        <v>4</v>
      </c>
      <c r="AJ791">
        <v>0</v>
      </c>
      <c r="AK791">
        <v>2</v>
      </c>
      <c r="AL791" t="s">
        <v>122</v>
      </c>
      <c r="AM791" t="s">
        <v>123</v>
      </c>
      <c r="AN791" t="s">
        <v>124</v>
      </c>
      <c r="AO791" t="s">
        <v>74</v>
      </c>
      <c r="AP791" t="s">
        <v>125</v>
      </c>
      <c r="AQ791" t="s">
        <v>74</v>
      </c>
      <c r="AR791" t="s">
        <v>110</v>
      </c>
      <c r="AS791" t="s">
        <v>126</v>
      </c>
      <c r="AT791" t="s">
        <v>14826</v>
      </c>
      <c r="AU791">
        <v>2016</v>
      </c>
      <c r="AV791">
        <v>4</v>
      </c>
      <c r="AW791">
        <v>4</v>
      </c>
      <c r="AX791" t="s">
        <v>74</v>
      </c>
      <c r="AY791" t="s">
        <v>74</v>
      </c>
      <c r="AZ791" t="s">
        <v>74</v>
      </c>
      <c r="BA791" t="s">
        <v>74</v>
      </c>
      <c r="BB791" t="s">
        <v>74</v>
      </c>
      <c r="BC791" t="s">
        <v>74</v>
      </c>
      <c r="BD791" t="s">
        <v>15054</v>
      </c>
      <c r="BE791" t="s">
        <v>15055</v>
      </c>
      <c r="BF791" t="str">
        <f>HYPERLINK("http://dx.doi.org/10.1128/genomeA.00728-16","http://dx.doi.org/10.1128/genomeA.00728-16")</f>
        <v>http://dx.doi.org/10.1128/genomeA.00728-16</v>
      </c>
      <c r="BG791" t="s">
        <v>74</v>
      </c>
      <c r="BH791" t="s">
        <v>74</v>
      </c>
      <c r="BI791">
        <v>2</v>
      </c>
      <c r="BJ791" t="s">
        <v>130</v>
      </c>
      <c r="BK791" t="s">
        <v>131</v>
      </c>
      <c r="BL791" t="s">
        <v>130</v>
      </c>
      <c r="BM791" t="s">
        <v>15039</v>
      </c>
      <c r="BN791">
        <v>27469957</v>
      </c>
      <c r="BO791" t="s">
        <v>133</v>
      </c>
      <c r="BP791" t="s">
        <v>74</v>
      </c>
      <c r="BQ791" t="s">
        <v>74</v>
      </c>
      <c r="BR791" t="s">
        <v>105</v>
      </c>
      <c r="BS791" t="s">
        <v>15056</v>
      </c>
      <c r="BT791" t="str">
        <f>HYPERLINK("https%3A%2F%2Fwww.webofscience.com%2Fwos%2Fwoscc%2Ffull-record%2FWOS:000460662700104","View Full Record in Web of Science")</f>
        <v>View Full Record in Web of Science</v>
      </c>
    </row>
    <row r="792" spans="1:72" x14ac:dyDescent="0.15">
      <c r="A792" t="s">
        <v>72</v>
      </c>
      <c r="B792" t="s">
        <v>15057</v>
      </c>
      <c r="C792" t="s">
        <v>74</v>
      </c>
      <c r="D792" t="s">
        <v>74</v>
      </c>
      <c r="E792" t="s">
        <v>74</v>
      </c>
      <c r="F792" t="s">
        <v>15058</v>
      </c>
      <c r="G792" t="s">
        <v>74</v>
      </c>
      <c r="H792" t="s">
        <v>74</v>
      </c>
      <c r="I792" t="s">
        <v>15059</v>
      </c>
      <c r="J792" t="s">
        <v>110</v>
      </c>
      <c r="K792" t="s">
        <v>74</v>
      </c>
      <c r="L792" t="s">
        <v>74</v>
      </c>
      <c r="M792" t="s">
        <v>78</v>
      </c>
      <c r="N792" t="s">
        <v>79</v>
      </c>
      <c r="O792" t="s">
        <v>74</v>
      </c>
      <c r="P792" t="s">
        <v>74</v>
      </c>
      <c r="Q792" t="s">
        <v>74</v>
      </c>
      <c r="R792" t="s">
        <v>74</v>
      </c>
      <c r="S792" t="s">
        <v>74</v>
      </c>
      <c r="T792" t="s">
        <v>74</v>
      </c>
      <c r="U792" t="s">
        <v>74</v>
      </c>
      <c r="V792" t="s">
        <v>15060</v>
      </c>
      <c r="W792" t="s">
        <v>15061</v>
      </c>
      <c r="X792" t="s">
        <v>15062</v>
      </c>
      <c r="Y792" t="s">
        <v>15063</v>
      </c>
      <c r="Z792" t="s">
        <v>15064</v>
      </c>
      <c r="AA792" t="s">
        <v>15065</v>
      </c>
      <c r="AB792" t="s">
        <v>15066</v>
      </c>
      <c r="AC792" t="s">
        <v>15067</v>
      </c>
      <c r="AD792" t="s">
        <v>15068</v>
      </c>
      <c r="AE792" t="s">
        <v>15069</v>
      </c>
      <c r="AF792" t="s">
        <v>74</v>
      </c>
      <c r="AG792">
        <v>11</v>
      </c>
      <c r="AH792">
        <v>0</v>
      </c>
      <c r="AI792">
        <v>0</v>
      </c>
      <c r="AJ792">
        <v>0</v>
      </c>
      <c r="AK792">
        <v>0</v>
      </c>
      <c r="AL792" t="s">
        <v>122</v>
      </c>
      <c r="AM792" t="s">
        <v>123</v>
      </c>
      <c r="AN792" t="s">
        <v>124</v>
      </c>
      <c r="AO792" t="s">
        <v>74</v>
      </c>
      <c r="AP792" t="s">
        <v>125</v>
      </c>
      <c r="AQ792" t="s">
        <v>74</v>
      </c>
      <c r="AR792" t="s">
        <v>110</v>
      </c>
      <c r="AS792" t="s">
        <v>126</v>
      </c>
      <c r="AT792" t="s">
        <v>14826</v>
      </c>
      <c r="AU792">
        <v>2016</v>
      </c>
      <c r="AV792">
        <v>4</v>
      </c>
      <c r="AW792">
        <v>4</v>
      </c>
      <c r="AX792" t="s">
        <v>74</v>
      </c>
      <c r="AY792" t="s">
        <v>74</v>
      </c>
      <c r="AZ792" t="s">
        <v>74</v>
      </c>
      <c r="BA792" t="s">
        <v>74</v>
      </c>
      <c r="BB792" t="s">
        <v>74</v>
      </c>
      <c r="BC792" t="s">
        <v>74</v>
      </c>
      <c r="BD792" t="s">
        <v>15070</v>
      </c>
      <c r="BE792" t="s">
        <v>15071</v>
      </c>
      <c r="BF792" t="str">
        <f>HYPERLINK("http://dx.doi.org/10.1128/genomeA.00690-16","http://dx.doi.org/10.1128/genomeA.00690-16")</f>
        <v>http://dx.doi.org/10.1128/genomeA.00690-16</v>
      </c>
      <c r="BG792" t="s">
        <v>74</v>
      </c>
      <c r="BH792" t="s">
        <v>74</v>
      </c>
      <c r="BI792">
        <v>2</v>
      </c>
      <c r="BJ792" t="s">
        <v>130</v>
      </c>
      <c r="BK792" t="s">
        <v>131</v>
      </c>
      <c r="BL792" t="s">
        <v>130</v>
      </c>
      <c r="BM792" t="s">
        <v>15039</v>
      </c>
      <c r="BN792">
        <v>27445381</v>
      </c>
      <c r="BO792" t="s">
        <v>3908</v>
      </c>
      <c r="BP792" t="s">
        <v>74</v>
      </c>
      <c r="BQ792" t="s">
        <v>74</v>
      </c>
      <c r="BR792" t="s">
        <v>105</v>
      </c>
      <c r="BS792" t="s">
        <v>15072</v>
      </c>
      <c r="BT792" t="str">
        <f>HYPERLINK("https%3A%2F%2Fwww.webofscience.com%2Fwos%2Fwoscc%2Ffull-record%2FWOS:000460662700080","View Full Record in Web of Science")</f>
        <v>View Full Record in Web of Science</v>
      </c>
    </row>
    <row r="793" spans="1:72" x14ac:dyDescent="0.15">
      <c r="A793" t="s">
        <v>72</v>
      </c>
      <c r="B793" t="s">
        <v>15073</v>
      </c>
      <c r="C793" t="s">
        <v>74</v>
      </c>
      <c r="D793" t="s">
        <v>74</v>
      </c>
      <c r="E793" t="s">
        <v>74</v>
      </c>
      <c r="F793" t="s">
        <v>15074</v>
      </c>
      <c r="G793" t="s">
        <v>74</v>
      </c>
      <c r="H793" t="s">
        <v>74</v>
      </c>
      <c r="I793" t="s">
        <v>15075</v>
      </c>
      <c r="J793" t="s">
        <v>211</v>
      </c>
      <c r="K793" t="s">
        <v>74</v>
      </c>
      <c r="L793" t="s">
        <v>74</v>
      </c>
      <c r="M793" t="s">
        <v>78</v>
      </c>
      <c r="N793" t="s">
        <v>79</v>
      </c>
      <c r="O793" t="s">
        <v>74</v>
      </c>
      <c r="P793" t="s">
        <v>74</v>
      </c>
      <c r="Q793" t="s">
        <v>74</v>
      </c>
      <c r="R793" t="s">
        <v>74</v>
      </c>
      <c r="S793" t="s">
        <v>74</v>
      </c>
      <c r="T793" t="s">
        <v>15076</v>
      </c>
      <c r="U793" t="s">
        <v>15077</v>
      </c>
      <c r="V793" t="s">
        <v>15078</v>
      </c>
      <c r="W793" t="s">
        <v>15079</v>
      </c>
      <c r="X793" t="s">
        <v>15080</v>
      </c>
      <c r="Y793" t="s">
        <v>15081</v>
      </c>
      <c r="Z793" t="s">
        <v>15082</v>
      </c>
      <c r="AA793" t="s">
        <v>15083</v>
      </c>
      <c r="AB793" t="s">
        <v>15084</v>
      </c>
      <c r="AC793" t="s">
        <v>15085</v>
      </c>
      <c r="AD793" t="s">
        <v>15086</v>
      </c>
      <c r="AE793" t="s">
        <v>15087</v>
      </c>
      <c r="AF793" t="s">
        <v>74</v>
      </c>
      <c r="AG793">
        <v>73</v>
      </c>
      <c r="AH793">
        <v>37</v>
      </c>
      <c r="AI793">
        <v>40</v>
      </c>
      <c r="AJ793">
        <v>0</v>
      </c>
      <c r="AK793">
        <v>32</v>
      </c>
      <c r="AL793" t="s">
        <v>149</v>
      </c>
      <c r="AM793" t="s">
        <v>123</v>
      </c>
      <c r="AN793" t="s">
        <v>150</v>
      </c>
      <c r="AO793" t="s">
        <v>224</v>
      </c>
      <c r="AP793" t="s">
        <v>225</v>
      </c>
      <c r="AQ793" t="s">
        <v>74</v>
      </c>
      <c r="AR793" t="s">
        <v>226</v>
      </c>
      <c r="AS793" t="s">
        <v>227</v>
      </c>
      <c r="AT793" t="s">
        <v>13423</v>
      </c>
      <c r="AU793">
        <v>2016</v>
      </c>
      <c r="AV793">
        <v>30</v>
      </c>
      <c r="AW793">
        <v>7</v>
      </c>
      <c r="AX793" t="s">
        <v>74</v>
      </c>
      <c r="AY793" t="s">
        <v>74</v>
      </c>
      <c r="AZ793" t="s">
        <v>74</v>
      </c>
      <c r="BA793" t="s">
        <v>74</v>
      </c>
      <c r="BB793">
        <v>1038</v>
      </c>
      <c r="BC793">
        <v>1053</v>
      </c>
      <c r="BD793" t="s">
        <v>74</v>
      </c>
      <c r="BE793" t="s">
        <v>15088</v>
      </c>
      <c r="BF793" t="str">
        <f>HYPERLINK("http://dx.doi.org/10.1002/2015GB005260","http://dx.doi.org/10.1002/2015GB005260")</f>
        <v>http://dx.doi.org/10.1002/2015GB005260</v>
      </c>
      <c r="BG793" t="s">
        <v>74</v>
      </c>
      <c r="BH793" t="s">
        <v>74</v>
      </c>
      <c r="BI793">
        <v>16</v>
      </c>
      <c r="BJ793" t="s">
        <v>229</v>
      </c>
      <c r="BK793" t="s">
        <v>156</v>
      </c>
      <c r="BL793" t="s">
        <v>230</v>
      </c>
      <c r="BM793" t="s">
        <v>15089</v>
      </c>
      <c r="BN793" t="s">
        <v>74</v>
      </c>
      <c r="BO793" t="s">
        <v>329</v>
      </c>
      <c r="BP793" t="s">
        <v>74</v>
      </c>
      <c r="BQ793" t="s">
        <v>74</v>
      </c>
      <c r="BR793" t="s">
        <v>105</v>
      </c>
      <c r="BS793" t="s">
        <v>15090</v>
      </c>
      <c r="BT793" t="str">
        <f>HYPERLINK("https%3A%2F%2Fwww.webofscience.com%2Fwos%2Fwoscc%2Ffull-record%2FWOS:000382582400005","View Full Record in Web of Science")</f>
        <v>View Full Record in Web of Science</v>
      </c>
    </row>
    <row r="794" spans="1:72" x14ac:dyDescent="0.15">
      <c r="A794" t="s">
        <v>72</v>
      </c>
      <c r="B794" t="s">
        <v>15091</v>
      </c>
      <c r="C794" t="s">
        <v>74</v>
      </c>
      <c r="D794" t="s">
        <v>74</v>
      </c>
      <c r="E794" t="s">
        <v>74</v>
      </c>
      <c r="F794" t="s">
        <v>15092</v>
      </c>
      <c r="G794" t="s">
        <v>74</v>
      </c>
      <c r="H794" t="s">
        <v>74</v>
      </c>
      <c r="I794" t="s">
        <v>15093</v>
      </c>
      <c r="J794" t="s">
        <v>211</v>
      </c>
      <c r="K794" t="s">
        <v>74</v>
      </c>
      <c r="L794" t="s">
        <v>74</v>
      </c>
      <c r="M794" t="s">
        <v>78</v>
      </c>
      <c r="N794" t="s">
        <v>79</v>
      </c>
      <c r="O794" t="s">
        <v>74</v>
      </c>
      <c r="P794" t="s">
        <v>74</v>
      </c>
      <c r="Q794" t="s">
        <v>74</v>
      </c>
      <c r="R794" t="s">
        <v>74</v>
      </c>
      <c r="S794" t="s">
        <v>74</v>
      </c>
      <c r="T794" t="s">
        <v>15094</v>
      </c>
      <c r="U794" t="s">
        <v>15095</v>
      </c>
      <c r="V794" t="s">
        <v>15096</v>
      </c>
      <c r="W794" t="s">
        <v>15097</v>
      </c>
      <c r="X794" t="s">
        <v>15098</v>
      </c>
      <c r="Y794" t="s">
        <v>15099</v>
      </c>
      <c r="Z794" t="s">
        <v>15100</v>
      </c>
      <c r="AA794" t="s">
        <v>15101</v>
      </c>
      <c r="AB794" t="s">
        <v>15102</v>
      </c>
      <c r="AC794" t="s">
        <v>15103</v>
      </c>
      <c r="AD794" t="s">
        <v>15104</v>
      </c>
      <c r="AE794" t="s">
        <v>15105</v>
      </c>
      <c r="AF794" t="s">
        <v>74</v>
      </c>
      <c r="AG794">
        <v>67</v>
      </c>
      <c r="AH794">
        <v>34</v>
      </c>
      <c r="AI794">
        <v>40</v>
      </c>
      <c r="AJ794">
        <v>2</v>
      </c>
      <c r="AK794">
        <v>39</v>
      </c>
      <c r="AL794" t="s">
        <v>149</v>
      </c>
      <c r="AM794" t="s">
        <v>123</v>
      </c>
      <c r="AN794" t="s">
        <v>150</v>
      </c>
      <c r="AO794" t="s">
        <v>224</v>
      </c>
      <c r="AP794" t="s">
        <v>225</v>
      </c>
      <c r="AQ794" t="s">
        <v>74</v>
      </c>
      <c r="AR794" t="s">
        <v>226</v>
      </c>
      <c r="AS794" t="s">
        <v>227</v>
      </c>
      <c r="AT794" t="s">
        <v>13423</v>
      </c>
      <c r="AU794">
        <v>2016</v>
      </c>
      <c r="AV794">
        <v>30</v>
      </c>
      <c r="AW794">
        <v>7</v>
      </c>
      <c r="AX794" t="s">
        <v>74</v>
      </c>
      <c r="AY794" t="s">
        <v>74</v>
      </c>
      <c r="AZ794" t="s">
        <v>74</v>
      </c>
      <c r="BA794" t="s">
        <v>74</v>
      </c>
      <c r="BB794">
        <v>1069</v>
      </c>
      <c r="BC794">
        <v>1085</v>
      </c>
      <c r="BD794" t="s">
        <v>74</v>
      </c>
      <c r="BE794" t="s">
        <v>15106</v>
      </c>
      <c r="BF794" t="str">
        <f>HYPERLINK("http://dx.doi.org/10.1002/2015GB005350","http://dx.doi.org/10.1002/2015GB005350")</f>
        <v>http://dx.doi.org/10.1002/2015GB005350</v>
      </c>
      <c r="BG794" t="s">
        <v>74</v>
      </c>
      <c r="BH794" t="s">
        <v>74</v>
      </c>
      <c r="BI794">
        <v>17</v>
      </c>
      <c r="BJ794" t="s">
        <v>229</v>
      </c>
      <c r="BK794" t="s">
        <v>156</v>
      </c>
      <c r="BL794" t="s">
        <v>230</v>
      </c>
      <c r="BM794" t="s">
        <v>15089</v>
      </c>
      <c r="BN794" t="s">
        <v>74</v>
      </c>
      <c r="BO794" t="s">
        <v>1106</v>
      </c>
      <c r="BP794" t="s">
        <v>74</v>
      </c>
      <c r="BQ794" t="s">
        <v>74</v>
      </c>
      <c r="BR794" t="s">
        <v>105</v>
      </c>
      <c r="BS794" t="s">
        <v>15107</v>
      </c>
      <c r="BT794" t="str">
        <f>HYPERLINK("https%3A%2F%2Fwww.webofscience.com%2Fwos%2Fwoscc%2Ffull-record%2FWOS:000382582400007","View Full Record in Web of Science")</f>
        <v>View Full Record in Web of Science</v>
      </c>
    </row>
    <row r="795" spans="1:72" x14ac:dyDescent="0.15">
      <c r="A795" t="s">
        <v>72</v>
      </c>
      <c r="B795" t="s">
        <v>15108</v>
      </c>
      <c r="C795" t="s">
        <v>74</v>
      </c>
      <c r="D795" t="s">
        <v>74</v>
      </c>
      <c r="E795" t="s">
        <v>74</v>
      </c>
      <c r="F795" t="s">
        <v>15109</v>
      </c>
      <c r="G795" t="s">
        <v>74</v>
      </c>
      <c r="H795" t="s">
        <v>74</v>
      </c>
      <c r="I795" t="s">
        <v>15110</v>
      </c>
      <c r="J795" t="s">
        <v>11861</v>
      </c>
      <c r="K795" t="s">
        <v>74</v>
      </c>
      <c r="L795" t="s">
        <v>74</v>
      </c>
      <c r="M795" t="s">
        <v>78</v>
      </c>
      <c r="N795" t="s">
        <v>79</v>
      </c>
      <c r="O795" t="s">
        <v>74</v>
      </c>
      <c r="P795" t="s">
        <v>74</v>
      </c>
      <c r="Q795" t="s">
        <v>74</v>
      </c>
      <c r="R795" t="s">
        <v>74</v>
      </c>
      <c r="S795" t="s">
        <v>74</v>
      </c>
      <c r="T795" t="s">
        <v>15111</v>
      </c>
      <c r="U795" t="s">
        <v>15112</v>
      </c>
      <c r="V795" t="s">
        <v>15113</v>
      </c>
      <c r="W795" t="s">
        <v>15114</v>
      </c>
      <c r="X795" t="s">
        <v>15115</v>
      </c>
      <c r="Y795" t="s">
        <v>15116</v>
      </c>
      <c r="Z795" t="s">
        <v>15117</v>
      </c>
      <c r="AA795" t="s">
        <v>15118</v>
      </c>
      <c r="AB795" t="s">
        <v>15119</v>
      </c>
      <c r="AC795" t="s">
        <v>15120</v>
      </c>
      <c r="AD795" t="s">
        <v>15121</v>
      </c>
      <c r="AE795" t="s">
        <v>15122</v>
      </c>
      <c r="AF795" t="s">
        <v>74</v>
      </c>
      <c r="AG795">
        <v>61</v>
      </c>
      <c r="AH795">
        <v>65</v>
      </c>
      <c r="AI795">
        <v>68</v>
      </c>
      <c r="AJ795">
        <v>3</v>
      </c>
      <c r="AK795">
        <v>111</v>
      </c>
      <c r="AL795" t="s">
        <v>501</v>
      </c>
      <c r="AM795" t="s">
        <v>502</v>
      </c>
      <c r="AN795" t="s">
        <v>503</v>
      </c>
      <c r="AO795" t="s">
        <v>11874</v>
      </c>
      <c r="AP795" t="s">
        <v>11875</v>
      </c>
      <c r="AQ795" t="s">
        <v>74</v>
      </c>
      <c r="AR795" t="s">
        <v>11876</v>
      </c>
      <c r="AS795" t="s">
        <v>11877</v>
      </c>
      <c r="AT795" t="s">
        <v>13423</v>
      </c>
      <c r="AU795">
        <v>2016</v>
      </c>
      <c r="AV795">
        <v>22</v>
      </c>
      <c r="AW795">
        <v>7</v>
      </c>
      <c r="AX795" t="s">
        <v>74</v>
      </c>
      <c r="AY795" t="s">
        <v>74</v>
      </c>
      <c r="AZ795" t="s">
        <v>74</v>
      </c>
      <c r="BA795" t="s">
        <v>74</v>
      </c>
      <c r="BB795">
        <v>2462</v>
      </c>
      <c r="BC795">
        <v>2474</v>
      </c>
      <c r="BD795" t="s">
        <v>74</v>
      </c>
      <c r="BE795" t="s">
        <v>15123</v>
      </c>
      <c r="BF795" t="str">
        <f>HYPERLINK("http://dx.doi.org/10.1111/gcb.13285","http://dx.doi.org/10.1111/gcb.13285")</f>
        <v>http://dx.doi.org/10.1111/gcb.13285</v>
      </c>
      <c r="BG795" t="s">
        <v>74</v>
      </c>
      <c r="BH795" t="s">
        <v>74</v>
      </c>
      <c r="BI795">
        <v>13</v>
      </c>
      <c r="BJ795" t="s">
        <v>3460</v>
      </c>
      <c r="BK795" t="s">
        <v>156</v>
      </c>
      <c r="BL795" t="s">
        <v>653</v>
      </c>
      <c r="BM795" t="s">
        <v>15124</v>
      </c>
      <c r="BN795">
        <v>26990671</v>
      </c>
      <c r="BO795" t="s">
        <v>8268</v>
      </c>
      <c r="BP795" t="s">
        <v>74</v>
      </c>
      <c r="BQ795" t="s">
        <v>74</v>
      </c>
      <c r="BR795" t="s">
        <v>105</v>
      </c>
      <c r="BS795" t="s">
        <v>15125</v>
      </c>
      <c r="BT795" t="str">
        <f>HYPERLINK("https%3A%2F%2Fwww.webofscience.com%2Fwos%2Fwoscc%2Ffull-record%2FWOS:000378722000015","View Full Record in Web of Science")</f>
        <v>View Full Record in Web of Science</v>
      </c>
    </row>
    <row r="796" spans="1:72" x14ac:dyDescent="0.15">
      <c r="A796" t="s">
        <v>72</v>
      </c>
      <c r="B796" t="s">
        <v>15126</v>
      </c>
      <c r="C796" t="s">
        <v>74</v>
      </c>
      <c r="D796" t="s">
        <v>74</v>
      </c>
      <c r="E796" t="s">
        <v>74</v>
      </c>
      <c r="F796" t="s">
        <v>15127</v>
      </c>
      <c r="G796" t="s">
        <v>74</v>
      </c>
      <c r="H796" t="s">
        <v>74</v>
      </c>
      <c r="I796" t="s">
        <v>15128</v>
      </c>
      <c r="J796" t="s">
        <v>15129</v>
      </c>
      <c r="K796" t="s">
        <v>74</v>
      </c>
      <c r="L796" t="s">
        <v>74</v>
      </c>
      <c r="M796" t="s">
        <v>78</v>
      </c>
      <c r="N796" t="s">
        <v>79</v>
      </c>
      <c r="O796" t="s">
        <v>74</v>
      </c>
      <c r="P796" t="s">
        <v>74</v>
      </c>
      <c r="Q796" t="s">
        <v>74</v>
      </c>
      <c r="R796" t="s">
        <v>74</v>
      </c>
      <c r="S796" t="s">
        <v>74</v>
      </c>
      <c r="T796" t="s">
        <v>15130</v>
      </c>
      <c r="U796" t="s">
        <v>15131</v>
      </c>
      <c r="V796" t="s">
        <v>15132</v>
      </c>
      <c r="W796" t="s">
        <v>15133</v>
      </c>
      <c r="X796" t="s">
        <v>15134</v>
      </c>
      <c r="Y796" t="s">
        <v>15135</v>
      </c>
      <c r="Z796" t="s">
        <v>15136</v>
      </c>
      <c r="AA796" t="s">
        <v>74</v>
      </c>
      <c r="AB796" t="s">
        <v>15137</v>
      </c>
      <c r="AC796" t="s">
        <v>74</v>
      </c>
      <c r="AD796" t="s">
        <v>74</v>
      </c>
      <c r="AE796" t="s">
        <v>74</v>
      </c>
      <c r="AF796" t="s">
        <v>74</v>
      </c>
      <c r="AG796">
        <v>51</v>
      </c>
      <c r="AH796">
        <v>8</v>
      </c>
      <c r="AI796">
        <v>8</v>
      </c>
      <c r="AJ796">
        <v>0</v>
      </c>
      <c r="AK796">
        <v>21</v>
      </c>
      <c r="AL796" t="s">
        <v>92</v>
      </c>
      <c r="AM796" t="s">
        <v>93</v>
      </c>
      <c r="AN796" t="s">
        <v>94</v>
      </c>
      <c r="AO796" t="s">
        <v>15138</v>
      </c>
      <c r="AP796" t="s">
        <v>74</v>
      </c>
      <c r="AQ796" t="s">
        <v>74</v>
      </c>
      <c r="AR796" t="s">
        <v>15139</v>
      </c>
      <c r="AS796" t="s">
        <v>15140</v>
      </c>
      <c r="AT796" t="s">
        <v>13423</v>
      </c>
      <c r="AU796">
        <v>2016</v>
      </c>
      <c r="AV796">
        <v>7</v>
      </c>
      <c r="AW796" t="s">
        <v>74</v>
      </c>
      <c r="AX796" t="s">
        <v>74</v>
      </c>
      <c r="AY796" t="s">
        <v>74</v>
      </c>
      <c r="AZ796" t="s">
        <v>74</v>
      </c>
      <c r="BA796" t="s">
        <v>74</v>
      </c>
      <c r="BB796">
        <v>49</v>
      </c>
      <c r="BC796">
        <v>58</v>
      </c>
      <c r="BD796" t="s">
        <v>74</v>
      </c>
      <c r="BE796" t="s">
        <v>15141</v>
      </c>
      <c r="BF796" t="str">
        <f>HYPERLINK("http://dx.doi.org/10.1016/j.gecco.2016.05.001","http://dx.doi.org/10.1016/j.gecco.2016.05.001")</f>
        <v>http://dx.doi.org/10.1016/j.gecco.2016.05.001</v>
      </c>
      <c r="BG796" t="s">
        <v>74</v>
      </c>
      <c r="BH796" t="s">
        <v>74</v>
      </c>
      <c r="BI796">
        <v>10</v>
      </c>
      <c r="BJ796" t="s">
        <v>652</v>
      </c>
      <c r="BK796" t="s">
        <v>156</v>
      </c>
      <c r="BL796" t="s">
        <v>653</v>
      </c>
      <c r="BM796" t="s">
        <v>15142</v>
      </c>
      <c r="BN796" t="s">
        <v>74</v>
      </c>
      <c r="BO796" t="s">
        <v>133</v>
      </c>
      <c r="BP796" t="s">
        <v>74</v>
      </c>
      <c r="BQ796" t="s">
        <v>74</v>
      </c>
      <c r="BR796" t="s">
        <v>105</v>
      </c>
      <c r="BS796" t="s">
        <v>15143</v>
      </c>
      <c r="BT796" t="str">
        <f>HYPERLINK("https%3A%2F%2Fwww.webofscience.com%2Fwos%2Fwoscc%2Ffull-record%2FWOS:000413276800005","View Full Record in Web of Science")</f>
        <v>View Full Record in Web of Science</v>
      </c>
    </row>
    <row r="797" spans="1:72" x14ac:dyDescent="0.15">
      <c r="A797" t="s">
        <v>72</v>
      </c>
      <c r="B797" t="s">
        <v>15144</v>
      </c>
      <c r="C797" t="s">
        <v>74</v>
      </c>
      <c r="D797" t="s">
        <v>74</v>
      </c>
      <c r="E797" t="s">
        <v>74</v>
      </c>
      <c r="F797" t="s">
        <v>15145</v>
      </c>
      <c r="G797" t="s">
        <v>74</v>
      </c>
      <c r="H797" t="s">
        <v>74</v>
      </c>
      <c r="I797" t="s">
        <v>15146</v>
      </c>
      <c r="J797" t="s">
        <v>15147</v>
      </c>
      <c r="K797" t="s">
        <v>74</v>
      </c>
      <c r="L797" t="s">
        <v>74</v>
      </c>
      <c r="M797" t="s">
        <v>78</v>
      </c>
      <c r="N797" t="s">
        <v>79</v>
      </c>
      <c r="O797" t="s">
        <v>74</v>
      </c>
      <c r="P797" t="s">
        <v>74</v>
      </c>
      <c r="Q797" t="s">
        <v>74</v>
      </c>
      <c r="R797" t="s">
        <v>74</v>
      </c>
      <c r="S797" t="s">
        <v>74</v>
      </c>
      <c r="T797" t="s">
        <v>15148</v>
      </c>
      <c r="U797" t="s">
        <v>15149</v>
      </c>
      <c r="V797" t="s">
        <v>15150</v>
      </c>
      <c r="W797" t="s">
        <v>15151</v>
      </c>
      <c r="X797" t="s">
        <v>15152</v>
      </c>
      <c r="Y797" t="s">
        <v>15153</v>
      </c>
      <c r="Z797" t="s">
        <v>15154</v>
      </c>
      <c r="AA797" t="s">
        <v>15155</v>
      </c>
      <c r="AB797" t="s">
        <v>15156</v>
      </c>
      <c r="AC797" t="s">
        <v>15157</v>
      </c>
      <c r="AD797" t="s">
        <v>15158</v>
      </c>
      <c r="AE797" t="s">
        <v>15159</v>
      </c>
      <c r="AF797" t="s">
        <v>74</v>
      </c>
      <c r="AG797">
        <v>93</v>
      </c>
      <c r="AH797">
        <v>41</v>
      </c>
      <c r="AI797">
        <v>43</v>
      </c>
      <c r="AJ797">
        <v>0</v>
      </c>
      <c r="AK797">
        <v>60</v>
      </c>
      <c r="AL797" t="s">
        <v>501</v>
      </c>
      <c r="AM797" t="s">
        <v>502</v>
      </c>
      <c r="AN797" t="s">
        <v>503</v>
      </c>
      <c r="AO797" t="s">
        <v>15160</v>
      </c>
      <c r="AP797" t="s">
        <v>15161</v>
      </c>
      <c r="AQ797" t="s">
        <v>74</v>
      </c>
      <c r="AR797" t="s">
        <v>15147</v>
      </c>
      <c r="AS797" t="s">
        <v>15162</v>
      </c>
      <c r="AT797" t="s">
        <v>13423</v>
      </c>
      <c r="AU797">
        <v>2016</v>
      </c>
      <c r="AV797">
        <v>158</v>
      </c>
      <c r="AW797">
        <v>3</v>
      </c>
      <c r="AX797" t="s">
        <v>74</v>
      </c>
      <c r="AY797" t="s">
        <v>74</v>
      </c>
      <c r="AZ797" t="s">
        <v>74</v>
      </c>
      <c r="BA797" t="s">
        <v>74</v>
      </c>
      <c r="BB797">
        <v>569</v>
      </c>
      <c r="BC797">
        <v>586</v>
      </c>
      <c r="BD797" t="s">
        <v>74</v>
      </c>
      <c r="BE797" t="s">
        <v>15163</v>
      </c>
      <c r="BF797" t="str">
        <f>HYPERLINK("http://dx.doi.org/10.1111/ibi.12365","http://dx.doi.org/10.1111/ibi.12365")</f>
        <v>http://dx.doi.org/10.1111/ibi.12365</v>
      </c>
      <c r="BG797" t="s">
        <v>74</v>
      </c>
      <c r="BH797" t="s">
        <v>74</v>
      </c>
      <c r="BI797">
        <v>18</v>
      </c>
      <c r="BJ797" t="s">
        <v>3988</v>
      </c>
      <c r="BK797" t="s">
        <v>156</v>
      </c>
      <c r="BL797" t="s">
        <v>3306</v>
      </c>
      <c r="BM797" t="s">
        <v>15164</v>
      </c>
      <c r="BN797" t="s">
        <v>74</v>
      </c>
      <c r="BO797" t="s">
        <v>74</v>
      </c>
      <c r="BP797" t="s">
        <v>74</v>
      </c>
      <c r="BQ797" t="s">
        <v>74</v>
      </c>
      <c r="BR797" t="s">
        <v>105</v>
      </c>
      <c r="BS797" t="s">
        <v>15165</v>
      </c>
      <c r="BT797" t="str">
        <f>HYPERLINK("https%3A%2F%2Fwww.webofscience.com%2Fwos%2Fwoscc%2Ffull-record%2FWOS:000378415800009","View Full Record in Web of Science")</f>
        <v>View Full Record in Web of Science</v>
      </c>
    </row>
    <row r="798" spans="1:72" x14ac:dyDescent="0.15">
      <c r="A798" t="s">
        <v>72</v>
      </c>
      <c r="B798" t="s">
        <v>15166</v>
      </c>
      <c r="C798" t="s">
        <v>74</v>
      </c>
      <c r="D798" t="s">
        <v>74</v>
      </c>
      <c r="E798" t="s">
        <v>74</v>
      </c>
      <c r="F798" t="s">
        <v>15167</v>
      </c>
      <c r="G798" t="s">
        <v>74</v>
      </c>
      <c r="H798" t="s">
        <v>74</v>
      </c>
      <c r="I798" t="s">
        <v>15168</v>
      </c>
      <c r="J798" t="s">
        <v>15169</v>
      </c>
      <c r="K798" t="s">
        <v>74</v>
      </c>
      <c r="L798" t="s">
        <v>74</v>
      </c>
      <c r="M798" t="s">
        <v>78</v>
      </c>
      <c r="N798" t="s">
        <v>79</v>
      </c>
      <c r="O798" t="s">
        <v>74</v>
      </c>
      <c r="P798" t="s">
        <v>74</v>
      </c>
      <c r="Q798" t="s">
        <v>74</v>
      </c>
      <c r="R798" t="s">
        <v>74</v>
      </c>
      <c r="S798" t="s">
        <v>74</v>
      </c>
      <c r="T798" t="s">
        <v>15170</v>
      </c>
      <c r="U798" t="s">
        <v>15171</v>
      </c>
      <c r="V798" t="s">
        <v>15172</v>
      </c>
      <c r="W798" t="s">
        <v>15173</v>
      </c>
      <c r="X798" t="s">
        <v>15174</v>
      </c>
      <c r="Y798" t="s">
        <v>15175</v>
      </c>
      <c r="Z798" t="s">
        <v>15176</v>
      </c>
      <c r="AA798" t="s">
        <v>15177</v>
      </c>
      <c r="AB798" t="s">
        <v>15178</v>
      </c>
      <c r="AC798" t="s">
        <v>15179</v>
      </c>
      <c r="AD798" t="s">
        <v>15180</v>
      </c>
      <c r="AE798" t="s">
        <v>15181</v>
      </c>
      <c r="AF798" t="s">
        <v>74</v>
      </c>
      <c r="AG798">
        <v>78</v>
      </c>
      <c r="AH798">
        <v>21</v>
      </c>
      <c r="AI798">
        <v>22</v>
      </c>
      <c r="AJ798">
        <v>0</v>
      </c>
      <c r="AK798">
        <v>11</v>
      </c>
      <c r="AL798" t="s">
        <v>644</v>
      </c>
      <c r="AM798" t="s">
        <v>594</v>
      </c>
      <c r="AN798" t="s">
        <v>3025</v>
      </c>
      <c r="AO798" t="s">
        <v>15182</v>
      </c>
      <c r="AP798" t="s">
        <v>15183</v>
      </c>
      <c r="AQ798" t="s">
        <v>74</v>
      </c>
      <c r="AR798" t="s">
        <v>15184</v>
      </c>
      <c r="AS798" t="s">
        <v>15185</v>
      </c>
      <c r="AT798" t="s">
        <v>13423</v>
      </c>
      <c r="AU798">
        <v>2016</v>
      </c>
      <c r="AV798">
        <v>105</v>
      </c>
      <c r="AW798">
        <v>5</v>
      </c>
      <c r="AX798" t="s">
        <v>74</v>
      </c>
      <c r="AY798" t="s">
        <v>74</v>
      </c>
      <c r="AZ798" t="s">
        <v>74</v>
      </c>
      <c r="BA798" t="s">
        <v>74</v>
      </c>
      <c r="BB798">
        <v>1353</v>
      </c>
      <c r="BC798">
        <v>1370</v>
      </c>
      <c r="BD798" t="s">
        <v>74</v>
      </c>
      <c r="BE798" t="s">
        <v>15186</v>
      </c>
      <c r="BF798" t="str">
        <f>HYPERLINK("http://dx.doi.org/10.1007/s00531-015-1254-3","http://dx.doi.org/10.1007/s00531-015-1254-3")</f>
        <v>http://dx.doi.org/10.1007/s00531-015-1254-3</v>
      </c>
      <c r="BG798" t="s">
        <v>74</v>
      </c>
      <c r="BH798" t="s">
        <v>74</v>
      </c>
      <c r="BI798">
        <v>18</v>
      </c>
      <c r="BJ798" t="s">
        <v>352</v>
      </c>
      <c r="BK798" t="s">
        <v>156</v>
      </c>
      <c r="BL798" t="s">
        <v>177</v>
      </c>
      <c r="BM798" t="s">
        <v>15187</v>
      </c>
      <c r="BN798" t="s">
        <v>74</v>
      </c>
      <c r="BO798" t="s">
        <v>2392</v>
      </c>
      <c r="BP798" t="s">
        <v>74</v>
      </c>
      <c r="BQ798" t="s">
        <v>74</v>
      </c>
      <c r="BR798" t="s">
        <v>105</v>
      </c>
      <c r="BS798" t="s">
        <v>15188</v>
      </c>
      <c r="BT798" t="str">
        <f>HYPERLINK("https%3A%2F%2Fwww.webofscience.com%2Fwos%2Fwoscc%2Ffull-record%2FWOS:000379025900004","View Full Record in Web of Science")</f>
        <v>View Full Record in Web of Science</v>
      </c>
    </row>
    <row r="799" spans="1:72" x14ac:dyDescent="0.15">
      <c r="A799" t="s">
        <v>72</v>
      </c>
      <c r="B799" t="s">
        <v>15189</v>
      </c>
      <c r="C799" t="s">
        <v>74</v>
      </c>
      <c r="D799" t="s">
        <v>74</v>
      </c>
      <c r="E799" t="s">
        <v>74</v>
      </c>
      <c r="F799" t="s">
        <v>15190</v>
      </c>
      <c r="G799" t="s">
        <v>74</v>
      </c>
      <c r="H799" t="s">
        <v>74</v>
      </c>
      <c r="I799" t="s">
        <v>15191</v>
      </c>
      <c r="J799" t="s">
        <v>15192</v>
      </c>
      <c r="K799" t="s">
        <v>74</v>
      </c>
      <c r="L799" t="s">
        <v>74</v>
      </c>
      <c r="M799" t="s">
        <v>78</v>
      </c>
      <c r="N799" t="s">
        <v>52</v>
      </c>
      <c r="O799" t="s">
        <v>74</v>
      </c>
      <c r="P799" t="s">
        <v>74</v>
      </c>
      <c r="Q799" t="s">
        <v>74</v>
      </c>
      <c r="R799" t="s">
        <v>74</v>
      </c>
      <c r="S799" t="s">
        <v>74</v>
      </c>
      <c r="T799" t="s">
        <v>74</v>
      </c>
      <c r="U799" t="s">
        <v>74</v>
      </c>
      <c r="V799" t="s">
        <v>74</v>
      </c>
      <c r="W799" t="s">
        <v>15193</v>
      </c>
      <c r="X799" t="s">
        <v>15194</v>
      </c>
      <c r="Y799" t="s">
        <v>74</v>
      </c>
      <c r="Z799" t="s">
        <v>74</v>
      </c>
      <c r="AA799" t="s">
        <v>74</v>
      </c>
      <c r="AB799" t="s">
        <v>74</v>
      </c>
      <c r="AC799" t="s">
        <v>74</v>
      </c>
      <c r="AD799" t="s">
        <v>74</v>
      </c>
      <c r="AE799" t="s">
        <v>74</v>
      </c>
      <c r="AF799" t="s">
        <v>74</v>
      </c>
      <c r="AG799">
        <v>0</v>
      </c>
      <c r="AH799">
        <v>0</v>
      </c>
      <c r="AI799">
        <v>0</v>
      </c>
      <c r="AJ799">
        <v>0</v>
      </c>
      <c r="AK799">
        <v>0</v>
      </c>
      <c r="AL799" t="s">
        <v>15195</v>
      </c>
      <c r="AM799" t="s">
        <v>861</v>
      </c>
      <c r="AN799" t="s">
        <v>15196</v>
      </c>
      <c r="AO799" t="s">
        <v>15197</v>
      </c>
      <c r="AP799" t="s">
        <v>15198</v>
      </c>
      <c r="AQ799" t="s">
        <v>74</v>
      </c>
      <c r="AR799" t="s">
        <v>15199</v>
      </c>
      <c r="AS799" t="s">
        <v>15200</v>
      </c>
      <c r="AT799" t="s">
        <v>13423</v>
      </c>
      <c r="AU799">
        <v>2016</v>
      </c>
      <c r="AV799">
        <v>51</v>
      </c>
      <c r="AW799" t="s">
        <v>74</v>
      </c>
      <c r="AX799" t="s">
        <v>74</v>
      </c>
      <c r="AY799">
        <v>1</v>
      </c>
      <c r="AZ799" t="s">
        <v>650</v>
      </c>
      <c r="BA799" t="s">
        <v>74</v>
      </c>
      <c r="BB799">
        <v>94</v>
      </c>
      <c r="BC799">
        <v>94</v>
      </c>
      <c r="BD799" t="s">
        <v>74</v>
      </c>
      <c r="BE799" t="s">
        <v>74</v>
      </c>
      <c r="BF799" t="s">
        <v>74</v>
      </c>
      <c r="BG799" t="s">
        <v>74</v>
      </c>
      <c r="BH799" t="s">
        <v>74</v>
      </c>
      <c r="BI799">
        <v>1</v>
      </c>
      <c r="BJ799" t="s">
        <v>15201</v>
      </c>
      <c r="BK799" t="s">
        <v>482</v>
      </c>
      <c r="BL799" t="s">
        <v>15202</v>
      </c>
      <c r="BM799" t="s">
        <v>15203</v>
      </c>
      <c r="BN799" t="s">
        <v>74</v>
      </c>
      <c r="BO799" t="s">
        <v>74</v>
      </c>
      <c r="BP799" t="s">
        <v>74</v>
      </c>
      <c r="BQ799" t="s">
        <v>74</v>
      </c>
      <c r="BR799" t="s">
        <v>105</v>
      </c>
      <c r="BS799" t="s">
        <v>15204</v>
      </c>
      <c r="BT799" t="str">
        <f>HYPERLINK("https%3A%2F%2Fwww.webofscience.com%2Fwos%2Fwoscc%2Ffull-record%2FWOS:000413720401085","View Full Record in Web of Science")</f>
        <v>View Full Record in Web of Science</v>
      </c>
    </row>
    <row r="800" spans="1:72" x14ac:dyDescent="0.15">
      <c r="A800" t="s">
        <v>72</v>
      </c>
      <c r="B800" t="s">
        <v>15205</v>
      </c>
      <c r="C800" t="s">
        <v>74</v>
      </c>
      <c r="D800" t="s">
        <v>74</v>
      </c>
      <c r="E800" t="s">
        <v>74</v>
      </c>
      <c r="F800" t="s">
        <v>15206</v>
      </c>
      <c r="G800" t="s">
        <v>74</v>
      </c>
      <c r="H800" t="s">
        <v>74</v>
      </c>
      <c r="I800" t="s">
        <v>15207</v>
      </c>
      <c r="J800" t="s">
        <v>15192</v>
      </c>
      <c r="K800" t="s">
        <v>74</v>
      </c>
      <c r="L800" t="s">
        <v>74</v>
      </c>
      <c r="M800" t="s">
        <v>78</v>
      </c>
      <c r="N800" t="s">
        <v>52</v>
      </c>
      <c r="O800" t="s">
        <v>74</v>
      </c>
      <c r="P800" t="s">
        <v>74</v>
      </c>
      <c r="Q800" t="s">
        <v>74</v>
      </c>
      <c r="R800" t="s">
        <v>74</v>
      </c>
      <c r="S800" t="s">
        <v>74</v>
      </c>
      <c r="T800" t="s">
        <v>74</v>
      </c>
      <c r="U800" t="s">
        <v>74</v>
      </c>
      <c r="V800" t="s">
        <v>74</v>
      </c>
      <c r="W800" t="s">
        <v>15208</v>
      </c>
      <c r="X800" t="s">
        <v>15209</v>
      </c>
      <c r="Y800" t="s">
        <v>74</v>
      </c>
      <c r="Z800" t="s">
        <v>74</v>
      </c>
      <c r="AA800" t="s">
        <v>74</v>
      </c>
      <c r="AB800" t="s">
        <v>74</v>
      </c>
      <c r="AC800" t="s">
        <v>74</v>
      </c>
      <c r="AD800" t="s">
        <v>74</v>
      </c>
      <c r="AE800" t="s">
        <v>74</v>
      </c>
      <c r="AF800" t="s">
        <v>74</v>
      </c>
      <c r="AG800">
        <v>0</v>
      </c>
      <c r="AH800">
        <v>0</v>
      </c>
      <c r="AI800">
        <v>0</v>
      </c>
      <c r="AJ800">
        <v>0</v>
      </c>
      <c r="AK800">
        <v>0</v>
      </c>
      <c r="AL800" t="s">
        <v>15195</v>
      </c>
      <c r="AM800" t="s">
        <v>861</v>
      </c>
      <c r="AN800" t="s">
        <v>15196</v>
      </c>
      <c r="AO800" t="s">
        <v>15197</v>
      </c>
      <c r="AP800" t="s">
        <v>15198</v>
      </c>
      <c r="AQ800" t="s">
        <v>74</v>
      </c>
      <c r="AR800" t="s">
        <v>15199</v>
      </c>
      <c r="AS800" t="s">
        <v>15200</v>
      </c>
      <c r="AT800" t="s">
        <v>13423</v>
      </c>
      <c r="AU800">
        <v>2016</v>
      </c>
      <c r="AV800">
        <v>51</v>
      </c>
      <c r="AW800" t="s">
        <v>74</v>
      </c>
      <c r="AX800" t="s">
        <v>74</v>
      </c>
      <c r="AY800">
        <v>1</v>
      </c>
      <c r="AZ800" t="s">
        <v>650</v>
      </c>
      <c r="BA800" t="s">
        <v>15210</v>
      </c>
      <c r="BB800">
        <v>94</v>
      </c>
      <c r="BC800">
        <v>94</v>
      </c>
      <c r="BD800" t="s">
        <v>74</v>
      </c>
      <c r="BE800" t="s">
        <v>74</v>
      </c>
      <c r="BF800" t="s">
        <v>74</v>
      </c>
      <c r="BG800" t="s">
        <v>74</v>
      </c>
      <c r="BH800" t="s">
        <v>74</v>
      </c>
      <c r="BI800">
        <v>1</v>
      </c>
      <c r="BJ800" t="s">
        <v>15201</v>
      </c>
      <c r="BK800" t="s">
        <v>482</v>
      </c>
      <c r="BL800" t="s">
        <v>15202</v>
      </c>
      <c r="BM800" t="s">
        <v>15203</v>
      </c>
      <c r="BN800" t="s">
        <v>74</v>
      </c>
      <c r="BO800" t="s">
        <v>74</v>
      </c>
      <c r="BP800" t="s">
        <v>74</v>
      </c>
      <c r="BQ800" t="s">
        <v>74</v>
      </c>
      <c r="BR800" t="s">
        <v>105</v>
      </c>
      <c r="BS800" t="s">
        <v>15211</v>
      </c>
      <c r="BT800" t="str">
        <f>HYPERLINK("https%3A%2F%2Fwww.webofscience.com%2Fwos%2Fwoscc%2Ffull-record%2FWOS:000413720401083","View Full Record in Web of Science")</f>
        <v>View Full Record in Web of Science</v>
      </c>
    </row>
    <row r="801" spans="1:72" x14ac:dyDescent="0.15">
      <c r="A801" t="s">
        <v>72</v>
      </c>
      <c r="B801" t="s">
        <v>15212</v>
      </c>
      <c r="C801" t="s">
        <v>74</v>
      </c>
      <c r="D801" t="s">
        <v>74</v>
      </c>
      <c r="E801" t="s">
        <v>74</v>
      </c>
      <c r="F801" t="s">
        <v>15213</v>
      </c>
      <c r="G801" t="s">
        <v>74</v>
      </c>
      <c r="H801" t="s">
        <v>74</v>
      </c>
      <c r="I801" t="s">
        <v>15214</v>
      </c>
      <c r="J801" t="s">
        <v>15192</v>
      </c>
      <c r="K801" t="s">
        <v>74</v>
      </c>
      <c r="L801" t="s">
        <v>74</v>
      </c>
      <c r="M801" t="s">
        <v>78</v>
      </c>
      <c r="N801" t="s">
        <v>52</v>
      </c>
      <c r="O801" t="s">
        <v>74</v>
      </c>
      <c r="P801" t="s">
        <v>74</v>
      </c>
      <c r="Q801" t="s">
        <v>74</v>
      </c>
      <c r="R801" t="s">
        <v>74</v>
      </c>
      <c r="S801" t="s">
        <v>74</v>
      </c>
      <c r="T801" t="s">
        <v>74</v>
      </c>
      <c r="U801" t="s">
        <v>74</v>
      </c>
      <c r="V801" t="s">
        <v>74</v>
      </c>
      <c r="W801" t="s">
        <v>15215</v>
      </c>
      <c r="X801" t="s">
        <v>15216</v>
      </c>
      <c r="Y801" t="s">
        <v>74</v>
      </c>
      <c r="Z801" t="s">
        <v>74</v>
      </c>
      <c r="AA801" t="s">
        <v>74</v>
      </c>
      <c r="AB801" t="s">
        <v>74</v>
      </c>
      <c r="AC801" t="s">
        <v>74</v>
      </c>
      <c r="AD801" t="s">
        <v>74</v>
      </c>
      <c r="AE801" t="s">
        <v>74</v>
      </c>
      <c r="AF801" t="s">
        <v>74</v>
      </c>
      <c r="AG801">
        <v>0</v>
      </c>
      <c r="AH801">
        <v>0</v>
      </c>
      <c r="AI801">
        <v>0</v>
      </c>
      <c r="AJ801">
        <v>0</v>
      </c>
      <c r="AK801">
        <v>0</v>
      </c>
      <c r="AL801" t="s">
        <v>15195</v>
      </c>
      <c r="AM801" t="s">
        <v>861</v>
      </c>
      <c r="AN801" t="s">
        <v>15196</v>
      </c>
      <c r="AO801" t="s">
        <v>15197</v>
      </c>
      <c r="AP801" t="s">
        <v>15198</v>
      </c>
      <c r="AQ801" t="s">
        <v>74</v>
      </c>
      <c r="AR801" t="s">
        <v>15199</v>
      </c>
      <c r="AS801" t="s">
        <v>15200</v>
      </c>
      <c r="AT801" t="s">
        <v>13423</v>
      </c>
      <c r="AU801">
        <v>2016</v>
      </c>
      <c r="AV801">
        <v>51</v>
      </c>
      <c r="AW801" t="s">
        <v>74</v>
      </c>
      <c r="AX801" t="s">
        <v>74</v>
      </c>
      <c r="AY801">
        <v>1</v>
      </c>
      <c r="AZ801" t="s">
        <v>650</v>
      </c>
      <c r="BA801" t="s">
        <v>74</v>
      </c>
      <c r="BB801">
        <v>94</v>
      </c>
      <c r="BC801">
        <v>94</v>
      </c>
      <c r="BD801" t="s">
        <v>74</v>
      </c>
      <c r="BE801" t="s">
        <v>74</v>
      </c>
      <c r="BF801" t="s">
        <v>74</v>
      </c>
      <c r="BG801" t="s">
        <v>74</v>
      </c>
      <c r="BH801" t="s">
        <v>74</v>
      </c>
      <c r="BI801">
        <v>1</v>
      </c>
      <c r="BJ801" t="s">
        <v>15201</v>
      </c>
      <c r="BK801" t="s">
        <v>482</v>
      </c>
      <c r="BL801" t="s">
        <v>15202</v>
      </c>
      <c r="BM801" t="s">
        <v>15203</v>
      </c>
      <c r="BN801" t="s">
        <v>74</v>
      </c>
      <c r="BO801" t="s">
        <v>74</v>
      </c>
      <c r="BP801" t="s">
        <v>74</v>
      </c>
      <c r="BQ801" t="s">
        <v>74</v>
      </c>
      <c r="BR801" t="s">
        <v>105</v>
      </c>
      <c r="BS801" t="s">
        <v>15217</v>
      </c>
      <c r="BT801" t="str">
        <f>HYPERLINK("https%3A%2F%2Fwww.webofscience.com%2Fwos%2Fwoscc%2Ffull-record%2FWOS:000413720401086","View Full Record in Web of Science")</f>
        <v>View Full Record in Web of Science</v>
      </c>
    </row>
    <row r="802" spans="1:72" x14ac:dyDescent="0.15">
      <c r="A802" t="s">
        <v>72</v>
      </c>
      <c r="B802" t="s">
        <v>15218</v>
      </c>
      <c r="C802" t="s">
        <v>74</v>
      </c>
      <c r="D802" t="s">
        <v>74</v>
      </c>
      <c r="E802" t="s">
        <v>74</v>
      </c>
      <c r="F802" t="s">
        <v>15219</v>
      </c>
      <c r="G802" t="s">
        <v>74</v>
      </c>
      <c r="H802" t="s">
        <v>74</v>
      </c>
      <c r="I802" t="s">
        <v>15220</v>
      </c>
      <c r="J802" t="s">
        <v>263</v>
      </c>
      <c r="K802" t="s">
        <v>74</v>
      </c>
      <c r="L802" t="s">
        <v>74</v>
      </c>
      <c r="M802" t="s">
        <v>78</v>
      </c>
      <c r="N802" t="s">
        <v>79</v>
      </c>
      <c r="O802" t="s">
        <v>74</v>
      </c>
      <c r="P802" t="s">
        <v>74</v>
      </c>
      <c r="Q802" t="s">
        <v>74</v>
      </c>
      <c r="R802" t="s">
        <v>74</v>
      </c>
      <c r="S802" t="s">
        <v>74</v>
      </c>
      <c r="T802" t="s">
        <v>74</v>
      </c>
      <c r="U802" t="s">
        <v>15221</v>
      </c>
      <c r="V802" t="s">
        <v>15222</v>
      </c>
      <c r="W802" t="s">
        <v>15223</v>
      </c>
      <c r="X802" t="s">
        <v>15224</v>
      </c>
      <c r="Y802" t="s">
        <v>15225</v>
      </c>
      <c r="Z802" t="s">
        <v>15226</v>
      </c>
      <c r="AA802" t="s">
        <v>15227</v>
      </c>
      <c r="AB802" t="s">
        <v>15228</v>
      </c>
      <c r="AC802" t="s">
        <v>15229</v>
      </c>
      <c r="AD802" t="s">
        <v>15230</v>
      </c>
      <c r="AE802" t="s">
        <v>15231</v>
      </c>
      <c r="AF802" t="s">
        <v>74</v>
      </c>
      <c r="AG802">
        <v>37</v>
      </c>
      <c r="AH802">
        <v>96</v>
      </c>
      <c r="AI802">
        <v>109</v>
      </c>
      <c r="AJ802">
        <v>0</v>
      </c>
      <c r="AK802">
        <v>59</v>
      </c>
      <c r="AL802" t="s">
        <v>275</v>
      </c>
      <c r="AM802" t="s">
        <v>250</v>
      </c>
      <c r="AN802" t="s">
        <v>276</v>
      </c>
      <c r="AO802" t="s">
        <v>277</v>
      </c>
      <c r="AP802" t="s">
        <v>278</v>
      </c>
      <c r="AQ802" t="s">
        <v>74</v>
      </c>
      <c r="AR802" t="s">
        <v>279</v>
      </c>
      <c r="AS802" t="s">
        <v>280</v>
      </c>
      <c r="AT802" t="s">
        <v>13423</v>
      </c>
      <c r="AU802">
        <v>2016</v>
      </c>
      <c r="AV802">
        <v>10</v>
      </c>
      <c r="AW802">
        <v>7</v>
      </c>
      <c r="AX802" t="s">
        <v>74</v>
      </c>
      <c r="AY802" t="s">
        <v>74</v>
      </c>
      <c r="AZ802" t="s">
        <v>74</v>
      </c>
      <c r="BA802" t="s">
        <v>74</v>
      </c>
      <c r="BB802">
        <v>1613</v>
      </c>
      <c r="BC802">
        <v>1624</v>
      </c>
      <c r="BD802" t="s">
        <v>74</v>
      </c>
      <c r="BE802" t="s">
        <v>15232</v>
      </c>
      <c r="BF802" t="str">
        <f>HYPERLINK("http://dx.doi.org/10.1038/ismej.2015.239","http://dx.doi.org/10.1038/ismej.2015.239")</f>
        <v>http://dx.doi.org/10.1038/ismej.2015.239</v>
      </c>
      <c r="BG802" t="s">
        <v>74</v>
      </c>
      <c r="BH802" t="s">
        <v>74</v>
      </c>
      <c r="BI802">
        <v>12</v>
      </c>
      <c r="BJ802" t="s">
        <v>282</v>
      </c>
      <c r="BK802" t="s">
        <v>156</v>
      </c>
      <c r="BL802" t="s">
        <v>283</v>
      </c>
      <c r="BM802" t="s">
        <v>15233</v>
      </c>
      <c r="BN802">
        <v>27323892</v>
      </c>
      <c r="BO802" t="s">
        <v>285</v>
      </c>
      <c r="BP802" t="s">
        <v>74</v>
      </c>
      <c r="BQ802" t="s">
        <v>74</v>
      </c>
      <c r="BR802" t="s">
        <v>105</v>
      </c>
      <c r="BS802" t="s">
        <v>15234</v>
      </c>
      <c r="BT802" t="str">
        <f>HYPERLINK("https%3A%2F%2Fwww.webofscience.com%2Fwos%2Fwoscc%2Ffull-record%2FWOS:000378292100007","View Full Record in Web of Science")</f>
        <v>View Full Record in Web of Science</v>
      </c>
    </row>
    <row r="803" spans="1:72" x14ac:dyDescent="0.15">
      <c r="A803" t="s">
        <v>72</v>
      </c>
      <c r="B803" t="s">
        <v>15235</v>
      </c>
      <c r="C803" t="s">
        <v>74</v>
      </c>
      <c r="D803" t="s">
        <v>74</v>
      </c>
      <c r="E803" t="s">
        <v>74</v>
      </c>
      <c r="F803" t="s">
        <v>15236</v>
      </c>
      <c r="G803" t="s">
        <v>74</v>
      </c>
      <c r="H803" t="s">
        <v>74</v>
      </c>
      <c r="I803" t="s">
        <v>15237</v>
      </c>
      <c r="J803" t="s">
        <v>3036</v>
      </c>
      <c r="K803" t="s">
        <v>74</v>
      </c>
      <c r="L803" t="s">
        <v>74</v>
      </c>
      <c r="M803" t="s">
        <v>78</v>
      </c>
      <c r="N803" t="s">
        <v>79</v>
      </c>
      <c r="O803" t="s">
        <v>74</v>
      </c>
      <c r="P803" t="s">
        <v>74</v>
      </c>
      <c r="Q803" t="s">
        <v>74</v>
      </c>
      <c r="R803" t="s">
        <v>74</v>
      </c>
      <c r="S803" t="s">
        <v>74</v>
      </c>
      <c r="T803" t="s">
        <v>74</v>
      </c>
      <c r="U803" t="s">
        <v>15238</v>
      </c>
      <c r="V803" t="s">
        <v>15239</v>
      </c>
      <c r="W803" t="s">
        <v>15240</v>
      </c>
      <c r="X803" t="s">
        <v>15241</v>
      </c>
      <c r="Y803" t="s">
        <v>15242</v>
      </c>
      <c r="Z803" t="s">
        <v>15243</v>
      </c>
      <c r="AA803" t="s">
        <v>15244</v>
      </c>
      <c r="AB803" t="s">
        <v>15245</v>
      </c>
      <c r="AC803" t="s">
        <v>15246</v>
      </c>
      <c r="AD803" t="s">
        <v>15247</v>
      </c>
      <c r="AE803" t="s">
        <v>15248</v>
      </c>
      <c r="AF803" t="s">
        <v>74</v>
      </c>
      <c r="AG803">
        <v>76</v>
      </c>
      <c r="AH803">
        <v>78</v>
      </c>
      <c r="AI803">
        <v>83</v>
      </c>
      <c r="AJ803">
        <v>1</v>
      </c>
      <c r="AK803">
        <v>40</v>
      </c>
      <c r="AL803" t="s">
        <v>397</v>
      </c>
      <c r="AM803" t="s">
        <v>398</v>
      </c>
      <c r="AN803" t="s">
        <v>3379</v>
      </c>
      <c r="AO803" t="s">
        <v>3048</v>
      </c>
      <c r="AP803" t="s">
        <v>3049</v>
      </c>
      <c r="AQ803" t="s">
        <v>74</v>
      </c>
      <c r="AR803" t="s">
        <v>3050</v>
      </c>
      <c r="AS803" t="s">
        <v>3051</v>
      </c>
      <c r="AT803" t="s">
        <v>13423</v>
      </c>
      <c r="AU803">
        <v>2016</v>
      </c>
      <c r="AV803">
        <v>29</v>
      </c>
      <c r="AW803">
        <v>13</v>
      </c>
      <c r="AX803" t="s">
        <v>74</v>
      </c>
      <c r="AY803" t="s">
        <v>74</v>
      </c>
      <c r="AZ803" t="s">
        <v>74</v>
      </c>
      <c r="BA803" t="s">
        <v>74</v>
      </c>
      <c r="BB803">
        <v>4817</v>
      </c>
      <c r="BC803">
        <v>4842</v>
      </c>
      <c r="BD803" t="s">
        <v>74</v>
      </c>
      <c r="BE803" t="s">
        <v>15249</v>
      </c>
      <c r="BF803" t="str">
        <f>HYPERLINK("http://dx.doi.org/10.1175/JCLI-D-15-0801.1","http://dx.doi.org/10.1175/JCLI-D-15-0801.1")</f>
        <v>http://dx.doi.org/10.1175/JCLI-D-15-0801.1</v>
      </c>
      <c r="BG803" t="s">
        <v>74</v>
      </c>
      <c r="BH803" t="s">
        <v>74</v>
      </c>
      <c r="BI803">
        <v>26</v>
      </c>
      <c r="BJ803" t="s">
        <v>2482</v>
      </c>
      <c r="BK803" t="s">
        <v>156</v>
      </c>
      <c r="BL803" t="s">
        <v>2482</v>
      </c>
      <c r="BM803" t="s">
        <v>15250</v>
      </c>
      <c r="BN803" t="s">
        <v>74</v>
      </c>
      <c r="BO803" t="s">
        <v>5141</v>
      </c>
      <c r="BP803" t="s">
        <v>74</v>
      </c>
      <c r="BQ803" t="s">
        <v>74</v>
      </c>
      <c r="BR803" t="s">
        <v>105</v>
      </c>
      <c r="BS803" t="s">
        <v>15251</v>
      </c>
      <c r="BT803" t="str">
        <f>HYPERLINK("https%3A%2F%2Fwww.webofscience.com%2Fwos%2Fwoscc%2Ffull-record%2FWOS:000378091900008","View Full Record in Web of Science")</f>
        <v>View Full Record in Web of Science</v>
      </c>
    </row>
    <row r="804" spans="1:72" x14ac:dyDescent="0.15">
      <c r="A804" t="s">
        <v>72</v>
      </c>
      <c r="B804" t="s">
        <v>15252</v>
      </c>
      <c r="C804" t="s">
        <v>74</v>
      </c>
      <c r="D804" t="s">
        <v>74</v>
      </c>
      <c r="E804" t="s">
        <v>74</v>
      </c>
      <c r="F804" t="s">
        <v>15253</v>
      </c>
      <c r="G804" t="s">
        <v>74</v>
      </c>
      <c r="H804" t="s">
        <v>74</v>
      </c>
      <c r="I804" t="s">
        <v>15254</v>
      </c>
      <c r="J804" t="s">
        <v>3036</v>
      </c>
      <c r="K804" t="s">
        <v>74</v>
      </c>
      <c r="L804" t="s">
        <v>74</v>
      </c>
      <c r="M804" t="s">
        <v>78</v>
      </c>
      <c r="N804" t="s">
        <v>79</v>
      </c>
      <c r="O804" t="s">
        <v>74</v>
      </c>
      <c r="P804" t="s">
        <v>74</v>
      </c>
      <c r="Q804" t="s">
        <v>74</v>
      </c>
      <c r="R804" t="s">
        <v>74</v>
      </c>
      <c r="S804" t="s">
        <v>74</v>
      </c>
      <c r="T804" t="s">
        <v>74</v>
      </c>
      <c r="U804" t="s">
        <v>15255</v>
      </c>
      <c r="V804" t="s">
        <v>15256</v>
      </c>
      <c r="W804" t="s">
        <v>15257</v>
      </c>
      <c r="X804" t="s">
        <v>15258</v>
      </c>
      <c r="Y804" t="s">
        <v>15259</v>
      </c>
      <c r="Z804" t="s">
        <v>15260</v>
      </c>
      <c r="AA804" t="s">
        <v>15261</v>
      </c>
      <c r="AB804" t="s">
        <v>15262</v>
      </c>
      <c r="AC804" t="s">
        <v>15263</v>
      </c>
      <c r="AD804" t="s">
        <v>15263</v>
      </c>
      <c r="AE804" t="s">
        <v>15264</v>
      </c>
      <c r="AF804" t="s">
        <v>74</v>
      </c>
      <c r="AG804">
        <v>36</v>
      </c>
      <c r="AH804">
        <v>51</v>
      </c>
      <c r="AI804">
        <v>55</v>
      </c>
      <c r="AJ804">
        <v>1</v>
      </c>
      <c r="AK804">
        <v>32</v>
      </c>
      <c r="AL804" t="s">
        <v>397</v>
      </c>
      <c r="AM804" t="s">
        <v>398</v>
      </c>
      <c r="AN804" t="s">
        <v>399</v>
      </c>
      <c r="AO804" t="s">
        <v>3048</v>
      </c>
      <c r="AP804" t="s">
        <v>3049</v>
      </c>
      <c r="AQ804" t="s">
        <v>74</v>
      </c>
      <c r="AR804" t="s">
        <v>3050</v>
      </c>
      <c r="AS804" t="s">
        <v>3051</v>
      </c>
      <c r="AT804" t="s">
        <v>13423</v>
      </c>
      <c r="AU804">
        <v>2016</v>
      </c>
      <c r="AV804">
        <v>29</v>
      </c>
      <c r="AW804">
        <v>13</v>
      </c>
      <c r="AX804" t="s">
        <v>74</v>
      </c>
      <c r="AY804" t="s">
        <v>74</v>
      </c>
      <c r="AZ804" t="s">
        <v>74</v>
      </c>
      <c r="BA804" t="s">
        <v>74</v>
      </c>
      <c r="BB804">
        <v>4843</v>
      </c>
      <c r="BC804">
        <v>4859</v>
      </c>
      <c r="BD804" t="s">
        <v>74</v>
      </c>
      <c r="BE804" t="s">
        <v>15265</v>
      </c>
      <c r="BF804" t="str">
        <f>HYPERLINK("http://dx.doi.org/10.1175/JCLI-D-15-0629.1","http://dx.doi.org/10.1175/JCLI-D-15-0629.1")</f>
        <v>http://dx.doi.org/10.1175/JCLI-D-15-0629.1</v>
      </c>
      <c r="BG804" t="s">
        <v>74</v>
      </c>
      <c r="BH804" t="s">
        <v>74</v>
      </c>
      <c r="BI804">
        <v>17</v>
      </c>
      <c r="BJ804" t="s">
        <v>2482</v>
      </c>
      <c r="BK804" t="s">
        <v>156</v>
      </c>
      <c r="BL804" t="s">
        <v>2482</v>
      </c>
      <c r="BM804" t="s">
        <v>15250</v>
      </c>
      <c r="BN804" t="s">
        <v>74</v>
      </c>
      <c r="BO804" t="s">
        <v>104</v>
      </c>
      <c r="BP804" t="s">
        <v>74</v>
      </c>
      <c r="BQ804" t="s">
        <v>74</v>
      </c>
      <c r="BR804" t="s">
        <v>105</v>
      </c>
      <c r="BS804" t="s">
        <v>15266</v>
      </c>
      <c r="BT804" t="str">
        <f>HYPERLINK("https%3A%2F%2Fwww.webofscience.com%2Fwos%2Fwoscc%2Ffull-record%2FWOS:000378091900009","View Full Record in Web of Science")</f>
        <v>View Full Record in Web of Science</v>
      </c>
    </row>
    <row r="805" spans="1:72" x14ac:dyDescent="0.15">
      <c r="A805" t="s">
        <v>72</v>
      </c>
      <c r="B805" t="s">
        <v>15267</v>
      </c>
      <c r="C805" t="s">
        <v>74</v>
      </c>
      <c r="D805" t="s">
        <v>74</v>
      </c>
      <c r="E805" t="s">
        <v>74</v>
      </c>
      <c r="F805" t="s">
        <v>15268</v>
      </c>
      <c r="G805" t="s">
        <v>74</v>
      </c>
      <c r="H805" t="s">
        <v>74</v>
      </c>
      <c r="I805" t="s">
        <v>15269</v>
      </c>
      <c r="J805" t="s">
        <v>3036</v>
      </c>
      <c r="K805" t="s">
        <v>74</v>
      </c>
      <c r="L805" t="s">
        <v>74</v>
      </c>
      <c r="M805" t="s">
        <v>78</v>
      </c>
      <c r="N805" t="s">
        <v>79</v>
      </c>
      <c r="O805" t="s">
        <v>74</v>
      </c>
      <c r="P805" t="s">
        <v>74</v>
      </c>
      <c r="Q805" t="s">
        <v>74</v>
      </c>
      <c r="R805" t="s">
        <v>74</v>
      </c>
      <c r="S805" t="s">
        <v>74</v>
      </c>
      <c r="T805" t="s">
        <v>74</v>
      </c>
      <c r="U805" t="s">
        <v>15270</v>
      </c>
      <c r="V805" t="s">
        <v>15271</v>
      </c>
      <c r="W805" t="s">
        <v>15272</v>
      </c>
      <c r="X805" t="s">
        <v>15273</v>
      </c>
      <c r="Y805" t="s">
        <v>15274</v>
      </c>
      <c r="Z805" t="s">
        <v>15275</v>
      </c>
      <c r="AA805" t="s">
        <v>15276</v>
      </c>
      <c r="AB805" t="s">
        <v>74</v>
      </c>
      <c r="AC805" t="s">
        <v>3644</v>
      </c>
      <c r="AD805" t="s">
        <v>3645</v>
      </c>
      <c r="AE805" t="s">
        <v>74</v>
      </c>
      <c r="AF805" t="s">
        <v>74</v>
      </c>
      <c r="AG805">
        <v>22</v>
      </c>
      <c r="AH805">
        <v>40</v>
      </c>
      <c r="AI805">
        <v>41</v>
      </c>
      <c r="AJ805">
        <v>1</v>
      </c>
      <c r="AK805">
        <v>34</v>
      </c>
      <c r="AL805" t="s">
        <v>397</v>
      </c>
      <c r="AM805" t="s">
        <v>398</v>
      </c>
      <c r="AN805" t="s">
        <v>399</v>
      </c>
      <c r="AO805" t="s">
        <v>3048</v>
      </c>
      <c r="AP805" t="s">
        <v>3049</v>
      </c>
      <c r="AQ805" t="s">
        <v>74</v>
      </c>
      <c r="AR805" t="s">
        <v>3050</v>
      </c>
      <c r="AS805" t="s">
        <v>3051</v>
      </c>
      <c r="AT805" t="s">
        <v>13423</v>
      </c>
      <c r="AU805">
        <v>2016</v>
      </c>
      <c r="AV805">
        <v>29</v>
      </c>
      <c r="AW805">
        <v>14</v>
      </c>
      <c r="AX805" t="s">
        <v>74</v>
      </c>
      <c r="AY805" t="s">
        <v>74</v>
      </c>
      <c r="AZ805" t="s">
        <v>74</v>
      </c>
      <c r="BA805" t="s">
        <v>74</v>
      </c>
      <c r="BB805">
        <v>5241</v>
      </c>
      <c r="BC805">
        <v>5249</v>
      </c>
      <c r="BD805" t="s">
        <v>74</v>
      </c>
      <c r="BE805" t="s">
        <v>15277</v>
      </c>
      <c r="BF805" t="str">
        <f>HYPERLINK("http://dx.doi.org/10.1175/JCLI-D-16-0121.1","http://dx.doi.org/10.1175/JCLI-D-16-0121.1")</f>
        <v>http://dx.doi.org/10.1175/JCLI-D-16-0121.1</v>
      </c>
      <c r="BG805" t="s">
        <v>74</v>
      </c>
      <c r="BH805" t="s">
        <v>74</v>
      </c>
      <c r="BI805">
        <v>9</v>
      </c>
      <c r="BJ805" t="s">
        <v>2482</v>
      </c>
      <c r="BK805" t="s">
        <v>156</v>
      </c>
      <c r="BL805" t="s">
        <v>2482</v>
      </c>
      <c r="BM805" t="s">
        <v>15278</v>
      </c>
      <c r="BN805" t="s">
        <v>74</v>
      </c>
      <c r="BO805" t="s">
        <v>3487</v>
      </c>
      <c r="BP805" t="s">
        <v>74</v>
      </c>
      <c r="BQ805" t="s">
        <v>74</v>
      </c>
      <c r="BR805" t="s">
        <v>105</v>
      </c>
      <c r="BS805" t="s">
        <v>15279</v>
      </c>
      <c r="BT805" t="str">
        <f>HYPERLINK("https%3A%2F%2Fwww.webofscience.com%2Fwos%2Fwoscc%2Ffull-record%2FWOS:000379209800011","View Full Record in Web of Science")</f>
        <v>View Full Record in Web of Science</v>
      </c>
    </row>
    <row r="806" spans="1:72" x14ac:dyDescent="0.15">
      <c r="A806" t="s">
        <v>72</v>
      </c>
      <c r="B806" t="s">
        <v>15280</v>
      </c>
      <c r="C806" t="s">
        <v>74</v>
      </c>
      <c r="D806" t="s">
        <v>74</v>
      </c>
      <c r="E806" t="s">
        <v>74</v>
      </c>
      <c r="F806" t="s">
        <v>15281</v>
      </c>
      <c r="G806" t="s">
        <v>74</v>
      </c>
      <c r="H806" t="s">
        <v>74</v>
      </c>
      <c r="I806" t="s">
        <v>15282</v>
      </c>
      <c r="J806" t="s">
        <v>3036</v>
      </c>
      <c r="K806" t="s">
        <v>74</v>
      </c>
      <c r="L806" t="s">
        <v>74</v>
      </c>
      <c r="M806" t="s">
        <v>78</v>
      </c>
      <c r="N806" t="s">
        <v>79</v>
      </c>
      <c r="O806" t="s">
        <v>74</v>
      </c>
      <c r="P806" t="s">
        <v>74</v>
      </c>
      <c r="Q806" t="s">
        <v>74</v>
      </c>
      <c r="R806" t="s">
        <v>74</v>
      </c>
      <c r="S806" t="s">
        <v>74</v>
      </c>
      <c r="T806" t="s">
        <v>74</v>
      </c>
      <c r="U806" t="s">
        <v>15283</v>
      </c>
      <c r="V806" t="s">
        <v>15284</v>
      </c>
      <c r="W806" t="s">
        <v>15285</v>
      </c>
      <c r="X806" t="s">
        <v>15286</v>
      </c>
      <c r="Y806" t="s">
        <v>15287</v>
      </c>
      <c r="Z806" t="s">
        <v>15288</v>
      </c>
      <c r="AA806" t="s">
        <v>15289</v>
      </c>
      <c r="AB806" t="s">
        <v>15290</v>
      </c>
      <c r="AC806" t="s">
        <v>15291</v>
      </c>
      <c r="AD806" t="s">
        <v>15292</v>
      </c>
      <c r="AE806" t="s">
        <v>15293</v>
      </c>
      <c r="AF806" t="s">
        <v>74</v>
      </c>
      <c r="AG806">
        <v>91</v>
      </c>
      <c r="AH806">
        <v>56</v>
      </c>
      <c r="AI806">
        <v>63</v>
      </c>
      <c r="AJ806">
        <v>1</v>
      </c>
      <c r="AK806">
        <v>54</v>
      </c>
      <c r="AL806" t="s">
        <v>397</v>
      </c>
      <c r="AM806" t="s">
        <v>398</v>
      </c>
      <c r="AN806" t="s">
        <v>399</v>
      </c>
      <c r="AO806" t="s">
        <v>3048</v>
      </c>
      <c r="AP806" t="s">
        <v>3049</v>
      </c>
      <c r="AQ806" t="s">
        <v>74</v>
      </c>
      <c r="AR806" t="s">
        <v>3050</v>
      </c>
      <c r="AS806" t="s">
        <v>3051</v>
      </c>
      <c r="AT806" t="s">
        <v>13423</v>
      </c>
      <c r="AU806">
        <v>2016</v>
      </c>
      <c r="AV806">
        <v>29</v>
      </c>
      <c r="AW806">
        <v>14</v>
      </c>
      <c r="AX806" t="s">
        <v>74</v>
      </c>
      <c r="AY806" t="s">
        <v>74</v>
      </c>
      <c r="AZ806" t="s">
        <v>74</v>
      </c>
      <c r="BA806" t="s">
        <v>74</v>
      </c>
      <c r="BB806">
        <v>5317</v>
      </c>
      <c r="BC806">
        <v>5337</v>
      </c>
      <c r="BD806" t="s">
        <v>74</v>
      </c>
      <c r="BE806" t="s">
        <v>15294</v>
      </c>
      <c r="BF806" t="str">
        <f>HYPERLINK("http://dx.doi.org/10.1175/JCLI-D-15-0642.1","http://dx.doi.org/10.1175/JCLI-D-15-0642.1")</f>
        <v>http://dx.doi.org/10.1175/JCLI-D-15-0642.1</v>
      </c>
      <c r="BG806" t="s">
        <v>74</v>
      </c>
      <c r="BH806" t="s">
        <v>74</v>
      </c>
      <c r="BI806">
        <v>21</v>
      </c>
      <c r="BJ806" t="s">
        <v>2482</v>
      </c>
      <c r="BK806" t="s">
        <v>156</v>
      </c>
      <c r="BL806" t="s">
        <v>2482</v>
      </c>
      <c r="BM806" t="s">
        <v>15278</v>
      </c>
      <c r="BN806" t="s">
        <v>74</v>
      </c>
      <c r="BO806" t="s">
        <v>15295</v>
      </c>
      <c r="BP806" t="s">
        <v>74</v>
      </c>
      <c r="BQ806" t="s">
        <v>74</v>
      </c>
      <c r="BR806" t="s">
        <v>105</v>
      </c>
      <c r="BS806" t="s">
        <v>15296</v>
      </c>
      <c r="BT806" t="str">
        <f>HYPERLINK("https%3A%2F%2Fwww.webofscience.com%2Fwos%2Fwoscc%2Ffull-record%2FWOS:000379209800016","View Full Record in Web of Science")</f>
        <v>View Full Record in Web of Science</v>
      </c>
    </row>
    <row r="807" spans="1:72" x14ac:dyDescent="0.15">
      <c r="A807" t="s">
        <v>72</v>
      </c>
      <c r="B807" t="s">
        <v>15297</v>
      </c>
      <c r="C807" t="s">
        <v>74</v>
      </c>
      <c r="D807" t="s">
        <v>74</v>
      </c>
      <c r="E807" t="s">
        <v>74</v>
      </c>
      <c r="F807" t="s">
        <v>15298</v>
      </c>
      <c r="G807" t="s">
        <v>74</v>
      </c>
      <c r="H807" t="s">
        <v>74</v>
      </c>
      <c r="I807" t="s">
        <v>15299</v>
      </c>
      <c r="J807" t="s">
        <v>14080</v>
      </c>
      <c r="K807" t="s">
        <v>74</v>
      </c>
      <c r="L807" t="s">
        <v>74</v>
      </c>
      <c r="M807" t="s">
        <v>78</v>
      </c>
      <c r="N807" t="s">
        <v>587</v>
      </c>
      <c r="O807" t="s">
        <v>74</v>
      </c>
      <c r="P807" t="s">
        <v>74</v>
      </c>
      <c r="Q807" t="s">
        <v>74</v>
      </c>
      <c r="R807" t="s">
        <v>74</v>
      </c>
      <c r="S807" t="s">
        <v>74</v>
      </c>
      <c r="T807" t="s">
        <v>15300</v>
      </c>
      <c r="U807" t="s">
        <v>15301</v>
      </c>
      <c r="V807" t="s">
        <v>15302</v>
      </c>
      <c r="W807" t="s">
        <v>15303</v>
      </c>
      <c r="X807" t="s">
        <v>15304</v>
      </c>
      <c r="Y807" t="s">
        <v>15305</v>
      </c>
      <c r="Z807" t="s">
        <v>15306</v>
      </c>
      <c r="AA807" t="s">
        <v>15307</v>
      </c>
      <c r="AB807" t="s">
        <v>15308</v>
      </c>
      <c r="AC807" t="s">
        <v>15309</v>
      </c>
      <c r="AD807" t="s">
        <v>8242</v>
      </c>
      <c r="AE807" t="s">
        <v>74</v>
      </c>
      <c r="AF807" t="s">
        <v>74</v>
      </c>
      <c r="AG807">
        <v>25</v>
      </c>
      <c r="AH807">
        <v>0</v>
      </c>
      <c r="AI807">
        <v>0</v>
      </c>
      <c r="AJ807">
        <v>0</v>
      </c>
      <c r="AK807">
        <v>4</v>
      </c>
      <c r="AL807" t="s">
        <v>14090</v>
      </c>
      <c r="AM807" t="s">
        <v>14091</v>
      </c>
      <c r="AN807" t="s">
        <v>14092</v>
      </c>
      <c r="AO807" t="s">
        <v>14093</v>
      </c>
      <c r="AP807" t="s">
        <v>14094</v>
      </c>
      <c r="AQ807" t="s">
        <v>74</v>
      </c>
      <c r="AR807" t="s">
        <v>14095</v>
      </c>
      <c r="AS807" t="s">
        <v>14096</v>
      </c>
      <c r="AT807" t="s">
        <v>13423</v>
      </c>
      <c r="AU807">
        <v>2016</v>
      </c>
      <c r="AV807">
        <v>32</v>
      </c>
      <c r="AW807">
        <v>4</v>
      </c>
      <c r="AX807" t="s">
        <v>74</v>
      </c>
      <c r="AY807" t="s">
        <v>74</v>
      </c>
      <c r="AZ807" t="s">
        <v>74</v>
      </c>
      <c r="BA807" t="s">
        <v>74</v>
      </c>
      <c r="BB807">
        <v>992</v>
      </c>
      <c r="BC807">
        <v>997</v>
      </c>
      <c r="BD807" t="s">
        <v>74</v>
      </c>
      <c r="BE807" t="s">
        <v>15310</v>
      </c>
      <c r="BF807" t="str">
        <f>HYPERLINK("http://dx.doi.org/10.2112/JCOASTRES-D-16A-00005.1","http://dx.doi.org/10.2112/JCOASTRES-D-16A-00005.1")</f>
        <v>http://dx.doi.org/10.2112/JCOASTRES-D-16A-00005.1</v>
      </c>
      <c r="BG807" t="s">
        <v>74</v>
      </c>
      <c r="BH807" t="s">
        <v>74</v>
      </c>
      <c r="BI807">
        <v>6</v>
      </c>
      <c r="BJ807" t="s">
        <v>3193</v>
      </c>
      <c r="BK807" t="s">
        <v>156</v>
      </c>
      <c r="BL807" t="s">
        <v>3194</v>
      </c>
      <c r="BM807" t="s">
        <v>14098</v>
      </c>
      <c r="BN807" t="s">
        <v>74</v>
      </c>
      <c r="BO807" t="s">
        <v>258</v>
      </c>
      <c r="BP807" t="s">
        <v>74</v>
      </c>
      <c r="BQ807" t="s">
        <v>74</v>
      </c>
      <c r="BR807" t="s">
        <v>105</v>
      </c>
      <c r="BS807" t="s">
        <v>15311</v>
      </c>
      <c r="BT807" t="str">
        <f>HYPERLINK("https%3A%2F%2Fwww.webofscience.com%2Fwos%2Fwoscc%2Ffull-record%2FWOS:000380832400025","View Full Record in Web of Science")</f>
        <v>View Full Record in Web of Science</v>
      </c>
    </row>
    <row r="808" spans="1:72" x14ac:dyDescent="0.15">
      <c r="A808" t="s">
        <v>72</v>
      </c>
      <c r="B808" t="s">
        <v>15312</v>
      </c>
      <c r="C808" t="s">
        <v>74</v>
      </c>
      <c r="D808" t="s">
        <v>74</v>
      </c>
      <c r="E808" t="s">
        <v>74</v>
      </c>
      <c r="F808" t="s">
        <v>15313</v>
      </c>
      <c r="G808" t="s">
        <v>74</v>
      </c>
      <c r="H808" t="s">
        <v>74</v>
      </c>
      <c r="I808" t="s">
        <v>15314</v>
      </c>
      <c r="J808" t="s">
        <v>334</v>
      </c>
      <c r="K808" t="s">
        <v>74</v>
      </c>
      <c r="L808" t="s">
        <v>74</v>
      </c>
      <c r="M808" t="s">
        <v>78</v>
      </c>
      <c r="N808" t="s">
        <v>79</v>
      </c>
      <c r="O808" t="s">
        <v>74</v>
      </c>
      <c r="P808" t="s">
        <v>74</v>
      </c>
      <c r="Q808" t="s">
        <v>74</v>
      </c>
      <c r="R808" t="s">
        <v>74</v>
      </c>
      <c r="S808" t="s">
        <v>74</v>
      </c>
      <c r="T808" t="s">
        <v>15315</v>
      </c>
      <c r="U808" t="s">
        <v>15316</v>
      </c>
      <c r="V808" t="s">
        <v>15317</v>
      </c>
      <c r="W808" t="s">
        <v>15318</v>
      </c>
      <c r="X808" t="s">
        <v>15319</v>
      </c>
      <c r="Y808" t="s">
        <v>15320</v>
      </c>
      <c r="Z808" t="s">
        <v>15321</v>
      </c>
      <c r="AA808" t="s">
        <v>15322</v>
      </c>
      <c r="AB808" t="s">
        <v>15323</v>
      </c>
      <c r="AC808" t="s">
        <v>15324</v>
      </c>
      <c r="AD808" t="s">
        <v>15325</v>
      </c>
      <c r="AE808" t="s">
        <v>15326</v>
      </c>
      <c r="AF808" t="s">
        <v>74</v>
      </c>
      <c r="AG808">
        <v>69</v>
      </c>
      <c r="AH808">
        <v>17</v>
      </c>
      <c r="AI808">
        <v>21</v>
      </c>
      <c r="AJ808">
        <v>0</v>
      </c>
      <c r="AK808">
        <v>14</v>
      </c>
      <c r="AL808" t="s">
        <v>149</v>
      </c>
      <c r="AM808" t="s">
        <v>123</v>
      </c>
      <c r="AN808" t="s">
        <v>150</v>
      </c>
      <c r="AO808" t="s">
        <v>347</v>
      </c>
      <c r="AP808" t="s">
        <v>348</v>
      </c>
      <c r="AQ808" t="s">
        <v>74</v>
      </c>
      <c r="AR808" t="s">
        <v>349</v>
      </c>
      <c r="AS808" t="s">
        <v>350</v>
      </c>
      <c r="AT808" t="s">
        <v>13423</v>
      </c>
      <c r="AU808">
        <v>2016</v>
      </c>
      <c r="AV808">
        <v>121</v>
      </c>
      <c r="AW808">
        <v>7</v>
      </c>
      <c r="AX808" t="s">
        <v>74</v>
      </c>
      <c r="AY808" t="s">
        <v>74</v>
      </c>
      <c r="AZ808" t="s">
        <v>74</v>
      </c>
      <c r="BA808" t="s">
        <v>74</v>
      </c>
      <c r="BB808">
        <v>1295</v>
      </c>
      <c r="BC808">
        <v>1309</v>
      </c>
      <c r="BD808" t="s">
        <v>74</v>
      </c>
      <c r="BE808" t="s">
        <v>15327</v>
      </c>
      <c r="BF808" t="str">
        <f>HYPERLINK("http://dx.doi.org/10.1002/2016JF003863","http://dx.doi.org/10.1002/2016JF003863")</f>
        <v>http://dx.doi.org/10.1002/2016JF003863</v>
      </c>
      <c r="BG808" t="s">
        <v>74</v>
      </c>
      <c r="BH808" t="s">
        <v>74</v>
      </c>
      <c r="BI808">
        <v>15</v>
      </c>
      <c r="BJ808" t="s">
        <v>352</v>
      </c>
      <c r="BK808" t="s">
        <v>156</v>
      </c>
      <c r="BL808" t="s">
        <v>177</v>
      </c>
      <c r="BM808" t="s">
        <v>13996</v>
      </c>
      <c r="BN808" t="s">
        <v>74</v>
      </c>
      <c r="BO808" t="s">
        <v>258</v>
      </c>
      <c r="BP808" t="s">
        <v>74</v>
      </c>
      <c r="BQ808" t="s">
        <v>74</v>
      </c>
      <c r="BR808" t="s">
        <v>105</v>
      </c>
      <c r="BS808" t="s">
        <v>15328</v>
      </c>
      <c r="BT808" t="str">
        <f>HYPERLINK("https%3A%2F%2Fwww.webofscience.com%2Fwos%2Fwoscc%2Ffull-record%2FWOS:000382581200006","View Full Record in Web of Science")</f>
        <v>View Full Record in Web of Science</v>
      </c>
    </row>
    <row r="809" spans="1:72" x14ac:dyDescent="0.15">
      <c r="A809" t="s">
        <v>72</v>
      </c>
      <c r="B809" t="s">
        <v>15329</v>
      </c>
      <c r="C809" t="s">
        <v>74</v>
      </c>
      <c r="D809" t="s">
        <v>74</v>
      </c>
      <c r="E809" t="s">
        <v>74</v>
      </c>
      <c r="F809" t="s">
        <v>15330</v>
      </c>
      <c r="G809" t="s">
        <v>74</v>
      </c>
      <c r="H809" t="s">
        <v>74</v>
      </c>
      <c r="I809" t="s">
        <v>15331</v>
      </c>
      <c r="J809" t="s">
        <v>3970</v>
      </c>
      <c r="K809" t="s">
        <v>74</v>
      </c>
      <c r="L809" t="s">
        <v>74</v>
      </c>
      <c r="M809" t="s">
        <v>78</v>
      </c>
      <c r="N809" t="s">
        <v>79</v>
      </c>
      <c r="O809" t="s">
        <v>74</v>
      </c>
      <c r="P809" t="s">
        <v>74</v>
      </c>
      <c r="Q809" t="s">
        <v>74</v>
      </c>
      <c r="R809" t="s">
        <v>74</v>
      </c>
      <c r="S809" t="s">
        <v>74</v>
      </c>
      <c r="T809" t="s">
        <v>15332</v>
      </c>
      <c r="U809" t="s">
        <v>15333</v>
      </c>
      <c r="V809" t="s">
        <v>15334</v>
      </c>
      <c r="W809" t="s">
        <v>15335</v>
      </c>
      <c r="X809" t="s">
        <v>15336</v>
      </c>
      <c r="Y809" t="s">
        <v>15337</v>
      </c>
      <c r="Z809" t="s">
        <v>15338</v>
      </c>
      <c r="AA809" t="s">
        <v>15339</v>
      </c>
      <c r="AB809" t="s">
        <v>15340</v>
      </c>
      <c r="AC809" t="s">
        <v>15341</v>
      </c>
      <c r="AD809" t="s">
        <v>15342</v>
      </c>
      <c r="AE809" t="s">
        <v>15343</v>
      </c>
      <c r="AF809" t="s">
        <v>74</v>
      </c>
      <c r="AG809">
        <v>43</v>
      </c>
      <c r="AH809">
        <v>3</v>
      </c>
      <c r="AI809">
        <v>6</v>
      </c>
      <c r="AJ809">
        <v>1</v>
      </c>
      <c r="AK809">
        <v>16</v>
      </c>
      <c r="AL809" t="s">
        <v>449</v>
      </c>
      <c r="AM809" t="s">
        <v>450</v>
      </c>
      <c r="AN809" t="s">
        <v>451</v>
      </c>
      <c r="AO809" t="s">
        <v>3983</v>
      </c>
      <c r="AP809" t="s">
        <v>3984</v>
      </c>
      <c r="AQ809" t="s">
        <v>74</v>
      </c>
      <c r="AR809" t="s">
        <v>3985</v>
      </c>
      <c r="AS809" t="s">
        <v>3986</v>
      </c>
      <c r="AT809" t="s">
        <v>13423</v>
      </c>
      <c r="AU809">
        <v>2016</v>
      </c>
      <c r="AV809">
        <v>157</v>
      </c>
      <c r="AW809">
        <v>3</v>
      </c>
      <c r="AX809" t="s">
        <v>74</v>
      </c>
      <c r="AY809" t="s">
        <v>74</v>
      </c>
      <c r="AZ809" t="s">
        <v>74</v>
      </c>
      <c r="BA809" t="s">
        <v>74</v>
      </c>
      <c r="BB809">
        <v>663</v>
      </c>
      <c r="BC809">
        <v>669</v>
      </c>
      <c r="BD809" t="s">
        <v>74</v>
      </c>
      <c r="BE809" t="s">
        <v>15344</v>
      </c>
      <c r="BF809" t="str">
        <f>HYPERLINK("http://dx.doi.org/10.1007/s10336-015-1319-x","http://dx.doi.org/10.1007/s10336-015-1319-x")</f>
        <v>http://dx.doi.org/10.1007/s10336-015-1319-x</v>
      </c>
      <c r="BG809" t="s">
        <v>74</v>
      </c>
      <c r="BH809" t="s">
        <v>74</v>
      </c>
      <c r="BI809">
        <v>7</v>
      </c>
      <c r="BJ809" t="s">
        <v>3988</v>
      </c>
      <c r="BK809" t="s">
        <v>156</v>
      </c>
      <c r="BL809" t="s">
        <v>3306</v>
      </c>
      <c r="BM809" t="s">
        <v>13917</v>
      </c>
      <c r="BN809" t="s">
        <v>74</v>
      </c>
      <c r="BO809" t="s">
        <v>74</v>
      </c>
      <c r="BP809" t="s">
        <v>74</v>
      </c>
      <c r="BQ809" t="s">
        <v>74</v>
      </c>
      <c r="BR809" t="s">
        <v>105</v>
      </c>
      <c r="BS809" t="s">
        <v>15345</v>
      </c>
      <c r="BT809" t="str">
        <f>HYPERLINK("https%3A%2F%2Fwww.webofscience.com%2Fwos%2Fwoscc%2Ffull-record%2FWOS:000382943900002","View Full Record in Web of Science")</f>
        <v>View Full Record in Web of Science</v>
      </c>
    </row>
    <row r="810" spans="1:72" x14ac:dyDescent="0.15">
      <c r="A810" t="s">
        <v>72</v>
      </c>
      <c r="B810" t="s">
        <v>15346</v>
      </c>
      <c r="C810" t="s">
        <v>74</v>
      </c>
      <c r="D810" t="s">
        <v>74</v>
      </c>
      <c r="E810" t="s">
        <v>74</v>
      </c>
      <c r="F810" t="s">
        <v>15347</v>
      </c>
      <c r="G810" t="s">
        <v>74</v>
      </c>
      <c r="H810" t="s">
        <v>74</v>
      </c>
      <c r="I810" t="s">
        <v>15348</v>
      </c>
      <c r="J810" t="s">
        <v>385</v>
      </c>
      <c r="K810" t="s">
        <v>74</v>
      </c>
      <c r="L810" t="s">
        <v>74</v>
      </c>
      <c r="M810" t="s">
        <v>78</v>
      </c>
      <c r="N810" t="s">
        <v>79</v>
      </c>
      <c r="O810" t="s">
        <v>74</v>
      </c>
      <c r="P810" t="s">
        <v>74</v>
      </c>
      <c r="Q810" t="s">
        <v>74</v>
      </c>
      <c r="R810" t="s">
        <v>74</v>
      </c>
      <c r="S810" t="s">
        <v>74</v>
      </c>
      <c r="T810" t="s">
        <v>74</v>
      </c>
      <c r="U810" t="s">
        <v>15349</v>
      </c>
      <c r="V810" t="s">
        <v>15350</v>
      </c>
      <c r="W810" t="s">
        <v>15351</v>
      </c>
      <c r="X810" t="s">
        <v>15352</v>
      </c>
      <c r="Y810" t="s">
        <v>15353</v>
      </c>
      <c r="Z810" t="s">
        <v>15354</v>
      </c>
      <c r="AA810" t="s">
        <v>15355</v>
      </c>
      <c r="AB810" t="s">
        <v>15356</v>
      </c>
      <c r="AC810" t="s">
        <v>15357</v>
      </c>
      <c r="AD810" t="s">
        <v>15358</v>
      </c>
      <c r="AE810" t="s">
        <v>15359</v>
      </c>
      <c r="AF810" t="s">
        <v>74</v>
      </c>
      <c r="AG810">
        <v>67</v>
      </c>
      <c r="AH810">
        <v>132</v>
      </c>
      <c r="AI810">
        <v>134</v>
      </c>
      <c r="AJ810">
        <v>0</v>
      </c>
      <c r="AK810">
        <v>48</v>
      </c>
      <c r="AL810" t="s">
        <v>397</v>
      </c>
      <c r="AM810" t="s">
        <v>398</v>
      </c>
      <c r="AN810" t="s">
        <v>399</v>
      </c>
      <c r="AO810" t="s">
        <v>400</v>
      </c>
      <c r="AP810" t="s">
        <v>401</v>
      </c>
      <c r="AQ810" t="s">
        <v>74</v>
      </c>
      <c r="AR810" t="s">
        <v>402</v>
      </c>
      <c r="AS810" t="s">
        <v>403</v>
      </c>
      <c r="AT810" t="s">
        <v>13423</v>
      </c>
      <c r="AU810">
        <v>2016</v>
      </c>
      <c r="AV810">
        <v>46</v>
      </c>
      <c r="AW810">
        <v>7</v>
      </c>
      <c r="AX810" t="s">
        <v>74</v>
      </c>
      <c r="AY810" t="s">
        <v>74</v>
      </c>
      <c r="AZ810" t="s">
        <v>74</v>
      </c>
      <c r="BA810" t="s">
        <v>74</v>
      </c>
      <c r="BB810">
        <v>2239</v>
      </c>
      <c r="BC810">
        <v>2261</v>
      </c>
      <c r="BD810" t="s">
        <v>74</v>
      </c>
      <c r="BE810" t="s">
        <v>15360</v>
      </c>
      <c r="BF810" t="str">
        <f>HYPERLINK("http://dx.doi.org/10.1175/JPO-D-15-0244.1","http://dx.doi.org/10.1175/JPO-D-15-0244.1")</f>
        <v>http://dx.doi.org/10.1175/JPO-D-15-0244.1</v>
      </c>
      <c r="BG810" t="s">
        <v>74</v>
      </c>
      <c r="BH810" t="s">
        <v>74</v>
      </c>
      <c r="BI810">
        <v>23</v>
      </c>
      <c r="BJ810" t="s">
        <v>405</v>
      </c>
      <c r="BK810" t="s">
        <v>156</v>
      </c>
      <c r="BL810" t="s">
        <v>405</v>
      </c>
      <c r="BM810" t="s">
        <v>15361</v>
      </c>
      <c r="BN810" t="s">
        <v>74</v>
      </c>
      <c r="BO810" t="s">
        <v>3229</v>
      </c>
      <c r="BP810" t="s">
        <v>74</v>
      </c>
      <c r="BQ810" t="s">
        <v>74</v>
      </c>
      <c r="BR810" t="s">
        <v>105</v>
      </c>
      <c r="BS810" t="s">
        <v>15362</v>
      </c>
      <c r="BT810" t="str">
        <f>HYPERLINK("https%3A%2F%2Fwww.webofscience.com%2Fwos%2Fwoscc%2Ffull-record%2FWOS:000380800100006","View Full Record in Web of Science")</f>
        <v>View Full Record in Web of Science</v>
      </c>
    </row>
    <row r="811" spans="1:72" x14ac:dyDescent="0.15">
      <c r="A811" t="s">
        <v>72</v>
      </c>
      <c r="B811" t="s">
        <v>15363</v>
      </c>
      <c r="C811" t="s">
        <v>74</v>
      </c>
      <c r="D811" t="s">
        <v>74</v>
      </c>
      <c r="E811" t="s">
        <v>74</v>
      </c>
      <c r="F811" t="s">
        <v>15364</v>
      </c>
      <c r="G811" t="s">
        <v>74</v>
      </c>
      <c r="H811" t="s">
        <v>74</v>
      </c>
      <c r="I811" t="s">
        <v>15365</v>
      </c>
      <c r="J811" t="s">
        <v>4011</v>
      </c>
      <c r="K811" t="s">
        <v>74</v>
      </c>
      <c r="L811" t="s">
        <v>74</v>
      </c>
      <c r="M811" t="s">
        <v>78</v>
      </c>
      <c r="N811" t="s">
        <v>79</v>
      </c>
      <c r="O811" t="s">
        <v>74</v>
      </c>
      <c r="P811" t="s">
        <v>74</v>
      </c>
      <c r="Q811" t="s">
        <v>74</v>
      </c>
      <c r="R811" t="s">
        <v>74</v>
      </c>
      <c r="S811" t="s">
        <v>74</v>
      </c>
      <c r="T811" t="s">
        <v>74</v>
      </c>
      <c r="U811" t="s">
        <v>15366</v>
      </c>
      <c r="V811" t="s">
        <v>15367</v>
      </c>
      <c r="W811" t="s">
        <v>15368</v>
      </c>
      <c r="X811" t="s">
        <v>15369</v>
      </c>
      <c r="Y811" t="s">
        <v>15370</v>
      </c>
      <c r="Z811" t="s">
        <v>15371</v>
      </c>
      <c r="AA811" t="s">
        <v>15372</v>
      </c>
      <c r="AB811" t="s">
        <v>15373</v>
      </c>
      <c r="AC811" t="s">
        <v>15374</v>
      </c>
      <c r="AD811" t="s">
        <v>15375</v>
      </c>
      <c r="AE811" t="s">
        <v>15376</v>
      </c>
      <c r="AF811" t="s">
        <v>74</v>
      </c>
      <c r="AG811">
        <v>65</v>
      </c>
      <c r="AH811">
        <v>21</v>
      </c>
      <c r="AI811">
        <v>21</v>
      </c>
      <c r="AJ811">
        <v>2</v>
      </c>
      <c r="AK811">
        <v>25</v>
      </c>
      <c r="AL811" t="s">
        <v>4021</v>
      </c>
      <c r="AM811" t="s">
        <v>4022</v>
      </c>
      <c r="AN811" t="s">
        <v>4023</v>
      </c>
      <c r="AO811" t="s">
        <v>4024</v>
      </c>
      <c r="AP811" t="s">
        <v>4025</v>
      </c>
      <c r="AQ811" t="s">
        <v>74</v>
      </c>
      <c r="AR811" t="s">
        <v>4026</v>
      </c>
      <c r="AS811" t="s">
        <v>4027</v>
      </c>
      <c r="AT811" t="s">
        <v>13423</v>
      </c>
      <c r="AU811">
        <v>2016</v>
      </c>
      <c r="AV811">
        <v>140</v>
      </c>
      <c r="AW811">
        <v>1</v>
      </c>
      <c r="AX811" t="s">
        <v>74</v>
      </c>
      <c r="AY811" t="s">
        <v>74</v>
      </c>
      <c r="AZ811" t="s">
        <v>74</v>
      </c>
      <c r="BA811" t="s">
        <v>74</v>
      </c>
      <c r="BB811">
        <v>322</v>
      </c>
      <c r="BC811">
        <v>333</v>
      </c>
      <c r="BD811" t="s">
        <v>74</v>
      </c>
      <c r="BE811" t="s">
        <v>15377</v>
      </c>
      <c r="BF811" t="str">
        <f>HYPERLINK("http://dx.doi.org/10.1121/1.4955066","http://dx.doi.org/10.1121/1.4955066")</f>
        <v>http://dx.doi.org/10.1121/1.4955066</v>
      </c>
      <c r="BG811" t="s">
        <v>74</v>
      </c>
      <c r="BH811" t="s">
        <v>74</v>
      </c>
      <c r="BI811">
        <v>12</v>
      </c>
      <c r="BJ811" t="s">
        <v>4029</v>
      </c>
      <c r="BK811" t="s">
        <v>156</v>
      </c>
      <c r="BL811" t="s">
        <v>4029</v>
      </c>
      <c r="BM811" t="s">
        <v>15378</v>
      </c>
      <c r="BN811">
        <v>27475156</v>
      </c>
      <c r="BO811" t="s">
        <v>74</v>
      </c>
      <c r="BP811" t="s">
        <v>74</v>
      </c>
      <c r="BQ811" t="s">
        <v>74</v>
      </c>
      <c r="BR811" t="s">
        <v>105</v>
      </c>
      <c r="BS811" t="s">
        <v>15379</v>
      </c>
      <c r="BT811" t="str">
        <f>HYPERLINK("https%3A%2F%2Fwww.webofscience.com%2Fwos%2Fwoscc%2Ffull-record%2FWOS:000382406500054","View Full Record in Web of Science")</f>
        <v>View Full Record in Web of Science</v>
      </c>
    </row>
    <row r="812" spans="1:72" x14ac:dyDescent="0.15">
      <c r="A812" t="s">
        <v>72</v>
      </c>
      <c r="B812" t="s">
        <v>15380</v>
      </c>
      <c r="C812" t="s">
        <v>74</v>
      </c>
      <c r="D812" t="s">
        <v>74</v>
      </c>
      <c r="E812" t="s">
        <v>74</v>
      </c>
      <c r="F812" t="s">
        <v>15381</v>
      </c>
      <c r="G812" t="s">
        <v>74</v>
      </c>
      <c r="H812" t="s">
        <v>74</v>
      </c>
      <c r="I812" t="s">
        <v>15382</v>
      </c>
      <c r="J812" t="s">
        <v>7065</v>
      </c>
      <c r="K812" t="s">
        <v>74</v>
      </c>
      <c r="L812" t="s">
        <v>74</v>
      </c>
      <c r="M812" t="s">
        <v>78</v>
      </c>
      <c r="N812" t="s">
        <v>79</v>
      </c>
      <c r="O812" t="s">
        <v>74</v>
      </c>
      <c r="P812" t="s">
        <v>74</v>
      </c>
      <c r="Q812" t="s">
        <v>74</v>
      </c>
      <c r="R812" t="s">
        <v>74</v>
      </c>
      <c r="S812" t="s">
        <v>74</v>
      </c>
      <c r="T812" t="s">
        <v>74</v>
      </c>
      <c r="U812" t="s">
        <v>15383</v>
      </c>
      <c r="V812" t="s">
        <v>15384</v>
      </c>
      <c r="W812" t="s">
        <v>15385</v>
      </c>
      <c r="X812" t="s">
        <v>15386</v>
      </c>
      <c r="Y812" t="s">
        <v>15387</v>
      </c>
      <c r="Z812" t="s">
        <v>7684</v>
      </c>
      <c r="AA812" t="s">
        <v>15388</v>
      </c>
      <c r="AB812" t="s">
        <v>15389</v>
      </c>
      <c r="AC812" t="s">
        <v>15390</v>
      </c>
      <c r="AD812" t="s">
        <v>15391</v>
      </c>
      <c r="AE812" t="s">
        <v>15392</v>
      </c>
      <c r="AF812" t="s">
        <v>74</v>
      </c>
      <c r="AG812">
        <v>109</v>
      </c>
      <c r="AH812">
        <v>12</v>
      </c>
      <c r="AI812">
        <v>13</v>
      </c>
      <c r="AJ812">
        <v>0</v>
      </c>
      <c r="AK812">
        <v>24</v>
      </c>
      <c r="AL812" t="s">
        <v>501</v>
      </c>
      <c r="AM812" t="s">
        <v>502</v>
      </c>
      <c r="AN812" t="s">
        <v>503</v>
      </c>
      <c r="AO812" t="s">
        <v>7076</v>
      </c>
      <c r="AP812" t="s">
        <v>7077</v>
      </c>
      <c r="AQ812" t="s">
        <v>74</v>
      </c>
      <c r="AR812" t="s">
        <v>7078</v>
      </c>
      <c r="AS812" t="s">
        <v>7079</v>
      </c>
      <c r="AT812" t="s">
        <v>13423</v>
      </c>
      <c r="AU812">
        <v>2016</v>
      </c>
      <c r="AV812">
        <v>61</v>
      </c>
      <c r="AW812">
        <v>4</v>
      </c>
      <c r="AX812" t="s">
        <v>74</v>
      </c>
      <c r="AY812" t="s">
        <v>74</v>
      </c>
      <c r="AZ812" t="s">
        <v>74</v>
      </c>
      <c r="BA812" t="s">
        <v>74</v>
      </c>
      <c r="BB812">
        <v>1301</v>
      </c>
      <c r="BC812">
        <v>1321</v>
      </c>
      <c r="BD812" t="s">
        <v>74</v>
      </c>
      <c r="BE812" t="s">
        <v>15393</v>
      </c>
      <c r="BF812" t="str">
        <f>HYPERLINK("http://dx.doi.org/10.1002/lno.10291","http://dx.doi.org/10.1002/lno.10291")</f>
        <v>http://dx.doi.org/10.1002/lno.10291</v>
      </c>
      <c r="BG812" t="s">
        <v>74</v>
      </c>
      <c r="BH812" t="s">
        <v>74</v>
      </c>
      <c r="BI812">
        <v>21</v>
      </c>
      <c r="BJ812" t="s">
        <v>4051</v>
      </c>
      <c r="BK812" t="s">
        <v>156</v>
      </c>
      <c r="BL812" t="s">
        <v>2120</v>
      </c>
      <c r="BM812" t="s">
        <v>15394</v>
      </c>
      <c r="BN812" t="s">
        <v>74</v>
      </c>
      <c r="BO812" t="s">
        <v>1494</v>
      </c>
      <c r="BP812" t="s">
        <v>74</v>
      </c>
      <c r="BQ812" t="s">
        <v>74</v>
      </c>
      <c r="BR812" t="s">
        <v>105</v>
      </c>
      <c r="BS812" t="s">
        <v>15395</v>
      </c>
      <c r="BT812" t="str">
        <f>HYPERLINK("https%3A%2F%2Fwww.webofscience.com%2Fwos%2Fwoscc%2Ffull-record%2FWOS:000383622900012","View Full Record in Web of Science")</f>
        <v>View Full Record in Web of Science</v>
      </c>
    </row>
    <row r="813" spans="1:72" x14ac:dyDescent="0.15">
      <c r="A813" t="s">
        <v>72</v>
      </c>
      <c r="B813" t="s">
        <v>15396</v>
      </c>
      <c r="C813" t="s">
        <v>74</v>
      </c>
      <c r="D813" t="s">
        <v>74</v>
      </c>
      <c r="E813" t="s">
        <v>74</v>
      </c>
      <c r="F813" t="s">
        <v>15397</v>
      </c>
      <c r="G813" t="s">
        <v>74</v>
      </c>
      <c r="H813" t="s">
        <v>74</v>
      </c>
      <c r="I813" t="s">
        <v>15398</v>
      </c>
      <c r="J813" t="s">
        <v>4106</v>
      </c>
      <c r="K813" t="s">
        <v>74</v>
      </c>
      <c r="L813" t="s">
        <v>74</v>
      </c>
      <c r="M813" t="s">
        <v>78</v>
      </c>
      <c r="N813" t="s">
        <v>79</v>
      </c>
      <c r="O813" t="s">
        <v>74</v>
      </c>
      <c r="P813" t="s">
        <v>74</v>
      </c>
      <c r="Q813" t="s">
        <v>74</v>
      </c>
      <c r="R813" t="s">
        <v>74</v>
      </c>
      <c r="S813" t="s">
        <v>74</v>
      </c>
      <c r="T813" t="s">
        <v>15399</v>
      </c>
      <c r="U813" t="s">
        <v>15400</v>
      </c>
      <c r="V813" t="s">
        <v>15401</v>
      </c>
      <c r="W813" t="s">
        <v>15402</v>
      </c>
      <c r="X813" t="s">
        <v>15403</v>
      </c>
      <c r="Y813" t="s">
        <v>15404</v>
      </c>
      <c r="Z813" t="s">
        <v>15405</v>
      </c>
      <c r="AA813" t="s">
        <v>74</v>
      </c>
      <c r="AB813" t="s">
        <v>15406</v>
      </c>
      <c r="AC813" t="s">
        <v>15407</v>
      </c>
      <c r="AD813" t="s">
        <v>15408</v>
      </c>
      <c r="AE813" t="s">
        <v>15409</v>
      </c>
      <c r="AF813" t="s">
        <v>74</v>
      </c>
      <c r="AG813">
        <v>152</v>
      </c>
      <c r="AH813">
        <v>20</v>
      </c>
      <c r="AI813">
        <v>22</v>
      </c>
      <c r="AJ813">
        <v>3</v>
      </c>
      <c r="AK813">
        <v>198</v>
      </c>
      <c r="AL813" t="s">
        <v>501</v>
      </c>
      <c r="AM813" t="s">
        <v>502</v>
      </c>
      <c r="AN813" t="s">
        <v>503</v>
      </c>
      <c r="AO813" t="s">
        <v>4117</v>
      </c>
      <c r="AP813" t="s">
        <v>4118</v>
      </c>
      <c r="AQ813" t="s">
        <v>74</v>
      </c>
      <c r="AR813" t="s">
        <v>4119</v>
      </c>
      <c r="AS813" t="s">
        <v>4120</v>
      </c>
      <c r="AT813" t="s">
        <v>13423</v>
      </c>
      <c r="AU813">
        <v>2016</v>
      </c>
      <c r="AV813">
        <v>32</v>
      </c>
      <c r="AW813">
        <v>3</v>
      </c>
      <c r="AX813" t="s">
        <v>74</v>
      </c>
      <c r="AY813" t="s">
        <v>74</v>
      </c>
      <c r="AZ813" t="s">
        <v>74</v>
      </c>
      <c r="BA813" t="s">
        <v>74</v>
      </c>
      <c r="BB813">
        <v>839</v>
      </c>
      <c r="BC813">
        <v>867</v>
      </c>
      <c r="BD813" t="s">
        <v>74</v>
      </c>
      <c r="BE813" t="s">
        <v>15410</v>
      </c>
      <c r="BF813" t="str">
        <f>HYPERLINK("http://dx.doi.org/10.1111/mms.12309","http://dx.doi.org/10.1111/mms.12309")</f>
        <v>http://dx.doi.org/10.1111/mms.12309</v>
      </c>
      <c r="BG813" t="s">
        <v>74</v>
      </c>
      <c r="BH813" t="s">
        <v>74</v>
      </c>
      <c r="BI813">
        <v>29</v>
      </c>
      <c r="BJ813" t="s">
        <v>4122</v>
      </c>
      <c r="BK813" t="s">
        <v>156</v>
      </c>
      <c r="BL813" t="s">
        <v>4122</v>
      </c>
      <c r="BM813" t="s">
        <v>13564</v>
      </c>
      <c r="BN813" t="s">
        <v>74</v>
      </c>
      <c r="BO813" t="s">
        <v>104</v>
      </c>
      <c r="BP813" t="s">
        <v>74</v>
      </c>
      <c r="BQ813" t="s">
        <v>74</v>
      </c>
      <c r="BR813" t="s">
        <v>105</v>
      </c>
      <c r="BS813" t="s">
        <v>15411</v>
      </c>
      <c r="BT813" t="str">
        <f>HYPERLINK("https%3A%2F%2Fwww.webofscience.com%2Fwos%2Fwoscc%2Ffull-record%2FWOS:000385006800003","View Full Record in Web of Science")</f>
        <v>View Full Record in Web of Science</v>
      </c>
    </row>
    <row r="814" spans="1:72" x14ac:dyDescent="0.15">
      <c r="A814" t="s">
        <v>72</v>
      </c>
      <c r="B814" t="s">
        <v>15412</v>
      </c>
      <c r="C814" t="s">
        <v>74</v>
      </c>
      <c r="D814" t="s">
        <v>74</v>
      </c>
      <c r="E814" t="s">
        <v>74</v>
      </c>
      <c r="F814" t="s">
        <v>15413</v>
      </c>
      <c r="G814" t="s">
        <v>74</v>
      </c>
      <c r="H814" t="s">
        <v>74</v>
      </c>
      <c r="I814" t="s">
        <v>15414</v>
      </c>
      <c r="J814" t="s">
        <v>4106</v>
      </c>
      <c r="K814" t="s">
        <v>74</v>
      </c>
      <c r="L814" t="s">
        <v>74</v>
      </c>
      <c r="M814" t="s">
        <v>78</v>
      </c>
      <c r="N814" t="s">
        <v>79</v>
      </c>
      <c r="O814" t="s">
        <v>74</v>
      </c>
      <c r="P814" t="s">
        <v>74</v>
      </c>
      <c r="Q814" t="s">
        <v>74</v>
      </c>
      <c r="R814" t="s">
        <v>74</v>
      </c>
      <c r="S814" t="s">
        <v>74</v>
      </c>
      <c r="T814" t="s">
        <v>15415</v>
      </c>
      <c r="U814" t="s">
        <v>15416</v>
      </c>
      <c r="V814" t="s">
        <v>15417</v>
      </c>
      <c r="W814" t="s">
        <v>15418</v>
      </c>
      <c r="X814" t="s">
        <v>15419</v>
      </c>
      <c r="Y814" t="s">
        <v>15420</v>
      </c>
      <c r="Z814" t="s">
        <v>12680</v>
      </c>
      <c r="AA814" t="s">
        <v>15421</v>
      </c>
      <c r="AB814" t="s">
        <v>15422</v>
      </c>
      <c r="AC814" t="s">
        <v>15423</v>
      </c>
      <c r="AD814" t="s">
        <v>15424</v>
      </c>
      <c r="AE814" t="s">
        <v>15425</v>
      </c>
      <c r="AF814" t="s">
        <v>74</v>
      </c>
      <c r="AG814">
        <v>72</v>
      </c>
      <c r="AH814">
        <v>25</v>
      </c>
      <c r="AI814">
        <v>26</v>
      </c>
      <c r="AJ814">
        <v>0</v>
      </c>
      <c r="AK814">
        <v>26</v>
      </c>
      <c r="AL814" t="s">
        <v>501</v>
      </c>
      <c r="AM814" t="s">
        <v>502</v>
      </c>
      <c r="AN814" t="s">
        <v>503</v>
      </c>
      <c r="AO814" t="s">
        <v>4117</v>
      </c>
      <c r="AP814" t="s">
        <v>4118</v>
      </c>
      <c r="AQ814" t="s">
        <v>74</v>
      </c>
      <c r="AR814" t="s">
        <v>4119</v>
      </c>
      <c r="AS814" t="s">
        <v>4120</v>
      </c>
      <c r="AT814" t="s">
        <v>13423</v>
      </c>
      <c r="AU814">
        <v>2016</v>
      </c>
      <c r="AV814">
        <v>32</v>
      </c>
      <c r="AW814">
        <v>3</v>
      </c>
      <c r="AX814" t="s">
        <v>74</v>
      </c>
      <c r="AY814" t="s">
        <v>74</v>
      </c>
      <c r="AZ814" t="s">
        <v>74</v>
      </c>
      <c r="BA814" t="s">
        <v>74</v>
      </c>
      <c r="BB814">
        <v>960</v>
      </c>
      <c r="BC814">
        <v>982</v>
      </c>
      <c r="BD814" t="s">
        <v>74</v>
      </c>
      <c r="BE814" t="s">
        <v>15426</v>
      </c>
      <c r="BF814" t="str">
        <f>HYPERLINK("http://dx.doi.org/10.1111/mms.12306","http://dx.doi.org/10.1111/mms.12306")</f>
        <v>http://dx.doi.org/10.1111/mms.12306</v>
      </c>
      <c r="BG814" t="s">
        <v>74</v>
      </c>
      <c r="BH814" t="s">
        <v>74</v>
      </c>
      <c r="BI814">
        <v>23</v>
      </c>
      <c r="BJ814" t="s">
        <v>4122</v>
      </c>
      <c r="BK814" t="s">
        <v>156</v>
      </c>
      <c r="BL814" t="s">
        <v>4122</v>
      </c>
      <c r="BM814" t="s">
        <v>13564</v>
      </c>
      <c r="BN814" t="s">
        <v>74</v>
      </c>
      <c r="BO814" t="s">
        <v>805</v>
      </c>
      <c r="BP814" t="s">
        <v>74</v>
      </c>
      <c r="BQ814" t="s">
        <v>74</v>
      </c>
      <c r="BR814" t="s">
        <v>105</v>
      </c>
      <c r="BS814" t="s">
        <v>15427</v>
      </c>
      <c r="BT814" t="str">
        <f>HYPERLINK("https%3A%2F%2Fwww.webofscience.com%2Fwos%2Fwoscc%2Ffull-record%2FWOS:000385006800009","View Full Record in Web of Science")</f>
        <v>View Full Record in Web of Science</v>
      </c>
    </row>
    <row r="815" spans="1:72" x14ac:dyDescent="0.15">
      <c r="A815" t="s">
        <v>72</v>
      </c>
      <c r="B815" t="s">
        <v>15428</v>
      </c>
      <c r="C815" t="s">
        <v>74</v>
      </c>
      <c r="D815" t="s">
        <v>74</v>
      </c>
      <c r="E815" t="s">
        <v>74</v>
      </c>
      <c r="F815" t="s">
        <v>15429</v>
      </c>
      <c r="G815" t="s">
        <v>74</v>
      </c>
      <c r="H815" t="s">
        <v>74</v>
      </c>
      <c r="I815" t="s">
        <v>15430</v>
      </c>
      <c r="J815" t="s">
        <v>514</v>
      </c>
      <c r="K815" t="s">
        <v>74</v>
      </c>
      <c r="L815" t="s">
        <v>74</v>
      </c>
      <c r="M815" t="s">
        <v>78</v>
      </c>
      <c r="N815" t="s">
        <v>79</v>
      </c>
      <c r="O815" t="s">
        <v>74</v>
      </c>
      <c r="P815" t="s">
        <v>74</v>
      </c>
      <c r="Q815" t="s">
        <v>74</v>
      </c>
      <c r="R815" t="s">
        <v>74</v>
      </c>
      <c r="S815" t="s">
        <v>74</v>
      </c>
      <c r="T815" t="s">
        <v>15431</v>
      </c>
      <c r="U815" t="s">
        <v>15432</v>
      </c>
      <c r="V815" t="s">
        <v>15433</v>
      </c>
      <c r="W815" t="s">
        <v>15434</v>
      </c>
      <c r="X815" t="s">
        <v>15435</v>
      </c>
      <c r="Y815" t="s">
        <v>15436</v>
      </c>
      <c r="Z815" t="s">
        <v>15437</v>
      </c>
      <c r="AA815" t="s">
        <v>15438</v>
      </c>
      <c r="AB815" t="s">
        <v>15439</v>
      </c>
      <c r="AC815" t="s">
        <v>74</v>
      </c>
      <c r="AD815" t="s">
        <v>74</v>
      </c>
      <c r="AE815" t="s">
        <v>74</v>
      </c>
      <c r="AF815" t="s">
        <v>74</v>
      </c>
      <c r="AG815">
        <v>50</v>
      </c>
      <c r="AH815">
        <v>102</v>
      </c>
      <c r="AI815">
        <v>114</v>
      </c>
      <c r="AJ815">
        <v>0</v>
      </c>
      <c r="AK815">
        <v>38</v>
      </c>
      <c r="AL815" t="s">
        <v>501</v>
      </c>
      <c r="AM815" t="s">
        <v>502</v>
      </c>
      <c r="AN815" t="s">
        <v>503</v>
      </c>
      <c r="AO815" t="s">
        <v>526</v>
      </c>
      <c r="AP815" t="s">
        <v>527</v>
      </c>
      <c r="AQ815" t="s">
        <v>74</v>
      </c>
      <c r="AR815" t="s">
        <v>528</v>
      </c>
      <c r="AS815" t="s">
        <v>529</v>
      </c>
      <c r="AT815" t="s">
        <v>13423</v>
      </c>
      <c r="AU815">
        <v>2016</v>
      </c>
      <c r="AV815">
        <v>7</v>
      </c>
      <c r="AW815">
        <v>7</v>
      </c>
      <c r="AX815" t="s">
        <v>74</v>
      </c>
      <c r="AY815" t="s">
        <v>74</v>
      </c>
      <c r="AZ815" t="s">
        <v>74</v>
      </c>
      <c r="BA815" t="s">
        <v>74</v>
      </c>
      <c r="BB815">
        <v>825</v>
      </c>
      <c r="BC815">
        <v>835</v>
      </c>
      <c r="BD815" t="s">
        <v>74</v>
      </c>
      <c r="BE815" t="s">
        <v>15440</v>
      </c>
      <c r="BF815" t="str">
        <f>HYPERLINK("http://dx.doi.org/10.1111/2041-210X.12520","http://dx.doi.org/10.1111/2041-210X.12520")</f>
        <v>http://dx.doi.org/10.1111/2041-210X.12520</v>
      </c>
      <c r="BG815" t="s">
        <v>74</v>
      </c>
      <c r="BH815" t="s">
        <v>74</v>
      </c>
      <c r="BI815">
        <v>11</v>
      </c>
      <c r="BJ815" t="s">
        <v>531</v>
      </c>
      <c r="BK815" t="s">
        <v>156</v>
      </c>
      <c r="BL815" t="s">
        <v>532</v>
      </c>
      <c r="BM815" t="s">
        <v>15441</v>
      </c>
      <c r="BN815" t="s">
        <v>74</v>
      </c>
      <c r="BO815" t="s">
        <v>258</v>
      </c>
      <c r="BP815" t="s">
        <v>74</v>
      </c>
      <c r="BQ815" t="s">
        <v>74</v>
      </c>
      <c r="BR815" t="s">
        <v>105</v>
      </c>
      <c r="BS815" t="s">
        <v>15442</v>
      </c>
      <c r="BT815" t="str">
        <f>HYPERLINK("https%3A%2F%2Fwww.webofscience.com%2Fwos%2Fwoscc%2Ffull-record%2FWOS:000379957400008","View Full Record in Web of Science")</f>
        <v>View Full Record in Web of Science</v>
      </c>
    </row>
    <row r="816" spans="1:72" x14ac:dyDescent="0.15">
      <c r="A816" t="s">
        <v>72</v>
      </c>
      <c r="B816" t="s">
        <v>15443</v>
      </c>
      <c r="C816" t="s">
        <v>74</v>
      </c>
      <c r="D816" t="s">
        <v>74</v>
      </c>
      <c r="E816" t="s">
        <v>74</v>
      </c>
      <c r="F816" t="s">
        <v>15444</v>
      </c>
      <c r="G816" t="s">
        <v>74</v>
      </c>
      <c r="H816" t="s">
        <v>74</v>
      </c>
      <c r="I816" t="s">
        <v>15445</v>
      </c>
      <c r="J816" t="s">
        <v>15446</v>
      </c>
      <c r="K816" t="s">
        <v>74</v>
      </c>
      <c r="L816" t="s">
        <v>74</v>
      </c>
      <c r="M816" t="s">
        <v>78</v>
      </c>
      <c r="N816" t="s">
        <v>79</v>
      </c>
      <c r="O816" t="s">
        <v>74</v>
      </c>
      <c r="P816" t="s">
        <v>74</v>
      </c>
      <c r="Q816" t="s">
        <v>74</v>
      </c>
      <c r="R816" t="s">
        <v>74</v>
      </c>
      <c r="S816" t="s">
        <v>74</v>
      </c>
      <c r="T816" t="s">
        <v>15447</v>
      </c>
      <c r="U816" t="s">
        <v>15448</v>
      </c>
      <c r="V816" t="s">
        <v>15449</v>
      </c>
      <c r="W816" t="s">
        <v>15450</v>
      </c>
      <c r="X816" t="s">
        <v>15451</v>
      </c>
      <c r="Y816" t="s">
        <v>15452</v>
      </c>
      <c r="Z816" t="s">
        <v>15453</v>
      </c>
      <c r="AA816" t="s">
        <v>15454</v>
      </c>
      <c r="AB816" t="s">
        <v>15455</v>
      </c>
      <c r="AC816" t="s">
        <v>15456</v>
      </c>
      <c r="AD816" t="s">
        <v>15457</v>
      </c>
      <c r="AE816" t="s">
        <v>15458</v>
      </c>
      <c r="AF816" t="s">
        <v>74</v>
      </c>
      <c r="AG816">
        <v>60</v>
      </c>
      <c r="AH816">
        <v>23</v>
      </c>
      <c r="AI816">
        <v>24</v>
      </c>
      <c r="AJ816">
        <v>0</v>
      </c>
      <c r="AK816">
        <v>19</v>
      </c>
      <c r="AL816" t="s">
        <v>501</v>
      </c>
      <c r="AM816" t="s">
        <v>502</v>
      </c>
      <c r="AN816" t="s">
        <v>503</v>
      </c>
      <c r="AO816" t="s">
        <v>15459</v>
      </c>
      <c r="AP816" t="s">
        <v>15460</v>
      </c>
      <c r="AQ816" t="s">
        <v>74</v>
      </c>
      <c r="AR816" t="s">
        <v>15461</v>
      </c>
      <c r="AS816" t="s">
        <v>15462</v>
      </c>
      <c r="AT816" t="s">
        <v>13423</v>
      </c>
      <c r="AU816">
        <v>2016</v>
      </c>
      <c r="AV816">
        <v>16</v>
      </c>
      <c r="AW816">
        <v>4</v>
      </c>
      <c r="AX816" t="s">
        <v>74</v>
      </c>
      <c r="AY816" t="s">
        <v>74</v>
      </c>
      <c r="AZ816" t="s">
        <v>74</v>
      </c>
      <c r="BA816" t="s">
        <v>74</v>
      </c>
      <c r="BB816">
        <v>909</v>
      </c>
      <c r="BC816">
        <v>921</v>
      </c>
      <c r="BD816" t="s">
        <v>74</v>
      </c>
      <c r="BE816" t="s">
        <v>15463</v>
      </c>
      <c r="BF816" t="str">
        <f>HYPERLINK("http://dx.doi.org/10.1111/1755-0998.12502","http://dx.doi.org/10.1111/1755-0998.12502")</f>
        <v>http://dx.doi.org/10.1111/1755-0998.12502</v>
      </c>
      <c r="BG816" t="s">
        <v>74</v>
      </c>
      <c r="BH816" t="s">
        <v>74</v>
      </c>
      <c r="BI816">
        <v>13</v>
      </c>
      <c r="BJ816" t="s">
        <v>15464</v>
      </c>
      <c r="BK816" t="s">
        <v>156</v>
      </c>
      <c r="BL816" t="s">
        <v>15465</v>
      </c>
      <c r="BM816" t="s">
        <v>15466</v>
      </c>
      <c r="BN816">
        <v>26683564</v>
      </c>
      <c r="BO816" t="s">
        <v>459</v>
      </c>
      <c r="BP816" t="s">
        <v>74</v>
      </c>
      <c r="BQ816" t="s">
        <v>74</v>
      </c>
      <c r="BR816" t="s">
        <v>105</v>
      </c>
      <c r="BS816" t="s">
        <v>15467</v>
      </c>
      <c r="BT816" t="str">
        <f>HYPERLINK("https%3A%2F%2Fwww.webofscience.com%2Fwos%2Fwoscc%2Ffull-record%2FWOS:000383281100007","View Full Record in Web of Science")</f>
        <v>View Full Record in Web of Science</v>
      </c>
    </row>
    <row r="817" spans="1:72" x14ac:dyDescent="0.15">
      <c r="A817" t="s">
        <v>72</v>
      </c>
      <c r="B817" t="s">
        <v>15468</v>
      </c>
      <c r="C817" t="s">
        <v>74</v>
      </c>
      <c r="D817" t="s">
        <v>74</v>
      </c>
      <c r="E817" t="s">
        <v>74</v>
      </c>
      <c r="F817" t="s">
        <v>15469</v>
      </c>
      <c r="G817" t="s">
        <v>74</v>
      </c>
      <c r="H817" t="s">
        <v>74</v>
      </c>
      <c r="I817" t="s">
        <v>15470</v>
      </c>
      <c r="J817" t="s">
        <v>8631</v>
      </c>
      <c r="K817" t="s">
        <v>74</v>
      </c>
      <c r="L817" t="s">
        <v>74</v>
      </c>
      <c r="M817" t="s">
        <v>78</v>
      </c>
      <c r="N817" t="s">
        <v>79</v>
      </c>
      <c r="O817" t="s">
        <v>74</v>
      </c>
      <c r="P817" t="s">
        <v>74</v>
      </c>
      <c r="Q817" t="s">
        <v>74</v>
      </c>
      <c r="R817" t="s">
        <v>74</v>
      </c>
      <c r="S817" t="s">
        <v>74</v>
      </c>
      <c r="T817" t="s">
        <v>74</v>
      </c>
      <c r="U817" t="s">
        <v>15471</v>
      </c>
      <c r="V817" t="s">
        <v>15472</v>
      </c>
      <c r="W817" t="s">
        <v>15473</v>
      </c>
      <c r="X817" t="s">
        <v>15474</v>
      </c>
      <c r="Y817" t="s">
        <v>15475</v>
      </c>
      <c r="Z817" t="s">
        <v>15476</v>
      </c>
      <c r="AA817" t="s">
        <v>74</v>
      </c>
      <c r="AB817" t="s">
        <v>15477</v>
      </c>
      <c r="AC817" t="s">
        <v>15478</v>
      </c>
      <c r="AD817" t="s">
        <v>15479</v>
      </c>
      <c r="AE817" t="s">
        <v>15480</v>
      </c>
      <c r="AF817" t="s">
        <v>74</v>
      </c>
      <c r="AG817">
        <v>52</v>
      </c>
      <c r="AH817">
        <v>332</v>
      </c>
      <c r="AI817">
        <v>364</v>
      </c>
      <c r="AJ817">
        <v>16</v>
      </c>
      <c r="AK817">
        <v>171</v>
      </c>
      <c r="AL817" t="s">
        <v>574</v>
      </c>
      <c r="AM817" t="s">
        <v>575</v>
      </c>
      <c r="AN817" t="s">
        <v>576</v>
      </c>
      <c r="AO817" t="s">
        <v>8643</v>
      </c>
      <c r="AP817" t="s">
        <v>8644</v>
      </c>
      <c r="AQ817" t="s">
        <v>74</v>
      </c>
      <c r="AR817" t="s">
        <v>8645</v>
      </c>
      <c r="AS817" t="s">
        <v>8646</v>
      </c>
      <c r="AT817" t="s">
        <v>13423</v>
      </c>
      <c r="AU817">
        <v>2016</v>
      </c>
      <c r="AV817">
        <v>9</v>
      </c>
      <c r="AW817">
        <v>7</v>
      </c>
      <c r="AX817" t="s">
        <v>74</v>
      </c>
      <c r="AY817" t="s">
        <v>74</v>
      </c>
      <c r="AZ817" t="s">
        <v>74</v>
      </c>
      <c r="BA817" t="s">
        <v>74</v>
      </c>
      <c r="BB817">
        <v>549</v>
      </c>
      <c r="BC817" t="s">
        <v>5030</v>
      </c>
      <c r="BD817" t="s">
        <v>74</v>
      </c>
      <c r="BE817" t="s">
        <v>15481</v>
      </c>
      <c r="BF817" t="str">
        <f>HYPERLINK("http://dx.doi.org/10.1038/NGEO2731","http://dx.doi.org/10.1038/NGEO2731")</f>
        <v>http://dx.doi.org/10.1038/NGEO2731</v>
      </c>
      <c r="BG817" t="s">
        <v>74</v>
      </c>
      <c r="BH817" t="s">
        <v>74</v>
      </c>
      <c r="BI817">
        <v>7</v>
      </c>
      <c r="BJ817" t="s">
        <v>352</v>
      </c>
      <c r="BK817" t="s">
        <v>156</v>
      </c>
      <c r="BL817" t="s">
        <v>177</v>
      </c>
      <c r="BM817" t="s">
        <v>15482</v>
      </c>
      <c r="BN817" t="s">
        <v>74</v>
      </c>
      <c r="BO817" t="s">
        <v>74</v>
      </c>
      <c r="BP817" t="s">
        <v>1447</v>
      </c>
      <c r="BQ817" t="s">
        <v>1448</v>
      </c>
      <c r="BR817" t="s">
        <v>105</v>
      </c>
      <c r="BS817" t="s">
        <v>15483</v>
      </c>
      <c r="BT817" t="str">
        <f>HYPERLINK("https%3A%2F%2Fwww.webofscience.com%2Fwos%2Fwoscc%2Ffull-record%2FWOS:000379823800022","View Full Record in Web of Science")</f>
        <v>View Full Record in Web of Science</v>
      </c>
    </row>
    <row r="818" spans="1:72" x14ac:dyDescent="0.15">
      <c r="A818" t="s">
        <v>72</v>
      </c>
      <c r="B818" t="s">
        <v>15484</v>
      </c>
      <c r="C818" t="s">
        <v>74</v>
      </c>
      <c r="D818" t="s">
        <v>74</v>
      </c>
      <c r="E818" t="s">
        <v>74</v>
      </c>
      <c r="F818" t="s">
        <v>15485</v>
      </c>
      <c r="G818" t="s">
        <v>74</v>
      </c>
      <c r="H818" t="s">
        <v>74</v>
      </c>
      <c r="I818" t="s">
        <v>15486</v>
      </c>
      <c r="J818" t="s">
        <v>15487</v>
      </c>
      <c r="K818" t="s">
        <v>74</v>
      </c>
      <c r="L818" t="s">
        <v>74</v>
      </c>
      <c r="M818" t="s">
        <v>78</v>
      </c>
      <c r="N818" t="s">
        <v>79</v>
      </c>
      <c r="O818" t="s">
        <v>74</v>
      </c>
      <c r="P818" t="s">
        <v>74</v>
      </c>
      <c r="Q818" t="s">
        <v>74</v>
      </c>
      <c r="R818" t="s">
        <v>74</v>
      </c>
      <c r="S818" t="s">
        <v>74</v>
      </c>
      <c r="T818" t="s">
        <v>15488</v>
      </c>
      <c r="U818" t="s">
        <v>15489</v>
      </c>
      <c r="V818" t="s">
        <v>15490</v>
      </c>
      <c r="W818" t="s">
        <v>15491</v>
      </c>
      <c r="X818" t="s">
        <v>15492</v>
      </c>
      <c r="Y818" t="s">
        <v>15493</v>
      </c>
      <c r="Z818" t="s">
        <v>15494</v>
      </c>
      <c r="AA818" t="s">
        <v>15495</v>
      </c>
      <c r="AB818" t="s">
        <v>15496</v>
      </c>
      <c r="AC818" t="s">
        <v>15497</v>
      </c>
      <c r="AD818" t="s">
        <v>15498</v>
      </c>
      <c r="AE818" t="s">
        <v>15499</v>
      </c>
      <c r="AF818" t="s">
        <v>74</v>
      </c>
      <c r="AG818">
        <v>89</v>
      </c>
      <c r="AH818">
        <v>29</v>
      </c>
      <c r="AI818">
        <v>35</v>
      </c>
      <c r="AJ818">
        <v>0</v>
      </c>
      <c r="AK818">
        <v>33</v>
      </c>
      <c r="AL818" t="s">
        <v>644</v>
      </c>
      <c r="AM818" t="s">
        <v>594</v>
      </c>
      <c r="AN818" t="s">
        <v>645</v>
      </c>
      <c r="AO818" t="s">
        <v>15500</v>
      </c>
      <c r="AP818" t="s">
        <v>15501</v>
      </c>
      <c r="AQ818" t="s">
        <v>74</v>
      </c>
      <c r="AR818" t="s">
        <v>15487</v>
      </c>
      <c r="AS818" t="s">
        <v>15502</v>
      </c>
      <c r="AT818" t="s">
        <v>13423</v>
      </c>
      <c r="AU818">
        <v>2016</v>
      </c>
      <c r="AV818">
        <v>181</v>
      </c>
      <c r="AW818">
        <v>3</v>
      </c>
      <c r="AX818" t="s">
        <v>74</v>
      </c>
      <c r="AY818" t="s">
        <v>74</v>
      </c>
      <c r="AZ818" t="s">
        <v>74</v>
      </c>
      <c r="BA818" t="s">
        <v>74</v>
      </c>
      <c r="BB818">
        <v>931</v>
      </c>
      <c r="BC818">
        <v>945</v>
      </c>
      <c r="BD818" t="s">
        <v>74</v>
      </c>
      <c r="BE818" t="s">
        <v>15503</v>
      </c>
      <c r="BF818" t="str">
        <f>HYPERLINK("http://dx.doi.org/10.1007/s00442-016-3608-3","http://dx.doi.org/10.1007/s00442-016-3608-3")</f>
        <v>http://dx.doi.org/10.1007/s00442-016-3608-3</v>
      </c>
      <c r="BG818" t="s">
        <v>74</v>
      </c>
      <c r="BH818" t="s">
        <v>74</v>
      </c>
      <c r="BI818">
        <v>15</v>
      </c>
      <c r="BJ818" t="s">
        <v>531</v>
      </c>
      <c r="BK818" t="s">
        <v>156</v>
      </c>
      <c r="BL818" t="s">
        <v>532</v>
      </c>
      <c r="BM818" t="s">
        <v>15504</v>
      </c>
      <c r="BN818">
        <v>27003701</v>
      </c>
      <c r="BO818" t="s">
        <v>206</v>
      </c>
      <c r="BP818" t="s">
        <v>74</v>
      </c>
      <c r="BQ818" t="s">
        <v>74</v>
      </c>
      <c r="BR818" t="s">
        <v>105</v>
      </c>
      <c r="BS818" t="s">
        <v>15505</v>
      </c>
      <c r="BT818" t="str">
        <f>HYPERLINK("https%3A%2F%2Fwww.webofscience.com%2Fwos%2Fwoscc%2Ffull-record%2FWOS:000378787700027","View Full Record in Web of Science")</f>
        <v>View Full Record in Web of Science</v>
      </c>
    </row>
    <row r="819" spans="1:72" x14ac:dyDescent="0.15">
      <c r="A819" t="s">
        <v>72</v>
      </c>
      <c r="B819" t="s">
        <v>15506</v>
      </c>
      <c r="C819" t="s">
        <v>74</v>
      </c>
      <c r="D819" t="s">
        <v>74</v>
      </c>
      <c r="E819" t="s">
        <v>74</v>
      </c>
      <c r="F819" t="s">
        <v>15507</v>
      </c>
      <c r="G819" t="s">
        <v>74</v>
      </c>
      <c r="H819" t="s">
        <v>74</v>
      </c>
      <c r="I819" t="s">
        <v>15508</v>
      </c>
      <c r="J819" t="s">
        <v>15509</v>
      </c>
      <c r="K819" t="s">
        <v>74</v>
      </c>
      <c r="L819" t="s">
        <v>74</v>
      </c>
      <c r="M819" t="s">
        <v>78</v>
      </c>
      <c r="N819" t="s">
        <v>79</v>
      </c>
      <c r="O819" t="s">
        <v>74</v>
      </c>
      <c r="P819" t="s">
        <v>74</v>
      </c>
      <c r="Q819" t="s">
        <v>74</v>
      </c>
      <c r="R819" t="s">
        <v>74</v>
      </c>
      <c r="S819" t="s">
        <v>74</v>
      </c>
      <c r="T819" t="s">
        <v>15510</v>
      </c>
      <c r="U819" t="s">
        <v>15511</v>
      </c>
      <c r="V819" t="s">
        <v>15512</v>
      </c>
      <c r="W819" t="s">
        <v>15513</v>
      </c>
      <c r="X819" t="s">
        <v>15514</v>
      </c>
      <c r="Y819" t="s">
        <v>15515</v>
      </c>
      <c r="Z819" t="s">
        <v>15516</v>
      </c>
      <c r="AA819" t="s">
        <v>15517</v>
      </c>
      <c r="AB819" t="s">
        <v>15518</v>
      </c>
      <c r="AC819" t="s">
        <v>15519</v>
      </c>
      <c r="AD819" t="s">
        <v>15520</v>
      </c>
      <c r="AE819" t="s">
        <v>15521</v>
      </c>
      <c r="AF819" t="s">
        <v>74</v>
      </c>
      <c r="AG819">
        <v>31</v>
      </c>
      <c r="AH819">
        <v>50</v>
      </c>
      <c r="AI819">
        <v>53</v>
      </c>
      <c r="AJ819">
        <v>1</v>
      </c>
      <c r="AK819">
        <v>16</v>
      </c>
      <c r="AL819" t="s">
        <v>501</v>
      </c>
      <c r="AM819" t="s">
        <v>502</v>
      </c>
      <c r="AN819" t="s">
        <v>503</v>
      </c>
      <c r="AO819" t="s">
        <v>15522</v>
      </c>
      <c r="AP819" t="s">
        <v>15523</v>
      </c>
      <c r="AQ819" t="s">
        <v>74</v>
      </c>
      <c r="AR819" t="s">
        <v>15524</v>
      </c>
      <c r="AS819" t="s">
        <v>15525</v>
      </c>
      <c r="AT819" t="s">
        <v>15526</v>
      </c>
      <c r="AU819">
        <v>2016</v>
      </c>
      <c r="AV819">
        <v>27</v>
      </c>
      <c r="AW819">
        <v>3</v>
      </c>
      <c r="AX819" t="s">
        <v>74</v>
      </c>
      <c r="AY819" t="s">
        <v>74</v>
      </c>
      <c r="AZ819" t="s">
        <v>74</v>
      </c>
      <c r="BA819" t="s">
        <v>74</v>
      </c>
      <c r="BB819">
        <v>307</v>
      </c>
      <c r="BC819">
        <v>315</v>
      </c>
      <c r="BD819" t="s">
        <v>74</v>
      </c>
      <c r="BE819" t="s">
        <v>15527</v>
      </c>
      <c r="BF819" t="str">
        <f>HYPERLINK("http://dx.doi.org/10.1002/ppp.1871","http://dx.doi.org/10.1002/ppp.1871")</f>
        <v>http://dx.doi.org/10.1002/ppp.1871</v>
      </c>
      <c r="BG819" t="s">
        <v>74</v>
      </c>
      <c r="BH819" t="s">
        <v>74</v>
      </c>
      <c r="BI819">
        <v>9</v>
      </c>
      <c r="BJ819" t="s">
        <v>15528</v>
      </c>
      <c r="BK819" t="s">
        <v>156</v>
      </c>
      <c r="BL819" t="s">
        <v>204</v>
      </c>
      <c r="BM819" t="s">
        <v>15529</v>
      </c>
      <c r="BN819" t="s">
        <v>74</v>
      </c>
      <c r="BO819" t="s">
        <v>74</v>
      </c>
      <c r="BP819" t="s">
        <v>74</v>
      </c>
      <c r="BQ819" t="s">
        <v>74</v>
      </c>
      <c r="BR819" t="s">
        <v>105</v>
      </c>
      <c r="BS819" t="s">
        <v>15530</v>
      </c>
      <c r="BT819" t="str">
        <f>HYPERLINK("https%3A%2F%2Fwww.webofscience.com%2Fwos%2Fwoscc%2Ffull-record%2FWOS:000383680300005","View Full Record in Web of Science")</f>
        <v>View Full Record in Web of Science</v>
      </c>
    </row>
    <row r="820" spans="1:72" x14ac:dyDescent="0.15">
      <c r="A820" t="s">
        <v>72</v>
      </c>
      <c r="B820" t="s">
        <v>15531</v>
      </c>
      <c r="C820" t="s">
        <v>74</v>
      </c>
      <c r="D820" t="s">
        <v>74</v>
      </c>
      <c r="E820" t="s">
        <v>74</v>
      </c>
      <c r="F820" t="s">
        <v>15532</v>
      </c>
      <c r="G820" t="s">
        <v>74</v>
      </c>
      <c r="H820" t="s">
        <v>74</v>
      </c>
      <c r="I820" t="s">
        <v>15533</v>
      </c>
      <c r="J820" t="s">
        <v>15534</v>
      </c>
      <c r="K820" t="s">
        <v>74</v>
      </c>
      <c r="L820" t="s">
        <v>74</v>
      </c>
      <c r="M820" t="s">
        <v>78</v>
      </c>
      <c r="N820" t="s">
        <v>79</v>
      </c>
      <c r="O820" t="s">
        <v>74</v>
      </c>
      <c r="P820" t="s">
        <v>74</v>
      </c>
      <c r="Q820" t="s">
        <v>74</v>
      </c>
      <c r="R820" t="s">
        <v>74</v>
      </c>
      <c r="S820" t="s">
        <v>74</v>
      </c>
      <c r="T820" t="s">
        <v>15535</v>
      </c>
      <c r="U820" t="s">
        <v>15536</v>
      </c>
      <c r="V820" t="s">
        <v>15537</v>
      </c>
      <c r="W820" t="s">
        <v>15538</v>
      </c>
      <c r="X820" t="s">
        <v>15539</v>
      </c>
      <c r="Y820" t="s">
        <v>15540</v>
      </c>
      <c r="Z820" t="s">
        <v>15541</v>
      </c>
      <c r="AA820" t="s">
        <v>15542</v>
      </c>
      <c r="AB820" t="s">
        <v>15543</v>
      </c>
      <c r="AC820" t="s">
        <v>15544</v>
      </c>
      <c r="AD820" t="s">
        <v>15545</v>
      </c>
      <c r="AE820" t="s">
        <v>15546</v>
      </c>
      <c r="AF820" t="s">
        <v>74</v>
      </c>
      <c r="AG820">
        <v>56</v>
      </c>
      <c r="AH820">
        <v>21</v>
      </c>
      <c r="AI820">
        <v>24</v>
      </c>
      <c r="AJ820">
        <v>0</v>
      </c>
      <c r="AK820">
        <v>47</v>
      </c>
      <c r="AL820" t="s">
        <v>644</v>
      </c>
      <c r="AM820" t="s">
        <v>740</v>
      </c>
      <c r="AN820" t="s">
        <v>741</v>
      </c>
      <c r="AO820" t="s">
        <v>15547</v>
      </c>
      <c r="AP820" t="s">
        <v>15548</v>
      </c>
      <c r="AQ820" t="s">
        <v>74</v>
      </c>
      <c r="AR820" t="s">
        <v>15549</v>
      </c>
      <c r="AS820" t="s">
        <v>15550</v>
      </c>
      <c r="AT820" t="s">
        <v>13423</v>
      </c>
      <c r="AU820">
        <v>2016</v>
      </c>
      <c r="AV820">
        <v>404</v>
      </c>
      <c r="AW820" t="s">
        <v>1720</v>
      </c>
      <c r="AX820" t="s">
        <v>74</v>
      </c>
      <c r="AY820" t="s">
        <v>74</v>
      </c>
      <c r="AZ820" t="s">
        <v>74</v>
      </c>
      <c r="BA820" t="s">
        <v>74</v>
      </c>
      <c r="BB820">
        <v>361</v>
      </c>
      <c r="BC820">
        <v>372</v>
      </c>
      <c r="BD820" t="s">
        <v>74</v>
      </c>
      <c r="BE820" t="s">
        <v>15551</v>
      </c>
      <c r="BF820" t="str">
        <f>HYPERLINK("http://dx.doi.org/10.1007/s11104-016-2852-y","http://dx.doi.org/10.1007/s11104-016-2852-y")</f>
        <v>http://dx.doi.org/10.1007/s11104-016-2852-y</v>
      </c>
      <c r="BG820" t="s">
        <v>74</v>
      </c>
      <c r="BH820" t="s">
        <v>74</v>
      </c>
      <c r="BI820">
        <v>12</v>
      </c>
      <c r="BJ820" t="s">
        <v>15552</v>
      </c>
      <c r="BK820" t="s">
        <v>156</v>
      </c>
      <c r="BL820" t="s">
        <v>15553</v>
      </c>
      <c r="BM820" t="s">
        <v>15554</v>
      </c>
      <c r="BN820" t="s">
        <v>74</v>
      </c>
      <c r="BO820" t="s">
        <v>74</v>
      </c>
      <c r="BP820" t="s">
        <v>74</v>
      </c>
      <c r="BQ820" t="s">
        <v>74</v>
      </c>
      <c r="BR820" t="s">
        <v>105</v>
      </c>
      <c r="BS820" t="s">
        <v>15555</v>
      </c>
      <c r="BT820" t="str">
        <f>HYPERLINK("https%3A%2F%2Fwww.webofscience.com%2Fwos%2Fwoscc%2Ffull-record%2FWOS:000378556400025","View Full Record in Web of Science")</f>
        <v>View Full Record in Web of Science</v>
      </c>
    </row>
    <row r="821" spans="1:72" x14ac:dyDescent="0.15">
      <c r="A821" t="s">
        <v>72</v>
      </c>
      <c r="B821" t="s">
        <v>15556</v>
      </c>
      <c r="C821" t="s">
        <v>74</v>
      </c>
      <c r="D821" t="s">
        <v>74</v>
      </c>
      <c r="E821" t="s">
        <v>74</v>
      </c>
      <c r="F821" t="s">
        <v>15557</v>
      </c>
      <c r="G821" t="s">
        <v>74</v>
      </c>
      <c r="H821" t="s">
        <v>74</v>
      </c>
      <c r="I821" t="s">
        <v>15558</v>
      </c>
      <c r="J821" t="s">
        <v>631</v>
      </c>
      <c r="K821" t="s">
        <v>74</v>
      </c>
      <c r="L821" t="s">
        <v>74</v>
      </c>
      <c r="M821" t="s">
        <v>78</v>
      </c>
      <c r="N821" t="s">
        <v>79</v>
      </c>
      <c r="O821" t="s">
        <v>74</v>
      </c>
      <c r="P821" t="s">
        <v>74</v>
      </c>
      <c r="Q821" t="s">
        <v>74</v>
      </c>
      <c r="R821" t="s">
        <v>74</v>
      </c>
      <c r="S821" t="s">
        <v>74</v>
      </c>
      <c r="T821" t="s">
        <v>15559</v>
      </c>
      <c r="U821" t="s">
        <v>15560</v>
      </c>
      <c r="V821" t="s">
        <v>15561</v>
      </c>
      <c r="W821" t="s">
        <v>15562</v>
      </c>
      <c r="X821" t="s">
        <v>1347</v>
      </c>
      <c r="Y821" t="s">
        <v>15563</v>
      </c>
      <c r="Z821" t="s">
        <v>1349</v>
      </c>
      <c r="AA821" t="s">
        <v>1350</v>
      </c>
      <c r="AB821" t="s">
        <v>15564</v>
      </c>
      <c r="AC821" t="s">
        <v>1352</v>
      </c>
      <c r="AD821" t="s">
        <v>1353</v>
      </c>
      <c r="AE821" t="s">
        <v>15565</v>
      </c>
      <c r="AF821" t="s">
        <v>74</v>
      </c>
      <c r="AG821">
        <v>38</v>
      </c>
      <c r="AH821">
        <v>7</v>
      </c>
      <c r="AI821">
        <v>7</v>
      </c>
      <c r="AJ821">
        <v>0</v>
      </c>
      <c r="AK821">
        <v>20</v>
      </c>
      <c r="AL821" t="s">
        <v>644</v>
      </c>
      <c r="AM821" t="s">
        <v>594</v>
      </c>
      <c r="AN821" t="s">
        <v>645</v>
      </c>
      <c r="AO821" t="s">
        <v>646</v>
      </c>
      <c r="AP821" t="s">
        <v>647</v>
      </c>
      <c r="AQ821" t="s">
        <v>74</v>
      </c>
      <c r="AR821" t="s">
        <v>648</v>
      </c>
      <c r="AS821" t="s">
        <v>649</v>
      </c>
      <c r="AT821" t="s">
        <v>13423</v>
      </c>
      <c r="AU821">
        <v>2016</v>
      </c>
      <c r="AV821">
        <v>39</v>
      </c>
      <c r="AW821">
        <v>7</v>
      </c>
      <c r="AX821" t="s">
        <v>74</v>
      </c>
      <c r="AY821" t="s">
        <v>74</v>
      </c>
      <c r="AZ821" t="s">
        <v>74</v>
      </c>
      <c r="BA821" t="s">
        <v>74</v>
      </c>
      <c r="BB821">
        <v>1309</v>
      </c>
      <c r="BC821">
        <v>1317</v>
      </c>
      <c r="BD821" t="s">
        <v>74</v>
      </c>
      <c r="BE821" t="s">
        <v>15566</v>
      </c>
      <c r="BF821" t="str">
        <f>HYPERLINK("http://dx.doi.org/10.1007/s00300-015-1855-0","http://dx.doi.org/10.1007/s00300-015-1855-0")</f>
        <v>http://dx.doi.org/10.1007/s00300-015-1855-0</v>
      </c>
      <c r="BG821" t="s">
        <v>74</v>
      </c>
      <c r="BH821" t="s">
        <v>74</v>
      </c>
      <c r="BI821">
        <v>9</v>
      </c>
      <c r="BJ821" t="s">
        <v>652</v>
      </c>
      <c r="BK821" t="s">
        <v>156</v>
      </c>
      <c r="BL821" t="s">
        <v>653</v>
      </c>
      <c r="BM821" t="s">
        <v>14324</v>
      </c>
      <c r="BN821" t="s">
        <v>74</v>
      </c>
      <c r="BO821" t="s">
        <v>459</v>
      </c>
      <c r="BP821" t="s">
        <v>74</v>
      </c>
      <c r="BQ821" t="s">
        <v>74</v>
      </c>
      <c r="BR821" t="s">
        <v>105</v>
      </c>
      <c r="BS821" t="s">
        <v>15567</v>
      </c>
      <c r="BT821" t="str">
        <f>HYPERLINK("https%3A%2F%2Fwww.webofscience.com%2Fwos%2Fwoscc%2Ffull-record%2FWOS:000379739200013","View Full Record in Web of Science")</f>
        <v>View Full Record in Web of Science</v>
      </c>
    </row>
    <row r="822" spans="1:72" x14ac:dyDescent="0.15">
      <c r="A822" t="s">
        <v>72</v>
      </c>
      <c r="B822" t="s">
        <v>15568</v>
      </c>
      <c r="C822" t="s">
        <v>74</v>
      </c>
      <c r="D822" t="s">
        <v>74</v>
      </c>
      <c r="E822" t="s">
        <v>74</v>
      </c>
      <c r="F822" t="s">
        <v>15569</v>
      </c>
      <c r="G822" t="s">
        <v>74</v>
      </c>
      <c r="H822" t="s">
        <v>74</v>
      </c>
      <c r="I822" t="s">
        <v>15570</v>
      </c>
      <c r="J822" t="s">
        <v>631</v>
      </c>
      <c r="K822" t="s">
        <v>74</v>
      </c>
      <c r="L822" t="s">
        <v>74</v>
      </c>
      <c r="M822" t="s">
        <v>78</v>
      </c>
      <c r="N822" t="s">
        <v>79</v>
      </c>
      <c r="O822" t="s">
        <v>74</v>
      </c>
      <c r="P822" t="s">
        <v>74</v>
      </c>
      <c r="Q822" t="s">
        <v>74</v>
      </c>
      <c r="R822" t="s">
        <v>74</v>
      </c>
      <c r="S822" t="s">
        <v>74</v>
      </c>
      <c r="T822" t="s">
        <v>15571</v>
      </c>
      <c r="U822" t="s">
        <v>15572</v>
      </c>
      <c r="V822" t="s">
        <v>15573</v>
      </c>
      <c r="W822" t="s">
        <v>15574</v>
      </c>
      <c r="X822" t="s">
        <v>15575</v>
      </c>
      <c r="Y822" t="s">
        <v>15576</v>
      </c>
      <c r="Z822" t="s">
        <v>15577</v>
      </c>
      <c r="AA822" t="s">
        <v>15578</v>
      </c>
      <c r="AB822" t="s">
        <v>15579</v>
      </c>
      <c r="AC822" t="s">
        <v>15580</v>
      </c>
      <c r="AD822" t="s">
        <v>15581</v>
      </c>
      <c r="AE822" t="s">
        <v>15582</v>
      </c>
      <c r="AF822" t="s">
        <v>74</v>
      </c>
      <c r="AG822">
        <v>55</v>
      </c>
      <c r="AH822">
        <v>6</v>
      </c>
      <c r="AI822">
        <v>8</v>
      </c>
      <c r="AJ822">
        <v>2</v>
      </c>
      <c r="AK822">
        <v>37</v>
      </c>
      <c r="AL822" t="s">
        <v>644</v>
      </c>
      <c r="AM822" t="s">
        <v>594</v>
      </c>
      <c r="AN822" t="s">
        <v>3025</v>
      </c>
      <c r="AO822" t="s">
        <v>646</v>
      </c>
      <c r="AP822" t="s">
        <v>647</v>
      </c>
      <c r="AQ822" t="s">
        <v>74</v>
      </c>
      <c r="AR822" t="s">
        <v>648</v>
      </c>
      <c r="AS822" t="s">
        <v>649</v>
      </c>
      <c r="AT822" t="s">
        <v>13423</v>
      </c>
      <c r="AU822">
        <v>2016</v>
      </c>
      <c r="AV822">
        <v>39</v>
      </c>
      <c r="AW822">
        <v>7</v>
      </c>
      <c r="AX822" t="s">
        <v>74</v>
      </c>
      <c r="AY822" t="s">
        <v>74</v>
      </c>
      <c r="AZ822" t="s">
        <v>74</v>
      </c>
      <c r="BA822" t="s">
        <v>74</v>
      </c>
      <c r="BB822">
        <v>1319</v>
      </c>
      <c r="BC822">
        <v>1328</v>
      </c>
      <c r="BD822" t="s">
        <v>74</v>
      </c>
      <c r="BE822" t="s">
        <v>15583</v>
      </c>
      <c r="BF822" t="str">
        <f>HYPERLINK("http://dx.doi.org/10.1007/s00300-015-1856-z","http://dx.doi.org/10.1007/s00300-015-1856-z")</f>
        <v>http://dx.doi.org/10.1007/s00300-015-1856-z</v>
      </c>
      <c r="BG822" t="s">
        <v>74</v>
      </c>
      <c r="BH822" t="s">
        <v>74</v>
      </c>
      <c r="BI822">
        <v>10</v>
      </c>
      <c r="BJ822" t="s">
        <v>652</v>
      </c>
      <c r="BK822" t="s">
        <v>156</v>
      </c>
      <c r="BL822" t="s">
        <v>653</v>
      </c>
      <c r="BM822" t="s">
        <v>14324</v>
      </c>
      <c r="BN822" t="s">
        <v>74</v>
      </c>
      <c r="BO822" t="s">
        <v>74</v>
      </c>
      <c r="BP822" t="s">
        <v>74</v>
      </c>
      <c r="BQ822" t="s">
        <v>74</v>
      </c>
      <c r="BR822" t="s">
        <v>105</v>
      </c>
      <c r="BS822" t="s">
        <v>15584</v>
      </c>
      <c r="BT822" t="str">
        <f>HYPERLINK("https%3A%2F%2Fwww.webofscience.com%2Fwos%2Fwoscc%2Ffull-record%2FWOS:000379739200014","View Full Record in Web of Science")</f>
        <v>View Full Record in Web of Science</v>
      </c>
    </row>
    <row r="823" spans="1:72" x14ac:dyDescent="0.15">
      <c r="A823" t="s">
        <v>72</v>
      </c>
      <c r="B823" t="s">
        <v>15585</v>
      </c>
      <c r="C823" t="s">
        <v>74</v>
      </c>
      <c r="D823" t="s">
        <v>74</v>
      </c>
      <c r="E823" t="s">
        <v>74</v>
      </c>
      <c r="F823" t="s">
        <v>15586</v>
      </c>
      <c r="G823" t="s">
        <v>74</v>
      </c>
      <c r="H823" t="s">
        <v>74</v>
      </c>
      <c r="I823" t="s">
        <v>15587</v>
      </c>
      <c r="J823" t="s">
        <v>6337</v>
      </c>
      <c r="K823" t="s">
        <v>74</v>
      </c>
      <c r="L823" t="s">
        <v>74</v>
      </c>
      <c r="M823" t="s">
        <v>78</v>
      </c>
      <c r="N823" t="s">
        <v>79</v>
      </c>
      <c r="O823" t="s">
        <v>74</v>
      </c>
      <c r="P823" t="s">
        <v>74</v>
      </c>
      <c r="Q823" t="s">
        <v>74</v>
      </c>
      <c r="R823" t="s">
        <v>74</v>
      </c>
      <c r="S823" t="s">
        <v>74</v>
      </c>
      <c r="T823" t="s">
        <v>74</v>
      </c>
      <c r="U823" t="s">
        <v>74</v>
      </c>
      <c r="V823" t="s">
        <v>15588</v>
      </c>
      <c r="W823" t="s">
        <v>15589</v>
      </c>
      <c r="X823" t="s">
        <v>15590</v>
      </c>
      <c r="Y823" t="s">
        <v>15591</v>
      </c>
      <c r="Z823" t="s">
        <v>15592</v>
      </c>
      <c r="AA823" t="s">
        <v>74</v>
      </c>
      <c r="AB823" t="s">
        <v>15593</v>
      </c>
      <c r="AC823" t="s">
        <v>15594</v>
      </c>
      <c r="AD823" t="s">
        <v>15595</v>
      </c>
      <c r="AE823" t="s">
        <v>15596</v>
      </c>
      <c r="AF823" t="s">
        <v>74</v>
      </c>
      <c r="AG823">
        <v>49</v>
      </c>
      <c r="AH823">
        <v>1</v>
      </c>
      <c r="AI823">
        <v>1</v>
      </c>
      <c r="AJ823">
        <v>0</v>
      </c>
      <c r="AK823">
        <v>5</v>
      </c>
      <c r="AL823" t="s">
        <v>2670</v>
      </c>
      <c r="AM823" t="s">
        <v>594</v>
      </c>
      <c r="AN823" t="s">
        <v>3187</v>
      </c>
      <c r="AO823" t="s">
        <v>6346</v>
      </c>
      <c r="AP823" t="s">
        <v>6347</v>
      </c>
      <c r="AQ823" t="s">
        <v>74</v>
      </c>
      <c r="AR823" t="s">
        <v>6348</v>
      </c>
      <c r="AS823" t="s">
        <v>6349</v>
      </c>
      <c r="AT823" t="s">
        <v>13423</v>
      </c>
      <c r="AU823">
        <v>2016</v>
      </c>
      <c r="AV823">
        <v>52</v>
      </c>
      <c r="AW823">
        <v>4</v>
      </c>
      <c r="AX823" t="s">
        <v>74</v>
      </c>
      <c r="AY823" t="s">
        <v>74</v>
      </c>
      <c r="AZ823" t="s">
        <v>74</v>
      </c>
      <c r="BA823" t="s">
        <v>74</v>
      </c>
      <c r="BB823">
        <v>380</v>
      </c>
      <c r="BC823">
        <v>392</v>
      </c>
      <c r="BD823" t="s">
        <v>74</v>
      </c>
      <c r="BE823" t="s">
        <v>15597</v>
      </c>
      <c r="BF823" t="str">
        <f>HYPERLINK("http://dx.doi.org/10.1017/S0032247414000631","http://dx.doi.org/10.1017/S0032247414000631")</f>
        <v>http://dx.doi.org/10.1017/S0032247414000631</v>
      </c>
      <c r="BG823" t="s">
        <v>74</v>
      </c>
      <c r="BH823" t="s">
        <v>74</v>
      </c>
      <c r="BI823">
        <v>13</v>
      </c>
      <c r="BJ823" t="s">
        <v>6351</v>
      </c>
      <c r="BK823" t="s">
        <v>156</v>
      </c>
      <c r="BL823" t="s">
        <v>532</v>
      </c>
      <c r="BM823" t="s">
        <v>15598</v>
      </c>
      <c r="BN823" t="s">
        <v>74</v>
      </c>
      <c r="BO823" t="s">
        <v>459</v>
      </c>
      <c r="BP823" t="s">
        <v>74</v>
      </c>
      <c r="BQ823" t="s">
        <v>74</v>
      </c>
      <c r="BR823" t="s">
        <v>105</v>
      </c>
      <c r="BS823" t="s">
        <v>15599</v>
      </c>
      <c r="BT823" t="str">
        <f>HYPERLINK("https%3A%2F%2Fwww.webofscience.com%2Fwos%2Fwoscc%2Ffull-record%2FWOS:000377206800001","View Full Record in Web of Science")</f>
        <v>View Full Record in Web of Science</v>
      </c>
    </row>
    <row r="824" spans="1:72" x14ac:dyDescent="0.15">
      <c r="A824" t="s">
        <v>72</v>
      </c>
      <c r="B824" t="s">
        <v>15600</v>
      </c>
      <c r="C824" t="s">
        <v>74</v>
      </c>
      <c r="D824" t="s">
        <v>74</v>
      </c>
      <c r="E824" t="s">
        <v>74</v>
      </c>
      <c r="F824" t="s">
        <v>15601</v>
      </c>
      <c r="G824" t="s">
        <v>74</v>
      </c>
      <c r="H824" t="s">
        <v>74</v>
      </c>
      <c r="I824" t="s">
        <v>15602</v>
      </c>
      <c r="J824" t="s">
        <v>6337</v>
      </c>
      <c r="K824" t="s">
        <v>74</v>
      </c>
      <c r="L824" t="s">
        <v>74</v>
      </c>
      <c r="M824" t="s">
        <v>78</v>
      </c>
      <c r="N824" t="s">
        <v>79</v>
      </c>
      <c r="O824" t="s">
        <v>74</v>
      </c>
      <c r="P824" t="s">
        <v>74</v>
      </c>
      <c r="Q824" t="s">
        <v>74</v>
      </c>
      <c r="R824" t="s">
        <v>74</v>
      </c>
      <c r="S824" t="s">
        <v>74</v>
      </c>
      <c r="T824" t="s">
        <v>74</v>
      </c>
      <c r="U824" t="s">
        <v>15603</v>
      </c>
      <c r="V824" t="s">
        <v>15604</v>
      </c>
      <c r="W824" t="s">
        <v>15605</v>
      </c>
      <c r="X824" t="s">
        <v>15606</v>
      </c>
      <c r="Y824" t="s">
        <v>15607</v>
      </c>
      <c r="Z824" t="s">
        <v>15608</v>
      </c>
      <c r="AA824" t="s">
        <v>13662</v>
      </c>
      <c r="AB824" t="s">
        <v>13663</v>
      </c>
      <c r="AC824" t="s">
        <v>15609</v>
      </c>
      <c r="AD824" t="s">
        <v>15610</v>
      </c>
      <c r="AE824" t="s">
        <v>15611</v>
      </c>
      <c r="AF824" t="s">
        <v>74</v>
      </c>
      <c r="AG824">
        <v>35</v>
      </c>
      <c r="AH824">
        <v>8</v>
      </c>
      <c r="AI824">
        <v>10</v>
      </c>
      <c r="AJ824">
        <v>1</v>
      </c>
      <c r="AK824">
        <v>31</v>
      </c>
      <c r="AL824" t="s">
        <v>2670</v>
      </c>
      <c r="AM824" t="s">
        <v>594</v>
      </c>
      <c r="AN824" t="s">
        <v>3187</v>
      </c>
      <c r="AO824" t="s">
        <v>6346</v>
      </c>
      <c r="AP824" t="s">
        <v>6347</v>
      </c>
      <c r="AQ824" t="s">
        <v>74</v>
      </c>
      <c r="AR824" t="s">
        <v>6348</v>
      </c>
      <c r="AS824" t="s">
        <v>6349</v>
      </c>
      <c r="AT824" t="s">
        <v>13423</v>
      </c>
      <c r="AU824">
        <v>2016</v>
      </c>
      <c r="AV824">
        <v>52</v>
      </c>
      <c r="AW824">
        <v>4</v>
      </c>
      <c r="AX824" t="s">
        <v>74</v>
      </c>
      <c r="AY824" t="s">
        <v>74</v>
      </c>
      <c r="AZ824" t="s">
        <v>74</v>
      </c>
      <c r="BA824" t="s">
        <v>74</v>
      </c>
      <c r="BB824">
        <v>442</v>
      </c>
      <c r="BC824">
        <v>449</v>
      </c>
      <c r="BD824" t="s">
        <v>74</v>
      </c>
      <c r="BE824" t="s">
        <v>15612</v>
      </c>
      <c r="BF824" t="str">
        <f>HYPERLINK("http://dx.doi.org/10.1017/S0032247416000085","http://dx.doi.org/10.1017/S0032247416000085")</f>
        <v>http://dx.doi.org/10.1017/S0032247416000085</v>
      </c>
      <c r="BG824" t="s">
        <v>74</v>
      </c>
      <c r="BH824" t="s">
        <v>74</v>
      </c>
      <c r="BI824">
        <v>8</v>
      </c>
      <c r="BJ824" t="s">
        <v>6351</v>
      </c>
      <c r="BK824" t="s">
        <v>156</v>
      </c>
      <c r="BL824" t="s">
        <v>532</v>
      </c>
      <c r="BM824" t="s">
        <v>15598</v>
      </c>
      <c r="BN824" t="s">
        <v>74</v>
      </c>
      <c r="BO824" t="s">
        <v>258</v>
      </c>
      <c r="BP824" t="s">
        <v>74</v>
      </c>
      <c r="BQ824" t="s">
        <v>74</v>
      </c>
      <c r="BR824" t="s">
        <v>105</v>
      </c>
      <c r="BS824" t="s">
        <v>15613</v>
      </c>
      <c r="BT824" t="str">
        <f>HYPERLINK("https%3A%2F%2Fwww.webofscience.com%2Fwos%2Fwoscc%2Ffull-record%2FWOS:000377206800006","View Full Record in Web of Science")</f>
        <v>View Full Record in Web of Science</v>
      </c>
    </row>
    <row r="825" spans="1:72" x14ac:dyDescent="0.15">
      <c r="A825" t="s">
        <v>72</v>
      </c>
      <c r="B825" t="s">
        <v>15614</v>
      </c>
      <c r="C825" t="s">
        <v>74</v>
      </c>
      <c r="D825" t="s">
        <v>74</v>
      </c>
      <c r="E825" t="s">
        <v>74</v>
      </c>
      <c r="F825" t="s">
        <v>15615</v>
      </c>
      <c r="G825" t="s">
        <v>74</v>
      </c>
      <c r="H825" t="s">
        <v>74</v>
      </c>
      <c r="I825" t="s">
        <v>15616</v>
      </c>
      <c r="J825" t="s">
        <v>2850</v>
      </c>
      <c r="K825" t="s">
        <v>74</v>
      </c>
      <c r="L825" t="s">
        <v>74</v>
      </c>
      <c r="M825" t="s">
        <v>78</v>
      </c>
      <c r="N825" t="s">
        <v>79</v>
      </c>
      <c r="O825" t="s">
        <v>74</v>
      </c>
      <c r="P825" t="s">
        <v>74</v>
      </c>
      <c r="Q825" t="s">
        <v>74</v>
      </c>
      <c r="R825" t="s">
        <v>74</v>
      </c>
      <c r="S825" t="s">
        <v>74</v>
      </c>
      <c r="T825" t="s">
        <v>15617</v>
      </c>
      <c r="U825" t="s">
        <v>15618</v>
      </c>
      <c r="V825" t="s">
        <v>15619</v>
      </c>
      <c r="W825" t="s">
        <v>15620</v>
      </c>
      <c r="X825" t="s">
        <v>15621</v>
      </c>
      <c r="Y825" t="s">
        <v>15622</v>
      </c>
      <c r="Z825" t="s">
        <v>74</v>
      </c>
      <c r="AA825" t="s">
        <v>15623</v>
      </c>
      <c r="AB825" t="s">
        <v>15624</v>
      </c>
      <c r="AC825" t="s">
        <v>15625</v>
      </c>
      <c r="AD825" t="s">
        <v>15625</v>
      </c>
      <c r="AE825" t="s">
        <v>15626</v>
      </c>
      <c r="AF825" t="s">
        <v>74</v>
      </c>
      <c r="AG825">
        <v>82</v>
      </c>
      <c r="AH825">
        <v>19</v>
      </c>
      <c r="AI825">
        <v>21</v>
      </c>
      <c r="AJ825">
        <v>1</v>
      </c>
      <c r="AK825">
        <v>28</v>
      </c>
      <c r="AL825" t="s">
        <v>196</v>
      </c>
      <c r="AM825" t="s">
        <v>93</v>
      </c>
      <c r="AN825" t="s">
        <v>197</v>
      </c>
      <c r="AO825" t="s">
        <v>2863</v>
      </c>
      <c r="AP825" t="s">
        <v>2864</v>
      </c>
      <c r="AQ825" t="s">
        <v>74</v>
      </c>
      <c r="AR825" t="s">
        <v>2865</v>
      </c>
      <c r="AS825" t="s">
        <v>2866</v>
      </c>
      <c r="AT825" t="s">
        <v>13423</v>
      </c>
      <c r="AU825">
        <v>2016</v>
      </c>
      <c r="AV825">
        <v>279</v>
      </c>
      <c r="AW825" t="s">
        <v>74</v>
      </c>
      <c r="AX825" t="s">
        <v>74</v>
      </c>
      <c r="AY825" t="s">
        <v>74</v>
      </c>
      <c r="AZ825" t="s">
        <v>74</v>
      </c>
      <c r="BA825" t="s">
        <v>74</v>
      </c>
      <c r="BB825">
        <v>103</v>
      </c>
      <c r="BC825">
        <v>122</v>
      </c>
      <c r="BD825" t="s">
        <v>74</v>
      </c>
      <c r="BE825" t="s">
        <v>15627</v>
      </c>
      <c r="BF825" t="str">
        <f>HYPERLINK("http://dx.doi.org/10.1016/j.precamres.2016.04.003","http://dx.doi.org/10.1016/j.precamres.2016.04.003")</f>
        <v>http://dx.doi.org/10.1016/j.precamres.2016.04.003</v>
      </c>
      <c r="BG825" t="s">
        <v>74</v>
      </c>
      <c r="BH825" t="s">
        <v>74</v>
      </c>
      <c r="BI825">
        <v>20</v>
      </c>
      <c r="BJ825" t="s">
        <v>352</v>
      </c>
      <c r="BK825" t="s">
        <v>156</v>
      </c>
      <c r="BL825" t="s">
        <v>177</v>
      </c>
      <c r="BM825" t="s">
        <v>15628</v>
      </c>
      <c r="BN825" t="s">
        <v>74</v>
      </c>
      <c r="BO825" t="s">
        <v>74</v>
      </c>
      <c r="BP825" t="s">
        <v>74</v>
      </c>
      <c r="BQ825" t="s">
        <v>74</v>
      </c>
      <c r="BR825" t="s">
        <v>105</v>
      </c>
      <c r="BS825" t="s">
        <v>15629</v>
      </c>
      <c r="BT825" t="str">
        <f>HYPERLINK("https%3A%2F%2Fwww.webofscience.com%2Fwos%2Fwoscc%2Ffull-record%2FWOS:000377739700007","View Full Record in Web of Science")</f>
        <v>View Full Record in Web of Science</v>
      </c>
    </row>
    <row r="826" spans="1:72" x14ac:dyDescent="0.15">
      <c r="A826" t="s">
        <v>72</v>
      </c>
      <c r="B826" t="s">
        <v>15630</v>
      </c>
      <c r="C826" t="s">
        <v>74</v>
      </c>
      <c r="D826" t="s">
        <v>74</v>
      </c>
      <c r="E826" t="s">
        <v>74</v>
      </c>
      <c r="F826" t="s">
        <v>15631</v>
      </c>
      <c r="G826" t="s">
        <v>74</v>
      </c>
      <c r="H826" t="s">
        <v>74</v>
      </c>
      <c r="I826" t="s">
        <v>15632</v>
      </c>
      <c r="J826" t="s">
        <v>4268</v>
      </c>
      <c r="K826" t="s">
        <v>74</v>
      </c>
      <c r="L826" t="s">
        <v>74</v>
      </c>
      <c r="M826" t="s">
        <v>78</v>
      </c>
      <c r="N826" t="s">
        <v>79</v>
      </c>
      <c r="O826" t="s">
        <v>74</v>
      </c>
      <c r="P826" t="s">
        <v>74</v>
      </c>
      <c r="Q826" t="s">
        <v>74</v>
      </c>
      <c r="R826" t="s">
        <v>74</v>
      </c>
      <c r="S826" t="s">
        <v>74</v>
      </c>
      <c r="T826" t="s">
        <v>15633</v>
      </c>
      <c r="U826" t="s">
        <v>15634</v>
      </c>
      <c r="V826" t="s">
        <v>15635</v>
      </c>
      <c r="W826" t="s">
        <v>15636</v>
      </c>
      <c r="X826" t="s">
        <v>15637</v>
      </c>
      <c r="Y826" t="s">
        <v>15638</v>
      </c>
      <c r="Z826" t="s">
        <v>15639</v>
      </c>
      <c r="AA826" t="s">
        <v>15640</v>
      </c>
      <c r="AB826" t="s">
        <v>15641</v>
      </c>
      <c r="AC826" t="s">
        <v>15642</v>
      </c>
      <c r="AD826" t="s">
        <v>15643</v>
      </c>
      <c r="AE826" t="s">
        <v>15644</v>
      </c>
      <c r="AF826" t="s">
        <v>74</v>
      </c>
      <c r="AG826">
        <v>57</v>
      </c>
      <c r="AH826">
        <v>13</v>
      </c>
      <c r="AI826">
        <v>14</v>
      </c>
      <c r="AJ826">
        <v>0</v>
      </c>
      <c r="AK826">
        <v>13</v>
      </c>
      <c r="AL826" t="s">
        <v>2541</v>
      </c>
      <c r="AM826" t="s">
        <v>502</v>
      </c>
      <c r="AN826" t="s">
        <v>503</v>
      </c>
      <c r="AO826" t="s">
        <v>4281</v>
      </c>
      <c r="AP826" t="s">
        <v>4282</v>
      </c>
      <c r="AQ826" t="s">
        <v>74</v>
      </c>
      <c r="AR826" t="s">
        <v>4283</v>
      </c>
      <c r="AS826" t="s">
        <v>4284</v>
      </c>
      <c r="AT826" t="s">
        <v>13423</v>
      </c>
      <c r="AU826">
        <v>2016</v>
      </c>
      <c r="AV826">
        <v>142</v>
      </c>
      <c r="AW826">
        <v>699</v>
      </c>
      <c r="AX826" t="s">
        <v>13527</v>
      </c>
      <c r="AY826" t="s">
        <v>74</v>
      </c>
      <c r="AZ826" t="s">
        <v>74</v>
      </c>
      <c r="BA826" t="s">
        <v>74</v>
      </c>
      <c r="BB826">
        <v>2411</v>
      </c>
      <c r="BC826">
        <v>2417</v>
      </c>
      <c r="BD826" t="s">
        <v>74</v>
      </c>
      <c r="BE826" t="s">
        <v>15645</v>
      </c>
      <c r="BF826" t="str">
        <f>HYPERLINK("http://dx.doi.org/10.1002/qj.2833","http://dx.doi.org/10.1002/qj.2833")</f>
        <v>http://dx.doi.org/10.1002/qj.2833</v>
      </c>
      <c r="BG826" t="s">
        <v>74</v>
      </c>
      <c r="BH826" t="s">
        <v>74</v>
      </c>
      <c r="BI826">
        <v>7</v>
      </c>
      <c r="BJ826" t="s">
        <v>2482</v>
      </c>
      <c r="BK826" t="s">
        <v>156</v>
      </c>
      <c r="BL826" t="s">
        <v>2482</v>
      </c>
      <c r="BM826" t="s">
        <v>13529</v>
      </c>
      <c r="BN826" t="s">
        <v>74</v>
      </c>
      <c r="BO826" t="s">
        <v>805</v>
      </c>
      <c r="BP826" t="s">
        <v>74</v>
      </c>
      <c r="BQ826" t="s">
        <v>74</v>
      </c>
      <c r="BR826" t="s">
        <v>105</v>
      </c>
      <c r="BS826" t="s">
        <v>15646</v>
      </c>
      <c r="BT826" t="str">
        <f>HYPERLINK("https%3A%2F%2Fwww.webofscience.com%2Fwos%2Fwoscc%2Ffull-record%2FWOS:000385367000016","View Full Record in Web of Science")</f>
        <v>View Full Record in Web of Science</v>
      </c>
    </row>
    <row r="827" spans="1:72" x14ac:dyDescent="0.15">
      <c r="A827" t="s">
        <v>72</v>
      </c>
      <c r="B827" t="s">
        <v>15647</v>
      </c>
      <c r="C827" t="s">
        <v>74</v>
      </c>
      <c r="D827" t="s">
        <v>74</v>
      </c>
      <c r="E827" t="s">
        <v>74</v>
      </c>
      <c r="F827" t="s">
        <v>15648</v>
      </c>
      <c r="G827" t="s">
        <v>74</v>
      </c>
      <c r="H827" t="s">
        <v>74</v>
      </c>
      <c r="I827" t="s">
        <v>15649</v>
      </c>
      <c r="J827" t="s">
        <v>1654</v>
      </c>
      <c r="K827" t="s">
        <v>74</v>
      </c>
      <c r="L827" t="s">
        <v>74</v>
      </c>
      <c r="M827" t="s">
        <v>78</v>
      </c>
      <c r="N827" t="s">
        <v>79</v>
      </c>
      <c r="O827" t="s">
        <v>74</v>
      </c>
      <c r="P827" t="s">
        <v>74</v>
      </c>
      <c r="Q827" t="s">
        <v>74</v>
      </c>
      <c r="R827" t="s">
        <v>74</v>
      </c>
      <c r="S827" t="s">
        <v>74</v>
      </c>
      <c r="T827" t="s">
        <v>15650</v>
      </c>
      <c r="U827" t="s">
        <v>15651</v>
      </c>
      <c r="V827" t="s">
        <v>15652</v>
      </c>
      <c r="W827" t="s">
        <v>15653</v>
      </c>
      <c r="X827" t="s">
        <v>15654</v>
      </c>
      <c r="Y827" t="s">
        <v>15655</v>
      </c>
      <c r="Z827" t="s">
        <v>15656</v>
      </c>
      <c r="AA827" t="s">
        <v>15657</v>
      </c>
      <c r="AB827" t="s">
        <v>15658</v>
      </c>
      <c r="AC827" t="s">
        <v>15659</v>
      </c>
      <c r="AD827" t="s">
        <v>15660</v>
      </c>
      <c r="AE827" t="s">
        <v>15661</v>
      </c>
      <c r="AF827" t="s">
        <v>74</v>
      </c>
      <c r="AG827">
        <v>73</v>
      </c>
      <c r="AH827">
        <v>22</v>
      </c>
      <c r="AI827">
        <v>34</v>
      </c>
      <c r="AJ827">
        <v>0</v>
      </c>
      <c r="AK827">
        <v>40</v>
      </c>
      <c r="AL827" t="s">
        <v>303</v>
      </c>
      <c r="AM827" t="s">
        <v>304</v>
      </c>
      <c r="AN827" t="s">
        <v>305</v>
      </c>
      <c r="AO827" t="s">
        <v>1666</v>
      </c>
      <c r="AP827" t="s">
        <v>74</v>
      </c>
      <c r="AQ827" t="s">
        <v>74</v>
      </c>
      <c r="AR827" t="s">
        <v>1668</v>
      </c>
      <c r="AS827" t="s">
        <v>1669</v>
      </c>
      <c r="AT827" t="s">
        <v>13581</v>
      </c>
      <c r="AU827">
        <v>2016</v>
      </c>
      <c r="AV827">
        <v>143</v>
      </c>
      <c r="AW827" t="s">
        <v>74</v>
      </c>
      <c r="AX827" t="s">
        <v>74</v>
      </c>
      <c r="AY827" t="s">
        <v>74</v>
      </c>
      <c r="AZ827" t="s">
        <v>74</v>
      </c>
      <c r="BA827" t="s">
        <v>74</v>
      </c>
      <c r="BB827">
        <v>1</v>
      </c>
      <c r="BC827">
        <v>12</v>
      </c>
      <c r="BD827" t="s">
        <v>74</v>
      </c>
      <c r="BE827" t="s">
        <v>15662</v>
      </c>
      <c r="BF827" t="str">
        <f>HYPERLINK("http://dx.doi.org/10.1016/j.quascirev.2016.05.003","http://dx.doi.org/10.1016/j.quascirev.2016.05.003")</f>
        <v>http://dx.doi.org/10.1016/j.quascirev.2016.05.003</v>
      </c>
      <c r="BG827" t="s">
        <v>74</v>
      </c>
      <c r="BH827" t="s">
        <v>74</v>
      </c>
      <c r="BI827">
        <v>12</v>
      </c>
      <c r="BJ827" t="s">
        <v>203</v>
      </c>
      <c r="BK827" t="s">
        <v>156</v>
      </c>
      <c r="BL827" t="s">
        <v>204</v>
      </c>
      <c r="BM827" t="s">
        <v>15663</v>
      </c>
      <c r="BN827" t="s">
        <v>74</v>
      </c>
      <c r="BO827" t="s">
        <v>74</v>
      </c>
      <c r="BP827" t="s">
        <v>74</v>
      </c>
      <c r="BQ827" t="s">
        <v>74</v>
      </c>
      <c r="BR827" t="s">
        <v>105</v>
      </c>
      <c r="BS827" t="s">
        <v>15664</v>
      </c>
      <c r="BT827" t="str">
        <f>HYPERLINK("https%3A%2F%2Fwww.webofscience.com%2Fwos%2Fwoscc%2Ffull-record%2FWOS:000378671500001","View Full Record in Web of Science")</f>
        <v>View Full Record in Web of Science</v>
      </c>
    </row>
    <row r="828" spans="1:72" x14ac:dyDescent="0.15">
      <c r="A828" t="s">
        <v>72</v>
      </c>
      <c r="B828" t="s">
        <v>15665</v>
      </c>
      <c r="C828" t="s">
        <v>74</v>
      </c>
      <c r="D828" t="s">
        <v>74</v>
      </c>
      <c r="E828" t="s">
        <v>74</v>
      </c>
      <c r="F828" t="s">
        <v>15666</v>
      </c>
      <c r="G828" t="s">
        <v>74</v>
      </c>
      <c r="H828" t="s">
        <v>74</v>
      </c>
      <c r="I828" t="s">
        <v>15667</v>
      </c>
      <c r="J828" t="s">
        <v>2554</v>
      </c>
      <c r="K828" t="s">
        <v>74</v>
      </c>
      <c r="L828" t="s">
        <v>74</v>
      </c>
      <c r="M828" t="s">
        <v>78</v>
      </c>
      <c r="N828" t="s">
        <v>79</v>
      </c>
      <c r="O828" t="s">
        <v>74</v>
      </c>
      <c r="P828" t="s">
        <v>74</v>
      </c>
      <c r="Q828" t="s">
        <v>74</v>
      </c>
      <c r="R828" t="s">
        <v>74</v>
      </c>
      <c r="S828" t="s">
        <v>74</v>
      </c>
      <c r="T828" t="s">
        <v>15668</v>
      </c>
      <c r="U828" t="s">
        <v>15669</v>
      </c>
      <c r="V828" t="s">
        <v>15670</v>
      </c>
      <c r="W828" t="s">
        <v>15671</v>
      </c>
      <c r="X828" t="s">
        <v>15672</v>
      </c>
      <c r="Y828" t="s">
        <v>15673</v>
      </c>
      <c r="Z828" t="s">
        <v>15674</v>
      </c>
      <c r="AA828" t="s">
        <v>15675</v>
      </c>
      <c r="AB828" t="s">
        <v>15676</v>
      </c>
      <c r="AC828" t="s">
        <v>15677</v>
      </c>
      <c r="AD828" t="s">
        <v>15678</v>
      </c>
      <c r="AE828" t="s">
        <v>15679</v>
      </c>
      <c r="AF828" t="s">
        <v>74</v>
      </c>
      <c r="AG828">
        <v>39</v>
      </c>
      <c r="AH828">
        <v>110</v>
      </c>
      <c r="AI828">
        <v>116</v>
      </c>
      <c r="AJ828">
        <v>5</v>
      </c>
      <c r="AK828">
        <v>55</v>
      </c>
      <c r="AL828" t="s">
        <v>4320</v>
      </c>
      <c r="AM828" t="s">
        <v>2567</v>
      </c>
      <c r="AN828" t="s">
        <v>2568</v>
      </c>
      <c r="AO828" t="s">
        <v>2569</v>
      </c>
      <c r="AP828" t="s">
        <v>74</v>
      </c>
      <c r="AQ828" t="s">
        <v>74</v>
      </c>
      <c r="AR828" t="s">
        <v>2570</v>
      </c>
      <c r="AS828" t="s">
        <v>2571</v>
      </c>
      <c r="AT828" t="s">
        <v>13423</v>
      </c>
      <c r="AU828">
        <v>2016</v>
      </c>
      <c r="AV828">
        <v>8</v>
      </c>
      <c r="AW828">
        <v>7</v>
      </c>
      <c r="AX828" t="s">
        <v>74</v>
      </c>
      <c r="AY828" t="s">
        <v>74</v>
      </c>
      <c r="AZ828" t="s">
        <v>74</v>
      </c>
      <c r="BA828" t="s">
        <v>74</v>
      </c>
      <c r="BB828" t="s">
        <v>74</v>
      </c>
      <c r="BC828" t="s">
        <v>74</v>
      </c>
      <c r="BD828">
        <v>598</v>
      </c>
      <c r="BE828" t="s">
        <v>15680</v>
      </c>
      <c r="BF828" t="str">
        <f>HYPERLINK("http://dx.doi.org/10.3390/rs8070598","http://dx.doi.org/10.3390/rs8070598")</f>
        <v>http://dx.doi.org/10.3390/rs8070598</v>
      </c>
      <c r="BG828" t="s">
        <v>74</v>
      </c>
      <c r="BH828" t="s">
        <v>74</v>
      </c>
      <c r="BI828">
        <v>24</v>
      </c>
      <c r="BJ828" t="s">
        <v>2573</v>
      </c>
      <c r="BK828" t="s">
        <v>156</v>
      </c>
      <c r="BL828" t="s">
        <v>2574</v>
      </c>
      <c r="BM828" t="s">
        <v>15681</v>
      </c>
      <c r="BN828" t="s">
        <v>74</v>
      </c>
      <c r="BO828" t="s">
        <v>2009</v>
      </c>
      <c r="BP828" t="s">
        <v>74</v>
      </c>
      <c r="BQ828" t="s">
        <v>74</v>
      </c>
      <c r="BR828" t="s">
        <v>105</v>
      </c>
      <c r="BS828" t="s">
        <v>15682</v>
      </c>
      <c r="BT828" t="str">
        <f>HYPERLINK("https%3A%2F%2Fwww.webofscience.com%2Fwos%2Fwoscc%2Ffull-record%2FWOS:000382224800068","View Full Record in Web of Science")</f>
        <v>View Full Record in Web of Science</v>
      </c>
    </row>
    <row r="829" spans="1:72" x14ac:dyDescent="0.15">
      <c r="A829" t="s">
        <v>72</v>
      </c>
      <c r="B829" t="s">
        <v>15683</v>
      </c>
      <c r="C829" t="s">
        <v>74</v>
      </c>
      <c r="D829" t="s">
        <v>74</v>
      </c>
      <c r="E829" t="s">
        <v>74</v>
      </c>
      <c r="F829" t="s">
        <v>15684</v>
      </c>
      <c r="G829" t="s">
        <v>74</v>
      </c>
      <c r="H829" t="s">
        <v>74</v>
      </c>
      <c r="I829" t="s">
        <v>15685</v>
      </c>
      <c r="J829" t="s">
        <v>2554</v>
      </c>
      <c r="K829" t="s">
        <v>74</v>
      </c>
      <c r="L829" t="s">
        <v>74</v>
      </c>
      <c r="M829" t="s">
        <v>78</v>
      </c>
      <c r="N829" t="s">
        <v>79</v>
      </c>
      <c r="O829" t="s">
        <v>74</v>
      </c>
      <c r="P829" t="s">
        <v>74</v>
      </c>
      <c r="Q829" t="s">
        <v>74</v>
      </c>
      <c r="R829" t="s">
        <v>74</v>
      </c>
      <c r="S829" t="s">
        <v>74</v>
      </c>
      <c r="T829" t="s">
        <v>15686</v>
      </c>
      <c r="U829" t="s">
        <v>15687</v>
      </c>
      <c r="V829" t="s">
        <v>15688</v>
      </c>
      <c r="W829" t="s">
        <v>15689</v>
      </c>
      <c r="X829" t="s">
        <v>15690</v>
      </c>
      <c r="Y829" t="s">
        <v>15691</v>
      </c>
      <c r="Z829" t="s">
        <v>15692</v>
      </c>
      <c r="AA829" t="s">
        <v>15693</v>
      </c>
      <c r="AB829" t="s">
        <v>15694</v>
      </c>
      <c r="AC829" t="s">
        <v>15695</v>
      </c>
      <c r="AD829" t="s">
        <v>15696</v>
      </c>
      <c r="AE829" t="s">
        <v>15697</v>
      </c>
      <c r="AF829" t="s">
        <v>74</v>
      </c>
      <c r="AG829">
        <v>59</v>
      </c>
      <c r="AH829">
        <v>31</v>
      </c>
      <c r="AI829">
        <v>35</v>
      </c>
      <c r="AJ829">
        <v>3</v>
      </c>
      <c r="AK829">
        <v>32</v>
      </c>
      <c r="AL829" t="s">
        <v>4320</v>
      </c>
      <c r="AM829" t="s">
        <v>2567</v>
      </c>
      <c r="AN829" t="s">
        <v>2568</v>
      </c>
      <c r="AO829" t="s">
        <v>2569</v>
      </c>
      <c r="AP829" t="s">
        <v>74</v>
      </c>
      <c r="AQ829" t="s">
        <v>74</v>
      </c>
      <c r="AR829" t="s">
        <v>2570</v>
      </c>
      <c r="AS829" t="s">
        <v>2571</v>
      </c>
      <c r="AT829" t="s">
        <v>13423</v>
      </c>
      <c r="AU829">
        <v>2016</v>
      </c>
      <c r="AV829">
        <v>8</v>
      </c>
      <c r="AW829">
        <v>7</v>
      </c>
      <c r="AX829" t="s">
        <v>74</v>
      </c>
      <c r="AY829" t="s">
        <v>74</v>
      </c>
      <c r="AZ829" t="s">
        <v>74</v>
      </c>
      <c r="BA829" t="s">
        <v>74</v>
      </c>
      <c r="BB829" t="s">
        <v>74</v>
      </c>
      <c r="BC829" t="s">
        <v>74</v>
      </c>
      <c r="BD829">
        <v>538</v>
      </c>
      <c r="BE829" t="s">
        <v>15698</v>
      </c>
      <c r="BF829" t="str">
        <f>HYPERLINK("http://dx.doi.org/10.3390/rs8070538","http://dx.doi.org/10.3390/rs8070538")</f>
        <v>http://dx.doi.org/10.3390/rs8070538</v>
      </c>
      <c r="BG829" t="s">
        <v>74</v>
      </c>
      <c r="BH829" t="s">
        <v>74</v>
      </c>
      <c r="BI829">
        <v>27</v>
      </c>
      <c r="BJ829" t="s">
        <v>2573</v>
      </c>
      <c r="BK829" t="s">
        <v>156</v>
      </c>
      <c r="BL829" t="s">
        <v>2574</v>
      </c>
      <c r="BM829" t="s">
        <v>15681</v>
      </c>
      <c r="BN829" t="s">
        <v>74</v>
      </c>
      <c r="BO829" t="s">
        <v>4534</v>
      </c>
      <c r="BP829" t="s">
        <v>74</v>
      </c>
      <c r="BQ829" t="s">
        <v>74</v>
      </c>
      <c r="BR829" t="s">
        <v>105</v>
      </c>
      <c r="BS829" t="s">
        <v>15699</v>
      </c>
      <c r="BT829" t="str">
        <f>HYPERLINK("https%3A%2F%2Fwww.webofscience.com%2Fwos%2Fwoscc%2Ffull-record%2FWOS:000382224800008","View Full Record in Web of Science")</f>
        <v>View Full Record in Web of Science</v>
      </c>
    </row>
    <row r="830" spans="1:72" x14ac:dyDescent="0.15">
      <c r="A830" t="s">
        <v>72</v>
      </c>
      <c r="B830" t="s">
        <v>15700</v>
      </c>
      <c r="C830" t="s">
        <v>74</v>
      </c>
      <c r="D830" t="s">
        <v>74</v>
      </c>
      <c r="E830" t="s">
        <v>74</v>
      </c>
      <c r="F830" t="s">
        <v>15701</v>
      </c>
      <c r="G830" t="s">
        <v>74</v>
      </c>
      <c r="H830" t="s">
        <v>74</v>
      </c>
      <c r="I830" t="s">
        <v>15702</v>
      </c>
      <c r="J830" t="s">
        <v>4327</v>
      </c>
      <c r="K830" t="s">
        <v>74</v>
      </c>
      <c r="L830" t="s">
        <v>74</v>
      </c>
      <c r="M830" t="s">
        <v>78</v>
      </c>
      <c r="N830" t="s">
        <v>79</v>
      </c>
      <c r="O830" t="s">
        <v>74</v>
      </c>
      <c r="P830" t="s">
        <v>74</v>
      </c>
      <c r="Q830" t="s">
        <v>74</v>
      </c>
      <c r="R830" t="s">
        <v>74</v>
      </c>
      <c r="S830" t="s">
        <v>74</v>
      </c>
      <c r="T830" t="s">
        <v>15703</v>
      </c>
      <c r="U830" t="s">
        <v>15704</v>
      </c>
      <c r="V830" t="s">
        <v>15705</v>
      </c>
      <c r="W830" t="s">
        <v>15706</v>
      </c>
      <c r="X830" t="s">
        <v>15707</v>
      </c>
      <c r="Y830" t="s">
        <v>15708</v>
      </c>
      <c r="Z830" t="s">
        <v>74</v>
      </c>
      <c r="AA830" t="s">
        <v>15709</v>
      </c>
      <c r="AB830" t="s">
        <v>15710</v>
      </c>
      <c r="AC830" t="s">
        <v>15711</v>
      </c>
      <c r="AD830" t="s">
        <v>15712</v>
      </c>
      <c r="AE830" t="s">
        <v>15713</v>
      </c>
      <c r="AF830" t="s">
        <v>74</v>
      </c>
      <c r="AG830">
        <v>70</v>
      </c>
      <c r="AH830">
        <v>5</v>
      </c>
      <c r="AI830">
        <v>5</v>
      </c>
      <c r="AJ830">
        <v>1</v>
      </c>
      <c r="AK830">
        <v>17</v>
      </c>
      <c r="AL830" t="s">
        <v>196</v>
      </c>
      <c r="AM830" t="s">
        <v>93</v>
      </c>
      <c r="AN830" t="s">
        <v>197</v>
      </c>
      <c r="AO830" t="s">
        <v>4340</v>
      </c>
      <c r="AP830" t="s">
        <v>4341</v>
      </c>
      <c r="AQ830" t="s">
        <v>74</v>
      </c>
      <c r="AR830" t="s">
        <v>4342</v>
      </c>
      <c r="AS830" t="s">
        <v>4343</v>
      </c>
      <c r="AT830" t="s">
        <v>13423</v>
      </c>
      <c r="AU830">
        <v>2016</v>
      </c>
      <c r="AV830">
        <v>230</v>
      </c>
      <c r="AW830" t="s">
        <v>74</v>
      </c>
      <c r="AX830" t="s">
        <v>74</v>
      </c>
      <c r="AY830" t="s">
        <v>74</v>
      </c>
      <c r="AZ830" t="s">
        <v>74</v>
      </c>
      <c r="BA830" t="s">
        <v>74</v>
      </c>
      <c r="BB830">
        <v>37</v>
      </c>
      <c r="BC830">
        <v>46</v>
      </c>
      <c r="BD830" t="s">
        <v>74</v>
      </c>
      <c r="BE830" t="s">
        <v>15714</v>
      </c>
      <c r="BF830" t="str">
        <f>HYPERLINK("http://dx.doi.org/10.1016/j.revpalbo.2016.03.005","http://dx.doi.org/10.1016/j.revpalbo.2016.03.005")</f>
        <v>http://dx.doi.org/10.1016/j.revpalbo.2016.03.005</v>
      </c>
      <c r="BG830" t="s">
        <v>74</v>
      </c>
      <c r="BH830" t="s">
        <v>74</v>
      </c>
      <c r="BI830">
        <v>10</v>
      </c>
      <c r="BJ830" t="s">
        <v>4345</v>
      </c>
      <c r="BK830" t="s">
        <v>156</v>
      </c>
      <c r="BL830" t="s">
        <v>4345</v>
      </c>
      <c r="BM830" t="s">
        <v>15715</v>
      </c>
      <c r="BN830" t="s">
        <v>74</v>
      </c>
      <c r="BO830" t="s">
        <v>805</v>
      </c>
      <c r="BP830" t="s">
        <v>74</v>
      </c>
      <c r="BQ830" t="s">
        <v>74</v>
      </c>
      <c r="BR830" t="s">
        <v>105</v>
      </c>
      <c r="BS830" t="s">
        <v>15716</v>
      </c>
      <c r="BT830" t="str">
        <f>HYPERLINK("https%3A%2F%2Fwww.webofscience.com%2Fwos%2Fwoscc%2Ffull-record%2FWOS:000377727700004","View Full Record in Web of Science")</f>
        <v>View Full Record in Web of Science</v>
      </c>
    </row>
    <row r="831" spans="1:72" x14ac:dyDescent="0.15">
      <c r="A831" t="s">
        <v>72</v>
      </c>
      <c r="B831" t="s">
        <v>15717</v>
      </c>
      <c r="C831" t="s">
        <v>74</v>
      </c>
      <c r="D831" t="s">
        <v>74</v>
      </c>
      <c r="E831" t="s">
        <v>74</v>
      </c>
      <c r="F831" t="s">
        <v>15718</v>
      </c>
      <c r="G831" t="s">
        <v>74</v>
      </c>
      <c r="H831" t="s">
        <v>74</v>
      </c>
      <c r="I831" t="s">
        <v>15719</v>
      </c>
      <c r="J831" t="s">
        <v>700</v>
      </c>
      <c r="K831" t="s">
        <v>74</v>
      </c>
      <c r="L831" t="s">
        <v>74</v>
      </c>
      <c r="M831" t="s">
        <v>78</v>
      </c>
      <c r="N831" t="s">
        <v>79</v>
      </c>
      <c r="O831" t="s">
        <v>74</v>
      </c>
      <c r="P831" t="s">
        <v>74</v>
      </c>
      <c r="Q831" t="s">
        <v>74</v>
      </c>
      <c r="R831" t="s">
        <v>74</v>
      </c>
      <c r="S831" t="s">
        <v>74</v>
      </c>
      <c r="T831" t="s">
        <v>15720</v>
      </c>
      <c r="U831" t="s">
        <v>15721</v>
      </c>
      <c r="V831" t="s">
        <v>15722</v>
      </c>
      <c r="W831" t="s">
        <v>15723</v>
      </c>
      <c r="X831" t="s">
        <v>15724</v>
      </c>
      <c r="Y831" t="s">
        <v>11773</v>
      </c>
      <c r="Z831" t="s">
        <v>15725</v>
      </c>
      <c r="AA831" t="s">
        <v>15726</v>
      </c>
      <c r="AB831" t="s">
        <v>15727</v>
      </c>
      <c r="AC831" t="s">
        <v>15728</v>
      </c>
      <c r="AD831" t="s">
        <v>15729</v>
      </c>
      <c r="AE831" t="s">
        <v>15730</v>
      </c>
      <c r="AF831" t="s">
        <v>74</v>
      </c>
      <c r="AG831">
        <v>96</v>
      </c>
      <c r="AH831">
        <v>10</v>
      </c>
      <c r="AI831">
        <v>10</v>
      </c>
      <c r="AJ831">
        <v>1</v>
      </c>
      <c r="AK831">
        <v>43</v>
      </c>
      <c r="AL831" t="s">
        <v>713</v>
      </c>
      <c r="AM831" t="s">
        <v>250</v>
      </c>
      <c r="AN831" t="s">
        <v>714</v>
      </c>
      <c r="AO831" t="s">
        <v>715</v>
      </c>
      <c r="AP831" t="s">
        <v>74</v>
      </c>
      <c r="AQ831" t="s">
        <v>74</v>
      </c>
      <c r="AR831" t="s">
        <v>716</v>
      </c>
      <c r="AS831" t="s">
        <v>717</v>
      </c>
      <c r="AT831" t="s">
        <v>13423</v>
      </c>
      <c r="AU831">
        <v>2016</v>
      </c>
      <c r="AV831">
        <v>3</v>
      </c>
      <c r="AW831">
        <v>7</v>
      </c>
      <c r="AX831" t="s">
        <v>74</v>
      </c>
      <c r="AY831" t="s">
        <v>74</v>
      </c>
      <c r="AZ831" t="s">
        <v>74</v>
      </c>
      <c r="BA831" t="s">
        <v>74</v>
      </c>
      <c r="BB831" t="s">
        <v>74</v>
      </c>
      <c r="BC831" t="s">
        <v>74</v>
      </c>
      <c r="BD831">
        <v>160291</v>
      </c>
      <c r="BE831" t="s">
        <v>15731</v>
      </c>
      <c r="BF831" t="str">
        <f>HYPERLINK("http://dx.doi.org/10.1098/rsos.160291","http://dx.doi.org/10.1098/rsos.160291")</f>
        <v>http://dx.doi.org/10.1098/rsos.160291</v>
      </c>
      <c r="BG831" t="s">
        <v>74</v>
      </c>
      <c r="BH831" t="s">
        <v>74</v>
      </c>
      <c r="BI831">
        <v>17</v>
      </c>
      <c r="BJ831" t="s">
        <v>719</v>
      </c>
      <c r="BK831" t="s">
        <v>156</v>
      </c>
      <c r="BL831" t="s">
        <v>720</v>
      </c>
      <c r="BM831" t="s">
        <v>13650</v>
      </c>
      <c r="BN831">
        <v>27493782</v>
      </c>
      <c r="BO831" t="s">
        <v>1916</v>
      </c>
      <c r="BP831" t="s">
        <v>74</v>
      </c>
      <c r="BQ831" t="s">
        <v>74</v>
      </c>
      <c r="BR831" t="s">
        <v>105</v>
      </c>
      <c r="BS831" t="s">
        <v>15732</v>
      </c>
      <c r="BT831" t="str">
        <f>HYPERLINK("https%3A%2F%2Fwww.webofscience.com%2Fwos%2Fwoscc%2Ffull-record%2FWOS:000384409400019","View Full Record in Web of Science")</f>
        <v>View Full Record in Web of Science</v>
      </c>
    </row>
    <row r="832" spans="1:72" x14ac:dyDescent="0.15">
      <c r="A832" t="s">
        <v>72</v>
      </c>
      <c r="B832" t="s">
        <v>15733</v>
      </c>
      <c r="C832" t="s">
        <v>74</v>
      </c>
      <c r="D832" t="s">
        <v>74</v>
      </c>
      <c r="E832" t="s">
        <v>74</v>
      </c>
      <c r="F832" t="s">
        <v>15734</v>
      </c>
      <c r="G832" t="s">
        <v>74</v>
      </c>
      <c r="H832" t="s">
        <v>74</v>
      </c>
      <c r="I832" t="s">
        <v>15735</v>
      </c>
      <c r="J832" t="s">
        <v>15736</v>
      </c>
      <c r="K832" t="s">
        <v>74</v>
      </c>
      <c r="L832" t="s">
        <v>74</v>
      </c>
      <c r="M832" t="s">
        <v>78</v>
      </c>
      <c r="N832" t="s">
        <v>79</v>
      </c>
      <c r="O832" t="s">
        <v>74</v>
      </c>
      <c r="P832" t="s">
        <v>74</v>
      </c>
      <c r="Q832" t="s">
        <v>74</v>
      </c>
      <c r="R832" t="s">
        <v>74</v>
      </c>
      <c r="S832" t="s">
        <v>74</v>
      </c>
      <c r="T832" t="s">
        <v>15737</v>
      </c>
      <c r="U832" t="s">
        <v>15738</v>
      </c>
      <c r="V832" t="s">
        <v>15739</v>
      </c>
      <c r="W832" t="s">
        <v>15740</v>
      </c>
      <c r="X832" t="s">
        <v>15741</v>
      </c>
      <c r="Y832" t="s">
        <v>15742</v>
      </c>
      <c r="Z832" t="s">
        <v>15743</v>
      </c>
      <c r="AA832" t="s">
        <v>15744</v>
      </c>
      <c r="AB832" t="s">
        <v>15745</v>
      </c>
      <c r="AC832" t="s">
        <v>15746</v>
      </c>
      <c r="AD832" t="s">
        <v>15747</v>
      </c>
      <c r="AE832" t="s">
        <v>15748</v>
      </c>
      <c r="AF832" t="s">
        <v>74</v>
      </c>
      <c r="AG832">
        <v>67</v>
      </c>
      <c r="AH832">
        <v>19</v>
      </c>
      <c r="AI832">
        <v>19</v>
      </c>
      <c r="AJ832">
        <v>0</v>
      </c>
      <c r="AK832">
        <v>16</v>
      </c>
      <c r="AL832" t="s">
        <v>196</v>
      </c>
      <c r="AM832" t="s">
        <v>93</v>
      </c>
      <c r="AN832" t="s">
        <v>197</v>
      </c>
      <c r="AO832" t="s">
        <v>15749</v>
      </c>
      <c r="AP832" t="s">
        <v>15750</v>
      </c>
      <c r="AQ832" t="s">
        <v>74</v>
      </c>
      <c r="AR832" t="s">
        <v>15751</v>
      </c>
      <c r="AS832" t="s">
        <v>15752</v>
      </c>
      <c r="AT832" t="s">
        <v>13581</v>
      </c>
      <c r="AU832">
        <v>2016</v>
      </c>
      <c r="AV832">
        <v>340</v>
      </c>
      <c r="AW832" t="s">
        <v>74</v>
      </c>
      <c r="AX832" t="s">
        <v>74</v>
      </c>
      <c r="AY832" t="s">
        <v>74</v>
      </c>
      <c r="AZ832" t="s">
        <v>650</v>
      </c>
      <c r="BA832" t="s">
        <v>74</v>
      </c>
      <c r="BB832">
        <v>49</v>
      </c>
      <c r="BC832">
        <v>61</v>
      </c>
      <c r="BD832" t="s">
        <v>74</v>
      </c>
      <c r="BE832" t="s">
        <v>15753</v>
      </c>
      <c r="BF832" t="str">
        <f>HYPERLINK("http://dx.doi.org/10.1016/j.sedgeo.2015.08.002","http://dx.doi.org/10.1016/j.sedgeo.2015.08.002")</f>
        <v>http://dx.doi.org/10.1016/j.sedgeo.2015.08.002</v>
      </c>
      <c r="BG832" t="s">
        <v>74</v>
      </c>
      <c r="BH832" t="s">
        <v>74</v>
      </c>
      <c r="BI832">
        <v>13</v>
      </c>
      <c r="BJ832" t="s">
        <v>177</v>
      </c>
      <c r="BK832" t="s">
        <v>156</v>
      </c>
      <c r="BL832" t="s">
        <v>177</v>
      </c>
      <c r="BM832" t="s">
        <v>15754</v>
      </c>
      <c r="BN832" t="s">
        <v>74</v>
      </c>
      <c r="BO832" t="s">
        <v>74</v>
      </c>
      <c r="BP832" t="s">
        <v>74</v>
      </c>
      <c r="BQ832" t="s">
        <v>74</v>
      </c>
      <c r="BR832" t="s">
        <v>105</v>
      </c>
      <c r="BS832" t="s">
        <v>15755</v>
      </c>
      <c r="BT832" t="str">
        <f>HYPERLINK("https%3A%2F%2Fwww.webofscience.com%2Fwos%2Fwoscc%2Ffull-record%2FWOS:000378439500007","View Full Record in Web of Science")</f>
        <v>View Full Record in Web of Science</v>
      </c>
    </row>
    <row r="833" spans="1:72" x14ac:dyDescent="0.15">
      <c r="A833" t="s">
        <v>72</v>
      </c>
      <c r="B833" t="s">
        <v>15756</v>
      </c>
      <c r="C833" t="s">
        <v>74</v>
      </c>
      <c r="D833" t="s">
        <v>74</v>
      </c>
      <c r="E833" t="s">
        <v>74</v>
      </c>
      <c r="F833" t="s">
        <v>15757</v>
      </c>
      <c r="G833" t="s">
        <v>74</v>
      </c>
      <c r="H833" t="s">
        <v>74</v>
      </c>
      <c r="I833" t="s">
        <v>15758</v>
      </c>
      <c r="J833" t="s">
        <v>15759</v>
      </c>
      <c r="K833" t="s">
        <v>74</v>
      </c>
      <c r="L833" t="s">
        <v>74</v>
      </c>
      <c r="M833" t="s">
        <v>78</v>
      </c>
      <c r="N833" t="s">
        <v>79</v>
      </c>
      <c r="O833" t="s">
        <v>74</v>
      </c>
      <c r="P833" t="s">
        <v>74</v>
      </c>
      <c r="Q833" t="s">
        <v>74</v>
      </c>
      <c r="R833" t="s">
        <v>74</v>
      </c>
      <c r="S833" t="s">
        <v>74</v>
      </c>
      <c r="T833" t="s">
        <v>15760</v>
      </c>
      <c r="U833" t="s">
        <v>15761</v>
      </c>
      <c r="V833" t="s">
        <v>15762</v>
      </c>
      <c r="W833" t="s">
        <v>15763</v>
      </c>
      <c r="X833" t="s">
        <v>7538</v>
      </c>
      <c r="Y833" t="s">
        <v>15764</v>
      </c>
      <c r="Z833" t="s">
        <v>15765</v>
      </c>
      <c r="AA833" t="s">
        <v>15766</v>
      </c>
      <c r="AB833" t="s">
        <v>15767</v>
      </c>
      <c r="AC833" t="s">
        <v>15768</v>
      </c>
      <c r="AD833" t="s">
        <v>15769</v>
      </c>
      <c r="AE833" t="s">
        <v>15770</v>
      </c>
      <c r="AF833" t="s">
        <v>74</v>
      </c>
      <c r="AG833">
        <v>29</v>
      </c>
      <c r="AH833">
        <v>34</v>
      </c>
      <c r="AI833">
        <v>35</v>
      </c>
      <c r="AJ833">
        <v>0</v>
      </c>
      <c r="AK833">
        <v>15</v>
      </c>
      <c r="AL833" t="s">
        <v>2670</v>
      </c>
      <c r="AM833" t="s">
        <v>594</v>
      </c>
      <c r="AN833" t="s">
        <v>3187</v>
      </c>
      <c r="AO833" t="s">
        <v>15771</v>
      </c>
      <c r="AP833" t="s">
        <v>15772</v>
      </c>
      <c r="AQ833" t="s">
        <v>74</v>
      </c>
      <c r="AR833" t="s">
        <v>15773</v>
      </c>
      <c r="AS833" t="s">
        <v>15774</v>
      </c>
      <c r="AT833" t="s">
        <v>13423</v>
      </c>
      <c r="AU833">
        <v>2016</v>
      </c>
      <c r="AV833">
        <v>798</v>
      </c>
      <c r="AW833" t="s">
        <v>74</v>
      </c>
      <c r="AX833" t="s">
        <v>74</v>
      </c>
      <c r="AY833" t="s">
        <v>74</v>
      </c>
      <c r="AZ833" t="s">
        <v>74</v>
      </c>
      <c r="BA833" t="s">
        <v>74</v>
      </c>
      <c r="BB833">
        <v>284</v>
      </c>
      <c r="BC833">
        <v>298</v>
      </c>
      <c r="BD833" t="s">
        <v>74</v>
      </c>
      <c r="BE833" t="s">
        <v>15775</v>
      </c>
      <c r="BF833" t="str">
        <f>HYPERLINK("http://dx.doi.org/10.1017/jfm.2016.315","http://dx.doi.org/10.1017/jfm.2016.315")</f>
        <v>http://dx.doi.org/10.1017/jfm.2016.315</v>
      </c>
      <c r="BG833" t="s">
        <v>74</v>
      </c>
      <c r="BH833" t="s">
        <v>74</v>
      </c>
      <c r="BI833">
        <v>15</v>
      </c>
      <c r="BJ833" t="s">
        <v>7956</v>
      </c>
      <c r="BK833" t="s">
        <v>156</v>
      </c>
      <c r="BL833" t="s">
        <v>7957</v>
      </c>
      <c r="BM833" t="s">
        <v>15776</v>
      </c>
      <c r="BN833" t="s">
        <v>74</v>
      </c>
      <c r="BO833" t="s">
        <v>74</v>
      </c>
      <c r="BP833" t="s">
        <v>74</v>
      </c>
      <c r="BQ833" t="s">
        <v>74</v>
      </c>
      <c r="BR833" t="s">
        <v>105</v>
      </c>
      <c r="BS833" t="s">
        <v>15777</v>
      </c>
      <c r="BT833" t="str">
        <f>HYPERLINK("https%3A%2F%2Fwww.webofscience.com%2Fwos%2Fwoscc%2Ffull-record%2FWOS:000377447400015","View Full Record in Web of Science")</f>
        <v>View Full Record in Web of Science</v>
      </c>
    </row>
    <row r="834" spans="1:72" x14ac:dyDescent="0.15">
      <c r="A834" t="s">
        <v>72</v>
      </c>
      <c r="B834" t="s">
        <v>15778</v>
      </c>
      <c r="C834" t="s">
        <v>74</v>
      </c>
      <c r="D834" t="s">
        <v>74</v>
      </c>
      <c r="E834" t="s">
        <v>74</v>
      </c>
      <c r="F834" t="s">
        <v>15779</v>
      </c>
      <c r="G834" t="s">
        <v>74</v>
      </c>
      <c r="H834" t="s">
        <v>74</v>
      </c>
      <c r="I834" t="s">
        <v>15780</v>
      </c>
      <c r="J834" t="s">
        <v>15759</v>
      </c>
      <c r="K834" t="s">
        <v>74</v>
      </c>
      <c r="L834" t="s">
        <v>74</v>
      </c>
      <c r="M834" t="s">
        <v>78</v>
      </c>
      <c r="N834" t="s">
        <v>79</v>
      </c>
      <c r="O834" t="s">
        <v>74</v>
      </c>
      <c r="P834" t="s">
        <v>74</v>
      </c>
      <c r="Q834" t="s">
        <v>74</v>
      </c>
      <c r="R834" t="s">
        <v>74</v>
      </c>
      <c r="S834" t="s">
        <v>74</v>
      </c>
      <c r="T834" t="s">
        <v>15781</v>
      </c>
      <c r="U834" t="s">
        <v>15782</v>
      </c>
      <c r="V834" t="s">
        <v>15783</v>
      </c>
      <c r="W834" t="s">
        <v>15784</v>
      </c>
      <c r="X834" t="s">
        <v>3040</v>
      </c>
      <c r="Y834" t="s">
        <v>15785</v>
      </c>
      <c r="Z834" t="s">
        <v>15786</v>
      </c>
      <c r="AA834" t="s">
        <v>15787</v>
      </c>
      <c r="AB834" t="s">
        <v>15788</v>
      </c>
      <c r="AC834" t="s">
        <v>15789</v>
      </c>
      <c r="AD834" t="s">
        <v>2632</v>
      </c>
      <c r="AE834" t="s">
        <v>15790</v>
      </c>
      <c r="AF834" t="s">
        <v>74</v>
      </c>
      <c r="AG834">
        <v>43</v>
      </c>
      <c r="AH834">
        <v>11</v>
      </c>
      <c r="AI834">
        <v>11</v>
      </c>
      <c r="AJ834">
        <v>0</v>
      </c>
      <c r="AK834">
        <v>24</v>
      </c>
      <c r="AL834" t="s">
        <v>2670</v>
      </c>
      <c r="AM834" t="s">
        <v>594</v>
      </c>
      <c r="AN834" t="s">
        <v>3187</v>
      </c>
      <c r="AO834" t="s">
        <v>15771</v>
      </c>
      <c r="AP834" t="s">
        <v>15772</v>
      </c>
      <c r="AQ834" t="s">
        <v>74</v>
      </c>
      <c r="AR834" t="s">
        <v>15773</v>
      </c>
      <c r="AS834" t="s">
        <v>15774</v>
      </c>
      <c r="AT834" t="s">
        <v>13423</v>
      </c>
      <c r="AU834">
        <v>2016</v>
      </c>
      <c r="AV834">
        <v>798</v>
      </c>
      <c r="AW834" t="s">
        <v>74</v>
      </c>
      <c r="AX834" t="s">
        <v>74</v>
      </c>
      <c r="AY834" t="s">
        <v>74</v>
      </c>
      <c r="AZ834" t="s">
        <v>74</v>
      </c>
      <c r="BA834" t="s">
        <v>74</v>
      </c>
      <c r="BB834">
        <v>572</v>
      </c>
      <c r="BC834">
        <v>597</v>
      </c>
      <c r="BD834" t="s">
        <v>74</v>
      </c>
      <c r="BE834" t="s">
        <v>15791</v>
      </c>
      <c r="BF834" t="str">
        <f>HYPERLINK("http://dx.doi.org/10.1017/jfm.2016.321","http://dx.doi.org/10.1017/jfm.2016.321")</f>
        <v>http://dx.doi.org/10.1017/jfm.2016.321</v>
      </c>
      <c r="BG834" t="s">
        <v>74</v>
      </c>
      <c r="BH834" t="s">
        <v>74</v>
      </c>
      <c r="BI834">
        <v>26</v>
      </c>
      <c r="BJ834" t="s">
        <v>7956</v>
      </c>
      <c r="BK834" t="s">
        <v>156</v>
      </c>
      <c r="BL834" t="s">
        <v>7957</v>
      </c>
      <c r="BM834" t="s">
        <v>15776</v>
      </c>
      <c r="BN834" t="s">
        <v>74</v>
      </c>
      <c r="BO834" t="s">
        <v>805</v>
      </c>
      <c r="BP834" t="s">
        <v>74</v>
      </c>
      <c r="BQ834" t="s">
        <v>74</v>
      </c>
      <c r="BR834" t="s">
        <v>105</v>
      </c>
      <c r="BS834" t="s">
        <v>15792</v>
      </c>
      <c r="BT834" t="str">
        <f>HYPERLINK("https%3A%2F%2Fwww.webofscience.com%2Fwos%2Fwoscc%2Ffull-record%2FWOS:000377447400026","View Full Record in Web of Science")</f>
        <v>View Full Record in Web of Science</v>
      </c>
    </row>
    <row r="835" spans="1:72" x14ac:dyDescent="0.15">
      <c r="A835" t="s">
        <v>72</v>
      </c>
      <c r="B835" t="s">
        <v>15793</v>
      </c>
      <c r="C835" t="s">
        <v>74</v>
      </c>
      <c r="D835" t="s">
        <v>74</v>
      </c>
      <c r="E835" t="s">
        <v>74</v>
      </c>
      <c r="F835" t="s">
        <v>15794</v>
      </c>
      <c r="G835" t="s">
        <v>74</v>
      </c>
      <c r="H835" t="s">
        <v>74</v>
      </c>
      <c r="I835" t="s">
        <v>15795</v>
      </c>
      <c r="J835" t="s">
        <v>15796</v>
      </c>
      <c r="K835" t="s">
        <v>74</v>
      </c>
      <c r="L835" t="s">
        <v>74</v>
      </c>
      <c r="M835" t="s">
        <v>78</v>
      </c>
      <c r="N835" t="s">
        <v>79</v>
      </c>
      <c r="O835" t="s">
        <v>74</v>
      </c>
      <c r="P835" t="s">
        <v>74</v>
      </c>
      <c r="Q835" t="s">
        <v>74</v>
      </c>
      <c r="R835" t="s">
        <v>74</v>
      </c>
      <c r="S835" t="s">
        <v>74</v>
      </c>
      <c r="T835" t="s">
        <v>74</v>
      </c>
      <c r="U835" t="s">
        <v>15797</v>
      </c>
      <c r="V835" t="s">
        <v>15798</v>
      </c>
      <c r="W835" t="s">
        <v>15799</v>
      </c>
      <c r="X835" t="s">
        <v>15800</v>
      </c>
      <c r="Y835" t="s">
        <v>15801</v>
      </c>
      <c r="Z835" t="s">
        <v>15802</v>
      </c>
      <c r="AA835" t="s">
        <v>74</v>
      </c>
      <c r="AB835" t="s">
        <v>15803</v>
      </c>
      <c r="AC835" t="s">
        <v>15804</v>
      </c>
      <c r="AD835" t="s">
        <v>15805</v>
      </c>
      <c r="AE835" t="s">
        <v>15806</v>
      </c>
      <c r="AF835" t="s">
        <v>74</v>
      </c>
      <c r="AG835">
        <v>65</v>
      </c>
      <c r="AH835">
        <v>30</v>
      </c>
      <c r="AI835">
        <v>30</v>
      </c>
      <c r="AJ835">
        <v>14</v>
      </c>
      <c r="AK835">
        <v>16</v>
      </c>
      <c r="AL835" t="s">
        <v>196</v>
      </c>
      <c r="AM835" t="s">
        <v>93</v>
      </c>
      <c r="AN835" t="s">
        <v>197</v>
      </c>
      <c r="AO835" t="s">
        <v>15807</v>
      </c>
      <c r="AP835" t="s">
        <v>15808</v>
      </c>
      <c r="AQ835" t="s">
        <v>74</v>
      </c>
      <c r="AR835" t="s">
        <v>15809</v>
      </c>
      <c r="AS835" t="s">
        <v>15810</v>
      </c>
      <c r="AT835" t="s">
        <v>13423</v>
      </c>
      <c r="AU835">
        <v>2016</v>
      </c>
      <c r="AV835">
        <v>908</v>
      </c>
      <c r="AW835" t="s">
        <v>74</v>
      </c>
      <c r="AX835" t="s">
        <v>74</v>
      </c>
      <c r="AY835" t="s">
        <v>74</v>
      </c>
      <c r="AZ835" t="s">
        <v>74</v>
      </c>
      <c r="BA835" t="s">
        <v>74</v>
      </c>
      <c r="BB835">
        <v>250</v>
      </c>
      <c r="BC835">
        <v>267</v>
      </c>
      <c r="BD835" t="s">
        <v>74</v>
      </c>
      <c r="BE835" t="s">
        <v>15811</v>
      </c>
      <c r="BF835" t="str">
        <f>HYPERLINK("http://dx.doi.org/10.1016/j.nuclphysb.2016.03.033","http://dx.doi.org/10.1016/j.nuclphysb.2016.03.033")</f>
        <v>http://dx.doi.org/10.1016/j.nuclphysb.2016.03.033</v>
      </c>
      <c r="BG835" t="s">
        <v>74</v>
      </c>
      <c r="BH835" t="s">
        <v>74</v>
      </c>
      <c r="BI835">
        <v>18</v>
      </c>
      <c r="BJ835" t="s">
        <v>15812</v>
      </c>
      <c r="BK835" t="s">
        <v>156</v>
      </c>
      <c r="BL835" t="s">
        <v>9776</v>
      </c>
      <c r="BM835" t="s">
        <v>15813</v>
      </c>
      <c r="BN835" t="s">
        <v>74</v>
      </c>
      <c r="BO835" t="s">
        <v>1083</v>
      </c>
      <c r="BP835" t="s">
        <v>74</v>
      </c>
      <c r="BQ835" t="s">
        <v>74</v>
      </c>
      <c r="BR835" t="s">
        <v>105</v>
      </c>
      <c r="BS835" t="s">
        <v>15814</v>
      </c>
      <c r="BT835" t="str">
        <f>HYPERLINK("https%3A%2F%2Fwww.webofscience.com%2Fwos%2Fwoscc%2Ffull-record%2FWOS:000377334000017","View Full Record in Web of Science")</f>
        <v>View Full Record in Web of Science</v>
      </c>
    </row>
    <row r="836" spans="1:72" x14ac:dyDescent="0.15">
      <c r="A836" t="s">
        <v>72</v>
      </c>
      <c r="B836" t="s">
        <v>15815</v>
      </c>
      <c r="C836" t="s">
        <v>74</v>
      </c>
      <c r="D836" t="s">
        <v>74</v>
      </c>
      <c r="E836" t="s">
        <v>74</v>
      </c>
      <c r="F836" t="s">
        <v>15816</v>
      </c>
      <c r="G836" t="s">
        <v>74</v>
      </c>
      <c r="H836" t="s">
        <v>74</v>
      </c>
      <c r="I836" t="s">
        <v>15817</v>
      </c>
      <c r="J836" t="s">
        <v>15818</v>
      </c>
      <c r="K836" t="s">
        <v>74</v>
      </c>
      <c r="L836" t="s">
        <v>74</v>
      </c>
      <c r="M836" t="s">
        <v>78</v>
      </c>
      <c r="N836" t="s">
        <v>79</v>
      </c>
      <c r="O836" t="s">
        <v>74</v>
      </c>
      <c r="P836" t="s">
        <v>74</v>
      </c>
      <c r="Q836" t="s">
        <v>74</v>
      </c>
      <c r="R836" t="s">
        <v>74</v>
      </c>
      <c r="S836" t="s">
        <v>74</v>
      </c>
      <c r="T836" t="s">
        <v>15819</v>
      </c>
      <c r="U836" t="s">
        <v>15820</v>
      </c>
      <c r="V836" t="s">
        <v>15821</v>
      </c>
      <c r="W836" t="s">
        <v>15822</v>
      </c>
      <c r="X836" t="s">
        <v>15823</v>
      </c>
      <c r="Y836" t="s">
        <v>15824</v>
      </c>
      <c r="Z836" t="s">
        <v>15825</v>
      </c>
      <c r="AA836" t="s">
        <v>15826</v>
      </c>
      <c r="AB836" t="s">
        <v>15827</v>
      </c>
      <c r="AC836" t="s">
        <v>15828</v>
      </c>
      <c r="AD836" t="s">
        <v>15829</v>
      </c>
      <c r="AE836" t="s">
        <v>15830</v>
      </c>
      <c r="AF836" t="s">
        <v>74</v>
      </c>
      <c r="AG836">
        <v>55</v>
      </c>
      <c r="AH836">
        <v>30</v>
      </c>
      <c r="AI836">
        <v>31</v>
      </c>
      <c r="AJ836">
        <v>1</v>
      </c>
      <c r="AK836">
        <v>53</v>
      </c>
      <c r="AL836" t="s">
        <v>952</v>
      </c>
      <c r="AM836" t="s">
        <v>953</v>
      </c>
      <c r="AN836" t="s">
        <v>954</v>
      </c>
      <c r="AO836" t="s">
        <v>15831</v>
      </c>
      <c r="AP836" t="s">
        <v>15832</v>
      </c>
      <c r="AQ836" t="s">
        <v>74</v>
      </c>
      <c r="AR836" t="s">
        <v>15833</v>
      </c>
      <c r="AS836" t="s">
        <v>15834</v>
      </c>
      <c r="AT836" t="s">
        <v>13423</v>
      </c>
      <c r="AU836">
        <v>2016</v>
      </c>
      <c r="AV836">
        <v>148</v>
      </c>
      <c r="AW836" t="s">
        <v>74</v>
      </c>
      <c r="AX836" t="s">
        <v>74</v>
      </c>
      <c r="AY836" t="s">
        <v>74</v>
      </c>
      <c r="AZ836" t="s">
        <v>74</v>
      </c>
      <c r="BA836" t="s">
        <v>74</v>
      </c>
      <c r="BB836">
        <v>285</v>
      </c>
      <c r="BC836">
        <v>294</v>
      </c>
      <c r="BD836" t="s">
        <v>74</v>
      </c>
      <c r="BE836" t="s">
        <v>15835</v>
      </c>
      <c r="BF836" t="str">
        <f>HYPERLINK("http://dx.doi.org/10.1016/j.envres.2016.04.005","http://dx.doi.org/10.1016/j.envres.2016.04.005")</f>
        <v>http://dx.doi.org/10.1016/j.envres.2016.04.005</v>
      </c>
      <c r="BG836" t="s">
        <v>74</v>
      </c>
      <c r="BH836" t="s">
        <v>74</v>
      </c>
      <c r="BI836">
        <v>10</v>
      </c>
      <c r="BJ836" t="s">
        <v>15836</v>
      </c>
      <c r="BK836" t="s">
        <v>156</v>
      </c>
      <c r="BL836" t="s">
        <v>15837</v>
      </c>
      <c r="BM836" t="s">
        <v>15838</v>
      </c>
      <c r="BN836">
        <v>27088732</v>
      </c>
      <c r="BO836" t="s">
        <v>74</v>
      </c>
      <c r="BP836" t="s">
        <v>74</v>
      </c>
      <c r="BQ836" t="s">
        <v>74</v>
      </c>
      <c r="BR836" t="s">
        <v>105</v>
      </c>
      <c r="BS836" t="s">
        <v>15839</v>
      </c>
      <c r="BT836" t="str">
        <f>HYPERLINK("https%3A%2F%2Fwww.webofscience.com%2Fwos%2Fwoscc%2Ffull-record%2FWOS:000376712800030","View Full Record in Web of Science")</f>
        <v>View Full Record in Web of Science</v>
      </c>
    </row>
    <row r="837" spans="1:72" x14ac:dyDescent="0.15">
      <c r="A837" t="s">
        <v>72</v>
      </c>
      <c r="B837" t="s">
        <v>15840</v>
      </c>
      <c r="C837" t="s">
        <v>74</v>
      </c>
      <c r="D837" t="s">
        <v>74</v>
      </c>
      <c r="E837" t="s">
        <v>74</v>
      </c>
      <c r="F837" t="s">
        <v>15841</v>
      </c>
      <c r="G837" t="s">
        <v>74</v>
      </c>
      <c r="H837" t="s">
        <v>74</v>
      </c>
      <c r="I837" t="s">
        <v>15842</v>
      </c>
      <c r="J837" t="s">
        <v>7394</v>
      </c>
      <c r="K837" t="s">
        <v>74</v>
      </c>
      <c r="L837" t="s">
        <v>74</v>
      </c>
      <c r="M837" t="s">
        <v>78</v>
      </c>
      <c r="N837" t="s">
        <v>79</v>
      </c>
      <c r="O837" t="s">
        <v>74</v>
      </c>
      <c r="P837" t="s">
        <v>74</v>
      </c>
      <c r="Q837" t="s">
        <v>74</v>
      </c>
      <c r="R837" t="s">
        <v>74</v>
      </c>
      <c r="S837" t="s">
        <v>74</v>
      </c>
      <c r="T837" t="s">
        <v>15843</v>
      </c>
      <c r="U837" t="s">
        <v>15844</v>
      </c>
      <c r="V837" t="s">
        <v>15845</v>
      </c>
      <c r="W837" t="s">
        <v>15846</v>
      </c>
      <c r="X837" t="s">
        <v>15847</v>
      </c>
      <c r="Y837" t="s">
        <v>15848</v>
      </c>
      <c r="Z837" t="s">
        <v>15849</v>
      </c>
      <c r="AA837" t="s">
        <v>15850</v>
      </c>
      <c r="AB837" t="s">
        <v>15851</v>
      </c>
      <c r="AC837" t="s">
        <v>15852</v>
      </c>
      <c r="AD837" t="s">
        <v>15853</v>
      </c>
      <c r="AE837" t="s">
        <v>15854</v>
      </c>
      <c r="AF837" t="s">
        <v>74</v>
      </c>
      <c r="AG837">
        <v>104</v>
      </c>
      <c r="AH837">
        <v>56</v>
      </c>
      <c r="AI837">
        <v>60</v>
      </c>
      <c r="AJ837">
        <v>1</v>
      </c>
      <c r="AK837">
        <v>78</v>
      </c>
      <c r="AL837" t="s">
        <v>303</v>
      </c>
      <c r="AM837" t="s">
        <v>304</v>
      </c>
      <c r="AN837" t="s">
        <v>305</v>
      </c>
      <c r="AO837" t="s">
        <v>7407</v>
      </c>
      <c r="AP837" t="s">
        <v>7408</v>
      </c>
      <c r="AQ837" t="s">
        <v>74</v>
      </c>
      <c r="AR837" t="s">
        <v>7409</v>
      </c>
      <c r="AS837" t="s">
        <v>7410</v>
      </c>
      <c r="AT837" t="s">
        <v>13423</v>
      </c>
      <c r="AU837">
        <v>2016</v>
      </c>
      <c r="AV837">
        <v>136</v>
      </c>
      <c r="AW837" t="s">
        <v>74</v>
      </c>
      <c r="AX837" t="s">
        <v>74</v>
      </c>
      <c r="AY837" t="s">
        <v>74</v>
      </c>
      <c r="AZ837" t="s">
        <v>74</v>
      </c>
      <c r="BA837" t="s">
        <v>74</v>
      </c>
      <c r="BB837">
        <v>1</v>
      </c>
      <c r="BC837">
        <v>15</v>
      </c>
      <c r="BD837" t="s">
        <v>74</v>
      </c>
      <c r="BE837" t="s">
        <v>15855</v>
      </c>
      <c r="BF837" t="str">
        <f>HYPERLINK("http://dx.doi.org/10.1016/j.atmosenv.2016.04.002","http://dx.doi.org/10.1016/j.atmosenv.2016.04.002")</f>
        <v>http://dx.doi.org/10.1016/j.atmosenv.2016.04.002</v>
      </c>
      <c r="BG837" t="s">
        <v>74</v>
      </c>
      <c r="BH837" t="s">
        <v>74</v>
      </c>
      <c r="BI837">
        <v>15</v>
      </c>
      <c r="BJ837" t="s">
        <v>1286</v>
      </c>
      <c r="BK837" t="s">
        <v>156</v>
      </c>
      <c r="BL837" t="s">
        <v>825</v>
      </c>
      <c r="BM837" t="s">
        <v>15856</v>
      </c>
      <c r="BN837" t="s">
        <v>74</v>
      </c>
      <c r="BO837" t="s">
        <v>285</v>
      </c>
      <c r="BP837" t="s">
        <v>74</v>
      </c>
      <c r="BQ837" t="s">
        <v>74</v>
      </c>
      <c r="BR837" t="s">
        <v>105</v>
      </c>
      <c r="BS837" t="s">
        <v>15857</v>
      </c>
      <c r="BT837" t="str">
        <f>HYPERLINK("https%3A%2F%2Fwww.webofscience.com%2Fwos%2Fwoscc%2Ffull-record%2FWOS:000376807100001","View Full Record in Web of Science")</f>
        <v>View Full Record in Web of Science</v>
      </c>
    </row>
    <row r="838" spans="1:72" x14ac:dyDescent="0.15">
      <c r="A838" t="s">
        <v>72</v>
      </c>
      <c r="B838" t="s">
        <v>15858</v>
      </c>
      <c r="C838" t="s">
        <v>74</v>
      </c>
      <c r="D838" t="s">
        <v>74</v>
      </c>
      <c r="E838" t="s">
        <v>74</v>
      </c>
      <c r="F838" t="s">
        <v>15859</v>
      </c>
      <c r="G838" t="s">
        <v>74</v>
      </c>
      <c r="H838" t="s">
        <v>74</v>
      </c>
      <c r="I838" t="s">
        <v>15860</v>
      </c>
      <c r="J838" t="s">
        <v>15861</v>
      </c>
      <c r="K838" t="s">
        <v>74</v>
      </c>
      <c r="L838" t="s">
        <v>74</v>
      </c>
      <c r="M838" t="s">
        <v>78</v>
      </c>
      <c r="N838" t="s">
        <v>79</v>
      </c>
      <c r="O838" t="s">
        <v>74</v>
      </c>
      <c r="P838" t="s">
        <v>74</v>
      </c>
      <c r="Q838" t="s">
        <v>74</v>
      </c>
      <c r="R838" t="s">
        <v>74</v>
      </c>
      <c r="S838" t="s">
        <v>74</v>
      </c>
      <c r="T838" t="s">
        <v>15862</v>
      </c>
      <c r="U838" t="s">
        <v>15863</v>
      </c>
      <c r="V838" t="s">
        <v>15864</v>
      </c>
      <c r="W838" t="s">
        <v>15865</v>
      </c>
      <c r="X838" t="s">
        <v>15866</v>
      </c>
      <c r="Y838" t="s">
        <v>15867</v>
      </c>
      <c r="Z838" t="s">
        <v>15868</v>
      </c>
      <c r="AA838" t="s">
        <v>74</v>
      </c>
      <c r="AB838" t="s">
        <v>74</v>
      </c>
      <c r="AC838" t="s">
        <v>15869</v>
      </c>
      <c r="AD838" t="s">
        <v>15869</v>
      </c>
      <c r="AE838" t="s">
        <v>15870</v>
      </c>
      <c r="AF838" t="s">
        <v>74</v>
      </c>
      <c r="AG838">
        <v>21</v>
      </c>
      <c r="AH838">
        <v>6</v>
      </c>
      <c r="AI838">
        <v>6</v>
      </c>
      <c r="AJ838">
        <v>0</v>
      </c>
      <c r="AK838">
        <v>11</v>
      </c>
      <c r="AL838" t="s">
        <v>303</v>
      </c>
      <c r="AM838" t="s">
        <v>304</v>
      </c>
      <c r="AN838" t="s">
        <v>305</v>
      </c>
      <c r="AO838" t="s">
        <v>15871</v>
      </c>
      <c r="AP838" t="s">
        <v>74</v>
      </c>
      <c r="AQ838" t="s">
        <v>74</v>
      </c>
      <c r="AR838" t="s">
        <v>15872</v>
      </c>
      <c r="AS838" t="s">
        <v>15873</v>
      </c>
      <c r="AT838" t="s">
        <v>13423</v>
      </c>
      <c r="AU838">
        <v>2016</v>
      </c>
      <c r="AV838">
        <v>97</v>
      </c>
      <c r="AW838" t="s">
        <v>74</v>
      </c>
      <c r="AX838" t="s">
        <v>74</v>
      </c>
      <c r="AY838" t="s">
        <v>74</v>
      </c>
      <c r="AZ838" t="s">
        <v>74</v>
      </c>
      <c r="BA838" t="s">
        <v>74</v>
      </c>
      <c r="BB838">
        <v>35</v>
      </c>
      <c r="BC838">
        <v>40</v>
      </c>
      <c r="BD838" t="s">
        <v>74</v>
      </c>
      <c r="BE838" t="s">
        <v>15874</v>
      </c>
      <c r="BF838" t="str">
        <f>HYPERLINK("http://dx.doi.org/10.1016/j.orggeochem.2016.03.008","http://dx.doi.org/10.1016/j.orggeochem.2016.03.008")</f>
        <v>http://dx.doi.org/10.1016/j.orggeochem.2016.03.008</v>
      </c>
      <c r="BG838" t="s">
        <v>74</v>
      </c>
      <c r="BH838" t="s">
        <v>74</v>
      </c>
      <c r="BI838">
        <v>6</v>
      </c>
      <c r="BJ838" t="s">
        <v>155</v>
      </c>
      <c r="BK838" t="s">
        <v>156</v>
      </c>
      <c r="BL838" t="s">
        <v>155</v>
      </c>
      <c r="BM838" t="s">
        <v>15875</v>
      </c>
      <c r="BN838" t="s">
        <v>74</v>
      </c>
      <c r="BO838" t="s">
        <v>74</v>
      </c>
      <c r="BP838" t="s">
        <v>74</v>
      </c>
      <c r="BQ838" t="s">
        <v>74</v>
      </c>
      <c r="BR838" t="s">
        <v>105</v>
      </c>
      <c r="BS838" t="s">
        <v>15876</v>
      </c>
      <c r="BT838" t="str">
        <f>HYPERLINK("https%3A%2F%2Fwww.webofscience.com%2Fwos%2Fwoscc%2Ffull-record%2FWOS:000376532900004","View Full Record in Web of Science")</f>
        <v>View Full Record in Web of Science</v>
      </c>
    </row>
    <row r="839" spans="1:72" x14ac:dyDescent="0.15">
      <c r="A839" t="s">
        <v>72</v>
      </c>
      <c r="B839" t="s">
        <v>15877</v>
      </c>
      <c r="C839" t="s">
        <v>74</v>
      </c>
      <c r="D839" t="s">
        <v>74</v>
      </c>
      <c r="E839" t="s">
        <v>74</v>
      </c>
      <c r="F839" t="s">
        <v>15878</v>
      </c>
      <c r="G839" t="s">
        <v>74</v>
      </c>
      <c r="H839" t="s">
        <v>74</v>
      </c>
      <c r="I839" t="s">
        <v>15879</v>
      </c>
      <c r="J839" t="s">
        <v>4389</v>
      </c>
      <c r="K839" t="s">
        <v>74</v>
      </c>
      <c r="L839" t="s">
        <v>74</v>
      </c>
      <c r="M839" t="s">
        <v>78</v>
      </c>
      <c r="N839" t="s">
        <v>79</v>
      </c>
      <c r="O839" t="s">
        <v>74</v>
      </c>
      <c r="P839" t="s">
        <v>74</v>
      </c>
      <c r="Q839" t="s">
        <v>74</v>
      </c>
      <c r="R839" t="s">
        <v>74</v>
      </c>
      <c r="S839" t="s">
        <v>74</v>
      </c>
      <c r="T839" t="s">
        <v>15880</v>
      </c>
      <c r="U839" t="s">
        <v>15881</v>
      </c>
      <c r="V839" t="s">
        <v>15882</v>
      </c>
      <c r="W839" t="s">
        <v>15883</v>
      </c>
      <c r="X839" t="s">
        <v>15884</v>
      </c>
      <c r="Y839" t="s">
        <v>15885</v>
      </c>
      <c r="Z839" t="s">
        <v>15886</v>
      </c>
      <c r="AA839" t="s">
        <v>15887</v>
      </c>
      <c r="AB839" t="s">
        <v>15888</v>
      </c>
      <c r="AC839" t="s">
        <v>15889</v>
      </c>
      <c r="AD839" t="s">
        <v>15890</v>
      </c>
      <c r="AE839" t="s">
        <v>15891</v>
      </c>
      <c r="AF839" t="s">
        <v>74</v>
      </c>
      <c r="AG839">
        <v>69</v>
      </c>
      <c r="AH839">
        <v>2</v>
      </c>
      <c r="AI839">
        <v>3</v>
      </c>
      <c r="AJ839">
        <v>0</v>
      </c>
      <c r="AK839">
        <v>7</v>
      </c>
      <c r="AL839" t="s">
        <v>196</v>
      </c>
      <c r="AM839" t="s">
        <v>93</v>
      </c>
      <c r="AN839" t="s">
        <v>197</v>
      </c>
      <c r="AO839" t="s">
        <v>4402</v>
      </c>
      <c r="AP839" t="s">
        <v>4403</v>
      </c>
      <c r="AQ839" t="s">
        <v>74</v>
      </c>
      <c r="AR839" t="s">
        <v>4404</v>
      </c>
      <c r="AS839" t="s">
        <v>4405</v>
      </c>
      <c r="AT839" t="s">
        <v>13581</v>
      </c>
      <c r="AU839">
        <v>2016</v>
      </c>
      <c r="AV839">
        <v>453</v>
      </c>
      <c r="AW839" t="s">
        <v>74</v>
      </c>
      <c r="AX839" t="s">
        <v>74</v>
      </c>
      <c r="AY839" t="s">
        <v>74</v>
      </c>
      <c r="AZ839" t="s">
        <v>74</v>
      </c>
      <c r="BA839" t="s">
        <v>74</v>
      </c>
      <c r="BB839">
        <v>20</v>
      </c>
      <c r="BC839">
        <v>29</v>
      </c>
      <c r="BD839" t="s">
        <v>74</v>
      </c>
      <c r="BE839" t="s">
        <v>15892</v>
      </c>
      <c r="BF839" t="str">
        <f>HYPERLINK("http://dx.doi.org/10.1016/j.palaeo.2016.03.028","http://dx.doi.org/10.1016/j.palaeo.2016.03.028")</f>
        <v>http://dx.doi.org/10.1016/j.palaeo.2016.03.028</v>
      </c>
      <c r="BG839" t="s">
        <v>74</v>
      </c>
      <c r="BH839" t="s">
        <v>74</v>
      </c>
      <c r="BI839">
        <v>10</v>
      </c>
      <c r="BJ839" t="s">
        <v>4407</v>
      </c>
      <c r="BK839" t="s">
        <v>156</v>
      </c>
      <c r="BL839" t="s">
        <v>4408</v>
      </c>
      <c r="BM839" t="s">
        <v>15893</v>
      </c>
      <c r="BN839" t="s">
        <v>74</v>
      </c>
      <c r="BO839" t="s">
        <v>805</v>
      </c>
      <c r="BP839" t="s">
        <v>74</v>
      </c>
      <c r="BQ839" t="s">
        <v>74</v>
      </c>
      <c r="BR839" t="s">
        <v>105</v>
      </c>
      <c r="BS839" t="s">
        <v>15894</v>
      </c>
      <c r="BT839" t="str">
        <f>HYPERLINK("https%3A%2F%2Fwww.webofscience.com%2Fwos%2Fwoscc%2Ffull-record%2FWOS:000376544600003","View Full Record in Web of Science")</f>
        <v>View Full Record in Web of Science</v>
      </c>
    </row>
    <row r="840" spans="1:72" x14ac:dyDescent="0.15">
      <c r="A840" t="s">
        <v>72</v>
      </c>
      <c r="B840" t="s">
        <v>15895</v>
      </c>
      <c r="C840" t="s">
        <v>74</v>
      </c>
      <c r="D840" t="s">
        <v>74</v>
      </c>
      <c r="E840" t="s">
        <v>74</v>
      </c>
      <c r="F840" t="s">
        <v>15896</v>
      </c>
      <c r="G840" t="s">
        <v>74</v>
      </c>
      <c r="H840" t="s">
        <v>74</v>
      </c>
      <c r="I840" t="s">
        <v>15897</v>
      </c>
      <c r="J840" t="s">
        <v>5263</v>
      </c>
      <c r="K840" t="s">
        <v>74</v>
      </c>
      <c r="L840" t="s">
        <v>74</v>
      </c>
      <c r="M840" t="s">
        <v>78</v>
      </c>
      <c r="N840" t="s">
        <v>79</v>
      </c>
      <c r="O840" t="s">
        <v>74</v>
      </c>
      <c r="P840" t="s">
        <v>74</v>
      </c>
      <c r="Q840" t="s">
        <v>74</v>
      </c>
      <c r="R840" t="s">
        <v>74</v>
      </c>
      <c r="S840" t="s">
        <v>74</v>
      </c>
      <c r="T840" t="s">
        <v>15898</v>
      </c>
      <c r="U840" t="s">
        <v>15899</v>
      </c>
      <c r="V840" t="s">
        <v>15900</v>
      </c>
      <c r="W840" t="s">
        <v>15901</v>
      </c>
      <c r="X840" t="s">
        <v>15902</v>
      </c>
      <c r="Y840" t="s">
        <v>15903</v>
      </c>
      <c r="Z840" t="s">
        <v>15904</v>
      </c>
      <c r="AA840" t="s">
        <v>15905</v>
      </c>
      <c r="AB840" t="s">
        <v>15906</v>
      </c>
      <c r="AC840" t="s">
        <v>15907</v>
      </c>
      <c r="AD840" t="s">
        <v>15908</v>
      </c>
      <c r="AE840" t="s">
        <v>15909</v>
      </c>
      <c r="AF840" t="s">
        <v>74</v>
      </c>
      <c r="AG840">
        <v>54</v>
      </c>
      <c r="AH840">
        <v>22</v>
      </c>
      <c r="AI840">
        <v>24</v>
      </c>
      <c r="AJ840">
        <v>1</v>
      </c>
      <c r="AK840">
        <v>21</v>
      </c>
      <c r="AL840" t="s">
        <v>1437</v>
      </c>
      <c r="AM840" t="s">
        <v>594</v>
      </c>
      <c r="AN840" t="s">
        <v>1438</v>
      </c>
      <c r="AO840" t="s">
        <v>5275</v>
      </c>
      <c r="AP840" t="s">
        <v>5276</v>
      </c>
      <c r="AQ840" t="s">
        <v>74</v>
      </c>
      <c r="AR840" t="s">
        <v>5277</v>
      </c>
      <c r="AS840" t="s">
        <v>5278</v>
      </c>
      <c r="AT840" t="s">
        <v>13423</v>
      </c>
      <c r="AU840">
        <v>2016</v>
      </c>
      <c r="AV840">
        <v>180</v>
      </c>
      <c r="AW840" t="s">
        <v>74</v>
      </c>
      <c r="AX840" t="s">
        <v>74</v>
      </c>
      <c r="AY840" t="s">
        <v>74</v>
      </c>
      <c r="AZ840" t="s">
        <v>650</v>
      </c>
      <c r="BA840" t="s">
        <v>74</v>
      </c>
      <c r="BB840">
        <v>193</v>
      </c>
      <c r="BC840">
        <v>204</v>
      </c>
      <c r="BD840" t="s">
        <v>74</v>
      </c>
      <c r="BE840" t="s">
        <v>15910</v>
      </c>
      <c r="BF840" t="str">
        <f>HYPERLINK("http://dx.doi.org/10.1016/j.rse.2016.02.037","http://dx.doi.org/10.1016/j.rse.2016.02.037")</f>
        <v>http://dx.doi.org/10.1016/j.rse.2016.02.037</v>
      </c>
      <c r="BG840" t="s">
        <v>74</v>
      </c>
      <c r="BH840" t="s">
        <v>74</v>
      </c>
      <c r="BI840">
        <v>12</v>
      </c>
      <c r="BJ840" t="s">
        <v>5280</v>
      </c>
      <c r="BK840" t="s">
        <v>156</v>
      </c>
      <c r="BL840" t="s">
        <v>5281</v>
      </c>
      <c r="BM840" t="s">
        <v>15911</v>
      </c>
      <c r="BN840" t="s">
        <v>74</v>
      </c>
      <c r="BO840" t="s">
        <v>74</v>
      </c>
      <c r="BP840" t="s">
        <v>74</v>
      </c>
      <c r="BQ840" t="s">
        <v>74</v>
      </c>
      <c r="BR840" t="s">
        <v>105</v>
      </c>
      <c r="BS840" t="s">
        <v>15912</v>
      </c>
      <c r="BT840" t="str">
        <f>HYPERLINK("https%3A%2F%2Fwww.webofscience.com%2Fwos%2Fwoscc%2Ffull-record%2FWOS:000376801000016","View Full Record in Web of Science")</f>
        <v>View Full Record in Web of Science</v>
      </c>
    </row>
    <row r="841" spans="1:72" x14ac:dyDescent="0.15">
      <c r="A841" t="s">
        <v>72</v>
      </c>
      <c r="B841" t="s">
        <v>15913</v>
      </c>
      <c r="C841" t="s">
        <v>74</v>
      </c>
      <c r="D841" t="s">
        <v>74</v>
      </c>
      <c r="E841" t="s">
        <v>74</v>
      </c>
      <c r="F841" t="s">
        <v>15914</v>
      </c>
      <c r="G841" t="s">
        <v>74</v>
      </c>
      <c r="H841" t="s">
        <v>74</v>
      </c>
      <c r="I841" t="s">
        <v>15915</v>
      </c>
      <c r="J841" t="s">
        <v>5263</v>
      </c>
      <c r="K841" t="s">
        <v>74</v>
      </c>
      <c r="L841" t="s">
        <v>74</v>
      </c>
      <c r="M841" t="s">
        <v>78</v>
      </c>
      <c r="N841" t="s">
        <v>79</v>
      </c>
      <c r="O841" t="s">
        <v>74</v>
      </c>
      <c r="P841" t="s">
        <v>74</v>
      </c>
      <c r="Q841" t="s">
        <v>74</v>
      </c>
      <c r="R841" t="s">
        <v>74</v>
      </c>
      <c r="S841" t="s">
        <v>74</v>
      </c>
      <c r="T841" t="s">
        <v>15916</v>
      </c>
      <c r="U841" t="s">
        <v>15917</v>
      </c>
      <c r="V841" t="s">
        <v>15918</v>
      </c>
      <c r="W841" t="s">
        <v>15919</v>
      </c>
      <c r="X841" t="s">
        <v>15920</v>
      </c>
      <c r="Y841" t="s">
        <v>15921</v>
      </c>
      <c r="Z841" t="s">
        <v>15922</v>
      </c>
      <c r="AA841" t="s">
        <v>74</v>
      </c>
      <c r="AB841" t="s">
        <v>15923</v>
      </c>
      <c r="AC841" t="s">
        <v>74</v>
      </c>
      <c r="AD841" t="s">
        <v>74</v>
      </c>
      <c r="AE841" t="s">
        <v>74</v>
      </c>
      <c r="AF841" t="s">
        <v>74</v>
      </c>
      <c r="AG841">
        <v>30</v>
      </c>
      <c r="AH841">
        <v>9</v>
      </c>
      <c r="AI841">
        <v>9</v>
      </c>
      <c r="AJ841">
        <v>0</v>
      </c>
      <c r="AK841">
        <v>13</v>
      </c>
      <c r="AL841" t="s">
        <v>1437</v>
      </c>
      <c r="AM841" t="s">
        <v>594</v>
      </c>
      <c r="AN841" t="s">
        <v>13156</v>
      </c>
      <c r="AO841" t="s">
        <v>5275</v>
      </c>
      <c r="AP841" t="s">
        <v>5276</v>
      </c>
      <c r="AQ841" t="s">
        <v>74</v>
      </c>
      <c r="AR841" t="s">
        <v>5277</v>
      </c>
      <c r="AS841" t="s">
        <v>5278</v>
      </c>
      <c r="AT841" t="s">
        <v>13423</v>
      </c>
      <c r="AU841">
        <v>2016</v>
      </c>
      <c r="AV841">
        <v>180</v>
      </c>
      <c r="AW841" t="s">
        <v>74</v>
      </c>
      <c r="AX841" t="s">
        <v>74</v>
      </c>
      <c r="AY841" t="s">
        <v>74</v>
      </c>
      <c r="AZ841" t="s">
        <v>650</v>
      </c>
      <c r="BA841" t="s">
        <v>74</v>
      </c>
      <c r="BB841">
        <v>305</v>
      </c>
      <c r="BC841">
        <v>319</v>
      </c>
      <c r="BD841" t="s">
        <v>74</v>
      </c>
      <c r="BE841" t="s">
        <v>15924</v>
      </c>
      <c r="BF841" t="str">
        <f>HYPERLINK("http://dx.doi.org/10.1016/j.rse.2016.02.004","http://dx.doi.org/10.1016/j.rse.2016.02.004")</f>
        <v>http://dx.doi.org/10.1016/j.rse.2016.02.004</v>
      </c>
      <c r="BG841" t="s">
        <v>74</v>
      </c>
      <c r="BH841" t="s">
        <v>74</v>
      </c>
      <c r="BI841">
        <v>15</v>
      </c>
      <c r="BJ841" t="s">
        <v>5280</v>
      </c>
      <c r="BK841" t="s">
        <v>156</v>
      </c>
      <c r="BL841" t="s">
        <v>5281</v>
      </c>
      <c r="BM841" t="s">
        <v>15911</v>
      </c>
      <c r="BN841" t="s">
        <v>74</v>
      </c>
      <c r="BO841" t="s">
        <v>74</v>
      </c>
      <c r="BP841" t="s">
        <v>74</v>
      </c>
      <c r="BQ841" t="s">
        <v>74</v>
      </c>
      <c r="BR841" t="s">
        <v>105</v>
      </c>
      <c r="BS841" t="s">
        <v>15925</v>
      </c>
      <c r="BT841" t="str">
        <f>HYPERLINK("https%3A%2F%2Fwww.webofscience.com%2Fwos%2Fwoscc%2Ffull-record%2FWOS:000376801000024","View Full Record in Web of Science")</f>
        <v>View Full Record in Web of Science</v>
      </c>
    </row>
    <row r="842" spans="1:72" x14ac:dyDescent="0.15">
      <c r="A842" t="s">
        <v>72</v>
      </c>
      <c r="B842" t="s">
        <v>15926</v>
      </c>
      <c r="C842" t="s">
        <v>74</v>
      </c>
      <c r="D842" t="s">
        <v>74</v>
      </c>
      <c r="E842" t="s">
        <v>74</v>
      </c>
      <c r="F842" t="s">
        <v>15927</v>
      </c>
      <c r="G842" t="s">
        <v>74</v>
      </c>
      <c r="H842" t="s">
        <v>74</v>
      </c>
      <c r="I842" t="s">
        <v>15928</v>
      </c>
      <c r="J842" t="s">
        <v>77</v>
      </c>
      <c r="K842" t="s">
        <v>74</v>
      </c>
      <c r="L842" t="s">
        <v>74</v>
      </c>
      <c r="M842" t="s">
        <v>78</v>
      </c>
      <c r="N842" t="s">
        <v>79</v>
      </c>
      <c r="O842" t="s">
        <v>74</v>
      </c>
      <c r="P842" t="s">
        <v>74</v>
      </c>
      <c r="Q842" t="s">
        <v>74</v>
      </c>
      <c r="R842" t="s">
        <v>74</v>
      </c>
      <c r="S842" t="s">
        <v>74</v>
      </c>
      <c r="T842" t="s">
        <v>15929</v>
      </c>
      <c r="U842" t="s">
        <v>15930</v>
      </c>
      <c r="V842" t="s">
        <v>15931</v>
      </c>
      <c r="W842" t="s">
        <v>15932</v>
      </c>
      <c r="X842" t="s">
        <v>15933</v>
      </c>
      <c r="Y842" t="s">
        <v>15934</v>
      </c>
      <c r="Z842" t="s">
        <v>15935</v>
      </c>
      <c r="AA842" t="s">
        <v>15936</v>
      </c>
      <c r="AB842" t="s">
        <v>15937</v>
      </c>
      <c r="AC842" t="s">
        <v>15938</v>
      </c>
      <c r="AD842" t="s">
        <v>15939</v>
      </c>
      <c r="AE842" t="s">
        <v>15940</v>
      </c>
      <c r="AF842" t="s">
        <v>74</v>
      </c>
      <c r="AG842">
        <v>49</v>
      </c>
      <c r="AH842">
        <v>7</v>
      </c>
      <c r="AI842">
        <v>8</v>
      </c>
      <c r="AJ842">
        <v>0</v>
      </c>
      <c r="AK842">
        <v>10</v>
      </c>
      <c r="AL842" t="s">
        <v>92</v>
      </c>
      <c r="AM842" t="s">
        <v>93</v>
      </c>
      <c r="AN842" t="s">
        <v>94</v>
      </c>
      <c r="AO842" t="s">
        <v>95</v>
      </c>
      <c r="AP842" t="s">
        <v>96</v>
      </c>
      <c r="AQ842" t="s">
        <v>74</v>
      </c>
      <c r="AR842" t="s">
        <v>97</v>
      </c>
      <c r="AS842" t="s">
        <v>98</v>
      </c>
      <c r="AT842" t="s">
        <v>13423</v>
      </c>
      <c r="AU842">
        <v>2016</v>
      </c>
      <c r="AV842">
        <v>179</v>
      </c>
      <c r="AW842" t="s">
        <v>74</v>
      </c>
      <c r="AX842" t="s">
        <v>74</v>
      </c>
      <c r="AY842" t="s">
        <v>74</v>
      </c>
      <c r="AZ842" t="s">
        <v>74</v>
      </c>
      <c r="BA842" t="s">
        <v>74</v>
      </c>
      <c r="BB842">
        <v>10</v>
      </c>
      <c r="BC842">
        <v>22</v>
      </c>
      <c r="BD842" t="s">
        <v>74</v>
      </c>
      <c r="BE842" t="s">
        <v>15941</v>
      </c>
      <c r="BF842" t="str">
        <f>HYPERLINK("http://dx.doi.org/10.1016/j.fishres.2016.02.005","http://dx.doi.org/10.1016/j.fishres.2016.02.005")</f>
        <v>http://dx.doi.org/10.1016/j.fishres.2016.02.005</v>
      </c>
      <c r="BG842" t="s">
        <v>74</v>
      </c>
      <c r="BH842" t="s">
        <v>74</v>
      </c>
      <c r="BI842">
        <v>13</v>
      </c>
      <c r="BJ842" t="s">
        <v>101</v>
      </c>
      <c r="BK842" t="s">
        <v>156</v>
      </c>
      <c r="BL842" t="s">
        <v>101</v>
      </c>
      <c r="BM842" t="s">
        <v>15942</v>
      </c>
      <c r="BN842" t="s">
        <v>74</v>
      </c>
      <c r="BO842" t="s">
        <v>74</v>
      </c>
      <c r="BP842" t="s">
        <v>74</v>
      </c>
      <c r="BQ842" t="s">
        <v>74</v>
      </c>
      <c r="BR842" t="s">
        <v>105</v>
      </c>
      <c r="BS842" t="s">
        <v>15943</v>
      </c>
      <c r="BT842" t="str">
        <f>HYPERLINK("https%3A%2F%2Fwww.webofscience.com%2Fwos%2Fwoscc%2Ffull-record%2FWOS:000375518400002","View Full Record in Web of Science")</f>
        <v>View Full Record in Web of Science</v>
      </c>
    </row>
    <row r="843" spans="1:72" x14ac:dyDescent="0.15">
      <c r="A843" t="s">
        <v>72</v>
      </c>
      <c r="B843" t="s">
        <v>15944</v>
      </c>
      <c r="C843" t="s">
        <v>74</v>
      </c>
      <c r="D843" t="s">
        <v>74</v>
      </c>
      <c r="E843" t="s">
        <v>74</v>
      </c>
      <c r="F843" t="s">
        <v>15945</v>
      </c>
      <c r="G843" t="s">
        <v>74</v>
      </c>
      <c r="H843" t="s">
        <v>74</v>
      </c>
      <c r="I843" t="s">
        <v>15946</v>
      </c>
      <c r="J843" t="s">
        <v>966</v>
      </c>
      <c r="K843" t="s">
        <v>74</v>
      </c>
      <c r="L843" t="s">
        <v>74</v>
      </c>
      <c r="M843" t="s">
        <v>78</v>
      </c>
      <c r="N843" t="s">
        <v>79</v>
      </c>
      <c r="O843" t="s">
        <v>74</v>
      </c>
      <c r="P843" t="s">
        <v>74</v>
      </c>
      <c r="Q843" t="s">
        <v>74</v>
      </c>
      <c r="R843" t="s">
        <v>74</v>
      </c>
      <c r="S843" t="s">
        <v>74</v>
      </c>
      <c r="T843" t="s">
        <v>15947</v>
      </c>
      <c r="U843" t="s">
        <v>15948</v>
      </c>
      <c r="V843" t="s">
        <v>15949</v>
      </c>
      <c r="W843" t="s">
        <v>15950</v>
      </c>
      <c r="X843" t="s">
        <v>15951</v>
      </c>
      <c r="Y843" t="s">
        <v>15952</v>
      </c>
      <c r="Z843" t="s">
        <v>15953</v>
      </c>
      <c r="AA843" t="s">
        <v>15954</v>
      </c>
      <c r="AB843" t="s">
        <v>74</v>
      </c>
      <c r="AC843" t="s">
        <v>15955</v>
      </c>
      <c r="AD843" t="s">
        <v>15956</v>
      </c>
      <c r="AE843" t="s">
        <v>15957</v>
      </c>
      <c r="AF843" t="s">
        <v>74</v>
      </c>
      <c r="AG843">
        <v>46</v>
      </c>
      <c r="AH843">
        <v>5</v>
      </c>
      <c r="AI843">
        <v>5</v>
      </c>
      <c r="AJ843">
        <v>0</v>
      </c>
      <c r="AK843">
        <v>25</v>
      </c>
      <c r="AL843" t="s">
        <v>92</v>
      </c>
      <c r="AM843" t="s">
        <v>93</v>
      </c>
      <c r="AN843" t="s">
        <v>94</v>
      </c>
      <c r="AO843" t="s">
        <v>979</v>
      </c>
      <c r="AP843" t="s">
        <v>980</v>
      </c>
      <c r="AQ843" t="s">
        <v>74</v>
      </c>
      <c r="AR843" t="s">
        <v>981</v>
      </c>
      <c r="AS843" t="s">
        <v>982</v>
      </c>
      <c r="AT843" t="s">
        <v>13581</v>
      </c>
      <c r="AU843">
        <v>2016</v>
      </c>
      <c r="AV843">
        <v>557</v>
      </c>
      <c r="AW843" t="s">
        <v>74</v>
      </c>
      <c r="AX843" t="s">
        <v>74</v>
      </c>
      <c r="AY843" t="s">
        <v>74</v>
      </c>
      <c r="AZ843" t="s">
        <v>74</v>
      </c>
      <c r="BA843" t="s">
        <v>74</v>
      </c>
      <c r="BB843">
        <v>248</v>
      </c>
      <c r="BC843">
        <v>256</v>
      </c>
      <c r="BD843" t="s">
        <v>74</v>
      </c>
      <c r="BE843" t="s">
        <v>15958</v>
      </c>
      <c r="BF843" t="str">
        <f>HYPERLINK("http://dx.doi.org/10.1016/j.scitotenv.2016.03.046","http://dx.doi.org/10.1016/j.scitotenv.2016.03.046")</f>
        <v>http://dx.doi.org/10.1016/j.scitotenv.2016.03.046</v>
      </c>
      <c r="BG843" t="s">
        <v>74</v>
      </c>
      <c r="BH843" t="s">
        <v>74</v>
      </c>
      <c r="BI843">
        <v>9</v>
      </c>
      <c r="BJ843" t="s">
        <v>846</v>
      </c>
      <c r="BK843" t="s">
        <v>156</v>
      </c>
      <c r="BL843" t="s">
        <v>532</v>
      </c>
      <c r="BM843" t="s">
        <v>15959</v>
      </c>
      <c r="BN843">
        <v>26999368</v>
      </c>
      <c r="BO843" t="s">
        <v>104</v>
      </c>
      <c r="BP843" t="s">
        <v>74</v>
      </c>
      <c r="BQ843" t="s">
        <v>74</v>
      </c>
      <c r="BR843" t="s">
        <v>105</v>
      </c>
      <c r="BS843" t="s">
        <v>15960</v>
      </c>
      <c r="BT843" t="str">
        <f>HYPERLINK("https%3A%2F%2Fwww.webofscience.com%2Fwos%2Fwoscc%2Ffull-record%2FWOS:000375136200026","View Full Record in Web of Science")</f>
        <v>View Full Record in Web of Science</v>
      </c>
    </row>
    <row r="844" spans="1:72" x14ac:dyDescent="0.15">
      <c r="A844" t="s">
        <v>72</v>
      </c>
      <c r="B844" t="s">
        <v>15961</v>
      </c>
      <c r="C844" t="s">
        <v>74</v>
      </c>
      <c r="D844" t="s">
        <v>74</v>
      </c>
      <c r="E844" t="s">
        <v>74</v>
      </c>
      <c r="F844" t="s">
        <v>15962</v>
      </c>
      <c r="G844" t="s">
        <v>74</v>
      </c>
      <c r="H844" t="s">
        <v>74</v>
      </c>
      <c r="I844" t="s">
        <v>15963</v>
      </c>
      <c r="J844" t="s">
        <v>8979</v>
      </c>
      <c r="K844" t="s">
        <v>74</v>
      </c>
      <c r="L844" t="s">
        <v>74</v>
      </c>
      <c r="M844" t="s">
        <v>78</v>
      </c>
      <c r="N844" t="s">
        <v>79</v>
      </c>
      <c r="O844" t="s">
        <v>74</v>
      </c>
      <c r="P844" t="s">
        <v>74</v>
      </c>
      <c r="Q844" t="s">
        <v>74</v>
      </c>
      <c r="R844" t="s">
        <v>74</v>
      </c>
      <c r="S844" t="s">
        <v>74</v>
      </c>
      <c r="T844" t="s">
        <v>15964</v>
      </c>
      <c r="U844" t="s">
        <v>15965</v>
      </c>
      <c r="V844" t="s">
        <v>15966</v>
      </c>
      <c r="W844" t="s">
        <v>15967</v>
      </c>
      <c r="X844" t="s">
        <v>15968</v>
      </c>
      <c r="Y844" t="s">
        <v>15969</v>
      </c>
      <c r="Z844" t="s">
        <v>15970</v>
      </c>
      <c r="AA844" t="s">
        <v>15971</v>
      </c>
      <c r="AB844" t="s">
        <v>15972</v>
      </c>
      <c r="AC844" t="s">
        <v>15973</v>
      </c>
      <c r="AD844" t="s">
        <v>15974</v>
      </c>
      <c r="AE844" t="s">
        <v>15975</v>
      </c>
      <c r="AF844" t="s">
        <v>74</v>
      </c>
      <c r="AG844">
        <v>66</v>
      </c>
      <c r="AH844">
        <v>6</v>
      </c>
      <c r="AI844">
        <v>7</v>
      </c>
      <c r="AJ844">
        <v>2</v>
      </c>
      <c r="AK844">
        <v>45</v>
      </c>
      <c r="AL844" t="s">
        <v>1437</v>
      </c>
      <c r="AM844" t="s">
        <v>594</v>
      </c>
      <c r="AN844" t="s">
        <v>1438</v>
      </c>
      <c r="AO844" t="s">
        <v>8992</v>
      </c>
      <c r="AP844" t="s">
        <v>8993</v>
      </c>
      <c r="AQ844" t="s">
        <v>74</v>
      </c>
      <c r="AR844" t="s">
        <v>8994</v>
      </c>
      <c r="AS844" t="s">
        <v>8995</v>
      </c>
      <c r="AT844" t="s">
        <v>13581</v>
      </c>
      <c r="AU844">
        <v>2016</v>
      </c>
      <c r="AV844">
        <v>176</v>
      </c>
      <c r="AW844" t="s">
        <v>74</v>
      </c>
      <c r="AX844" t="s">
        <v>74</v>
      </c>
      <c r="AY844" t="s">
        <v>74</v>
      </c>
      <c r="AZ844" t="s">
        <v>74</v>
      </c>
      <c r="BA844" t="s">
        <v>74</v>
      </c>
      <c r="BB844">
        <v>276</v>
      </c>
      <c r="BC844">
        <v>289</v>
      </c>
      <c r="BD844" t="s">
        <v>74</v>
      </c>
      <c r="BE844" t="s">
        <v>15976</v>
      </c>
      <c r="BF844" t="str">
        <f>HYPERLINK("http://dx.doi.org/10.1016/j.atmosres.2016.02.021","http://dx.doi.org/10.1016/j.atmosres.2016.02.021")</f>
        <v>http://dx.doi.org/10.1016/j.atmosres.2016.02.021</v>
      </c>
      <c r="BG844" t="s">
        <v>74</v>
      </c>
      <c r="BH844" t="s">
        <v>74</v>
      </c>
      <c r="BI844">
        <v>14</v>
      </c>
      <c r="BJ844" t="s">
        <v>2482</v>
      </c>
      <c r="BK844" t="s">
        <v>156</v>
      </c>
      <c r="BL844" t="s">
        <v>2482</v>
      </c>
      <c r="BM844" t="s">
        <v>15977</v>
      </c>
      <c r="BN844" t="s">
        <v>74</v>
      </c>
      <c r="BO844" t="s">
        <v>1538</v>
      </c>
      <c r="BP844" t="s">
        <v>74</v>
      </c>
      <c r="BQ844" t="s">
        <v>74</v>
      </c>
      <c r="BR844" t="s">
        <v>105</v>
      </c>
      <c r="BS844" t="s">
        <v>15978</v>
      </c>
      <c r="BT844" t="str">
        <f>HYPERLINK("https%3A%2F%2Fwww.webofscience.com%2Fwos%2Fwoscc%2Ffull-record%2FWOS:000374625100023","View Full Record in Web of Science")</f>
        <v>View Full Record in Web of Science</v>
      </c>
    </row>
    <row r="845" spans="1:72" x14ac:dyDescent="0.15">
      <c r="A845" t="s">
        <v>72</v>
      </c>
      <c r="B845" t="s">
        <v>15979</v>
      </c>
      <c r="C845" t="s">
        <v>74</v>
      </c>
      <c r="D845" t="s">
        <v>74</v>
      </c>
      <c r="E845" t="s">
        <v>74</v>
      </c>
      <c r="F845" t="s">
        <v>15980</v>
      </c>
      <c r="G845" t="s">
        <v>74</v>
      </c>
      <c r="H845" t="s">
        <v>74</v>
      </c>
      <c r="I845" t="s">
        <v>15981</v>
      </c>
      <c r="J845" t="s">
        <v>15982</v>
      </c>
      <c r="K845" t="s">
        <v>74</v>
      </c>
      <c r="L845" t="s">
        <v>74</v>
      </c>
      <c r="M845" t="s">
        <v>78</v>
      </c>
      <c r="N845" t="s">
        <v>79</v>
      </c>
      <c r="O845" t="s">
        <v>74</v>
      </c>
      <c r="P845" t="s">
        <v>74</v>
      </c>
      <c r="Q845" t="s">
        <v>74</v>
      </c>
      <c r="R845" t="s">
        <v>74</v>
      </c>
      <c r="S845" t="s">
        <v>74</v>
      </c>
      <c r="T845" t="s">
        <v>15983</v>
      </c>
      <c r="U845" t="s">
        <v>15984</v>
      </c>
      <c r="V845" t="s">
        <v>15985</v>
      </c>
      <c r="W845" t="s">
        <v>15986</v>
      </c>
      <c r="X845" t="s">
        <v>15987</v>
      </c>
      <c r="Y845" t="s">
        <v>15988</v>
      </c>
      <c r="Z845" t="s">
        <v>15989</v>
      </c>
      <c r="AA845" t="s">
        <v>15990</v>
      </c>
      <c r="AB845" t="s">
        <v>15991</v>
      </c>
      <c r="AC845" t="s">
        <v>15992</v>
      </c>
      <c r="AD845" t="s">
        <v>15993</v>
      </c>
      <c r="AE845" t="s">
        <v>15994</v>
      </c>
      <c r="AF845" t="s">
        <v>74</v>
      </c>
      <c r="AG845">
        <v>84</v>
      </c>
      <c r="AH845">
        <v>14</v>
      </c>
      <c r="AI845">
        <v>15</v>
      </c>
      <c r="AJ845">
        <v>4</v>
      </c>
      <c r="AK845">
        <v>38</v>
      </c>
      <c r="AL845" t="s">
        <v>1255</v>
      </c>
      <c r="AM845" t="s">
        <v>1256</v>
      </c>
      <c r="AN845" t="s">
        <v>4643</v>
      </c>
      <c r="AO845" t="s">
        <v>15995</v>
      </c>
      <c r="AP845" t="s">
        <v>74</v>
      </c>
      <c r="AQ845" t="s">
        <v>74</v>
      </c>
      <c r="AR845" t="s">
        <v>15996</v>
      </c>
      <c r="AS845" t="s">
        <v>15997</v>
      </c>
      <c r="AT845" t="s">
        <v>15998</v>
      </c>
      <c r="AU845">
        <v>2016</v>
      </c>
      <c r="AV845">
        <v>10</v>
      </c>
      <c r="AW845" t="s">
        <v>74</v>
      </c>
      <c r="AX845" t="s">
        <v>74</v>
      </c>
      <c r="AY845" t="s">
        <v>74</v>
      </c>
      <c r="AZ845" t="s">
        <v>74</v>
      </c>
      <c r="BA845" t="s">
        <v>74</v>
      </c>
      <c r="BB845" t="s">
        <v>74</v>
      </c>
      <c r="BC845" t="s">
        <v>74</v>
      </c>
      <c r="BD845">
        <v>331</v>
      </c>
      <c r="BE845" t="s">
        <v>15999</v>
      </c>
      <c r="BF845" t="str">
        <f>HYPERLINK("http://dx.doi.org/10.3389/fnhum.2016.00331","http://dx.doi.org/10.3389/fnhum.2016.00331")</f>
        <v>http://dx.doi.org/10.3389/fnhum.2016.00331</v>
      </c>
      <c r="BG845" t="s">
        <v>74</v>
      </c>
      <c r="BH845" t="s">
        <v>74</v>
      </c>
      <c r="BI845">
        <v>12</v>
      </c>
      <c r="BJ845" t="s">
        <v>16000</v>
      </c>
      <c r="BK845" t="s">
        <v>102</v>
      </c>
      <c r="BL845" t="s">
        <v>16001</v>
      </c>
      <c r="BM845" t="s">
        <v>16002</v>
      </c>
      <c r="BN845">
        <v>27445768</v>
      </c>
      <c r="BO845" t="s">
        <v>133</v>
      </c>
      <c r="BP845" t="s">
        <v>74</v>
      </c>
      <c r="BQ845" t="s">
        <v>74</v>
      </c>
      <c r="BR845" t="s">
        <v>105</v>
      </c>
      <c r="BS845" t="s">
        <v>16003</v>
      </c>
      <c r="BT845" t="str">
        <f>HYPERLINK("https%3A%2F%2Fwww.webofscience.com%2Fwos%2Fwoscc%2Ffull-record%2FWOS:000379004600001","View Full Record in Web of Science")</f>
        <v>View Full Record in Web of Science</v>
      </c>
    </row>
    <row r="846" spans="1:72" x14ac:dyDescent="0.15">
      <c r="A846" t="s">
        <v>72</v>
      </c>
      <c r="B846" t="s">
        <v>16004</v>
      </c>
      <c r="C846" t="s">
        <v>74</v>
      </c>
      <c r="D846" t="s">
        <v>74</v>
      </c>
      <c r="E846" t="s">
        <v>74</v>
      </c>
      <c r="F846" t="s">
        <v>16005</v>
      </c>
      <c r="G846" t="s">
        <v>74</v>
      </c>
      <c r="H846" t="s">
        <v>74</v>
      </c>
      <c r="I846" t="s">
        <v>16006</v>
      </c>
      <c r="J846" t="s">
        <v>9955</v>
      </c>
      <c r="K846" t="s">
        <v>74</v>
      </c>
      <c r="L846" t="s">
        <v>74</v>
      </c>
      <c r="M846" t="s">
        <v>78</v>
      </c>
      <c r="N846" t="s">
        <v>79</v>
      </c>
      <c r="O846" t="s">
        <v>74</v>
      </c>
      <c r="P846" t="s">
        <v>74</v>
      </c>
      <c r="Q846" t="s">
        <v>74</v>
      </c>
      <c r="R846" t="s">
        <v>74</v>
      </c>
      <c r="S846" t="s">
        <v>74</v>
      </c>
      <c r="T846" t="s">
        <v>16007</v>
      </c>
      <c r="U846" t="s">
        <v>16008</v>
      </c>
      <c r="V846" t="s">
        <v>16009</v>
      </c>
      <c r="W846" t="s">
        <v>16010</v>
      </c>
      <c r="X846" t="s">
        <v>16011</v>
      </c>
      <c r="Y846" t="s">
        <v>16012</v>
      </c>
      <c r="Z846" t="s">
        <v>7360</v>
      </c>
      <c r="AA846" t="s">
        <v>74</v>
      </c>
      <c r="AB846" t="s">
        <v>74</v>
      </c>
      <c r="AC846" t="s">
        <v>74</v>
      </c>
      <c r="AD846" t="s">
        <v>74</v>
      </c>
      <c r="AE846" t="s">
        <v>74</v>
      </c>
      <c r="AF846" t="s">
        <v>74</v>
      </c>
      <c r="AG846">
        <v>84</v>
      </c>
      <c r="AH846">
        <v>39</v>
      </c>
      <c r="AI846">
        <v>40</v>
      </c>
      <c r="AJ846">
        <v>3</v>
      </c>
      <c r="AK846">
        <v>45</v>
      </c>
      <c r="AL846" t="s">
        <v>501</v>
      </c>
      <c r="AM846" t="s">
        <v>502</v>
      </c>
      <c r="AN846" t="s">
        <v>503</v>
      </c>
      <c r="AO846" t="s">
        <v>9964</v>
      </c>
      <c r="AP846" t="s">
        <v>9965</v>
      </c>
      <c r="AQ846" t="s">
        <v>74</v>
      </c>
      <c r="AR846" t="s">
        <v>9966</v>
      </c>
      <c r="AS846" t="s">
        <v>9967</v>
      </c>
      <c r="AT846" t="s">
        <v>15998</v>
      </c>
      <c r="AU846">
        <v>2016</v>
      </c>
      <c r="AV846">
        <v>36</v>
      </c>
      <c r="AW846">
        <v>8</v>
      </c>
      <c r="AX846" t="s">
        <v>74</v>
      </c>
      <c r="AY846" t="s">
        <v>74</v>
      </c>
      <c r="AZ846" t="s">
        <v>74</v>
      </c>
      <c r="BA846" t="s">
        <v>74</v>
      </c>
      <c r="BB846">
        <v>2979</v>
      </c>
      <c r="BC846">
        <v>3001</v>
      </c>
      <c r="BD846" t="s">
        <v>74</v>
      </c>
      <c r="BE846" t="s">
        <v>16013</v>
      </c>
      <c r="BF846" t="str">
        <f>HYPERLINK("http://dx.doi.org/10.1002/joc.4532","http://dx.doi.org/10.1002/joc.4532")</f>
        <v>http://dx.doi.org/10.1002/joc.4532</v>
      </c>
      <c r="BG846" t="s">
        <v>74</v>
      </c>
      <c r="BH846" t="s">
        <v>74</v>
      </c>
      <c r="BI846">
        <v>23</v>
      </c>
      <c r="BJ846" t="s">
        <v>2482</v>
      </c>
      <c r="BK846" t="s">
        <v>156</v>
      </c>
      <c r="BL846" t="s">
        <v>2482</v>
      </c>
      <c r="BM846" t="s">
        <v>16014</v>
      </c>
      <c r="BN846" t="s">
        <v>74</v>
      </c>
      <c r="BO846" t="s">
        <v>74</v>
      </c>
      <c r="BP846" t="s">
        <v>74</v>
      </c>
      <c r="BQ846" t="s">
        <v>74</v>
      </c>
      <c r="BR846" t="s">
        <v>105</v>
      </c>
      <c r="BS846" t="s">
        <v>16015</v>
      </c>
      <c r="BT846" t="str">
        <f>HYPERLINK("https%3A%2F%2Fwww.webofscience.com%2Fwos%2Fwoscc%2Ffull-record%2FWOS:000378773200012","View Full Record in Web of Science")</f>
        <v>View Full Record in Web of Science</v>
      </c>
    </row>
    <row r="847" spans="1:72" x14ac:dyDescent="0.15">
      <c r="A847" t="s">
        <v>72</v>
      </c>
      <c r="B847" t="s">
        <v>16016</v>
      </c>
      <c r="C847" t="s">
        <v>74</v>
      </c>
      <c r="D847" t="s">
        <v>74</v>
      </c>
      <c r="E847" t="s">
        <v>74</v>
      </c>
      <c r="F847" t="s">
        <v>16017</v>
      </c>
      <c r="G847" t="s">
        <v>74</v>
      </c>
      <c r="H847" t="s">
        <v>74</v>
      </c>
      <c r="I847" t="s">
        <v>16018</v>
      </c>
      <c r="J847" t="s">
        <v>16019</v>
      </c>
      <c r="K847" t="s">
        <v>74</v>
      </c>
      <c r="L847" t="s">
        <v>74</v>
      </c>
      <c r="M847" t="s">
        <v>78</v>
      </c>
      <c r="N847" t="s">
        <v>79</v>
      </c>
      <c r="O847" t="s">
        <v>74</v>
      </c>
      <c r="P847" t="s">
        <v>74</v>
      </c>
      <c r="Q847" t="s">
        <v>74</v>
      </c>
      <c r="R847" t="s">
        <v>74</v>
      </c>
      <c r="S847" t="s">
        <v>74</v>
      </c>
      <c r="T847" t="s">
        <v>74</v>
      </c>
      <c r="U847" t="s">
        <v>16020</v>
      </c>
      <c r="V847" t="s">
        <v>16021</v>
      </c>
      <c r="W847" t="s">
        <v>16022</v>
      </c>
      <c r="X847" t="s">
        <v>16023</v>
      </c>
      <c r="Y847" t="s">
        <v>16024</v>
      </c>
      <c r="Z847" t="s">
        <v>16025</v>
      </c>
      <c r="AA847" t="s">
        <v>16026</v>
      </c>
      <c r="AB847" t="s">
        <v>16027</v>
      </c>
      <c r="AC847" t="s">
        <v>16028</v>
      </c>
      <c r="AD847" t="s">
        <v>12792</v>
      </c>
      <c r="AE847" t="s">
        <v>16029</v>
      </c>
      <c r="AF847" t="s">
        <v>74</v>
      </c>
      <c r="AG847">
        <v>66</v>
      </c>
      <c r="AH847">
        <v>34</v>
      </c>
      <c r="AI847">
        <v>39</v>
      </c>
      <c r="AJ847">
        <v>0</v>
      </c>
      <c r="AK847">
        <v>13</v>
      </c>
      <c r="AL847" t="s">
        <v>1305</v>
      </c>
      <c r="AM847" t="s">
        <v>1306</v>
      </c>
      <c r="AN847" t="s">
        <v>1307</v>
      </c>
      <c r="AO847" t="s">
        <v>16030</v>
      </c>
      <c r="AP847" t="s">
        <v>16031</v>
      </c>
      <c r="AQ847" t="s">
        <v>74</v>
      </c>
      <c r="AR847" t="s">
        <v>16032</v>
      </c>
      <c r="AS847" t="s">
        <v>16033</v>
      </c>
      <c r="AT847" t="s">
        <v>15998</v>
      </c>
      <c r="AU847">
        <v>2016</v>
      </c>
      <c r="AV847">
        <v>4</v>
      </c>
      <c r="AW847">
        <v>2</v>
      </c>
      <c r="AX847" t="s">
        <v>74</v>
      </c>
      <c r="AY847" t="s">
        <v>74</v>
      </c>
      <c r="AZ847" t="s">
        <v>74</v>
      </c>
      <c r="BA847" t="s">
        <v>74</v>
      </c>
      <c r="BB847">
        <v>515</v>
      </c>
      <c r="BC847">
        <v>529</v>
      </c>
      <c r="BD847" t="s">
        <v>74</v>
      </c>
      <c r="BE847" t="s">
        <v>16034</v>
      </c>
      <c r="BF847" t="str">
        <f>HYPERLINK("http://dx.doi.org/10.5194/esurf-4-515-2016","http://dx.doi.org/10.5194/esurf-4-515-2016")</f>
        <v>http://dx.doi.org/10.5194/esurf-4-515-2016</v>
      </c>
      <c r="BG847" t="s">
        <v>74</v>
      </c>
      <c r="BH847" t="s">
        <v>74</v>
      </c>
      <c r="BI847">
        <v>15</v>
      </c>
      <c r="BJ847" t="s">
        <v>203</v>
      </c>
      <c r="BK847" t="s">
        <v>156</v>
      </c>
      <c r="BL847" t="s">
        <v>204</v>
      </c>
      <c r="BM847" t="s">
        <v>16035</v>
      </c>
      <c r="BN847" t="s">
        <v>74</v>
      </c>
      <c r="BO847" t="s">
        <v>12829</v>
      </c>
      <c r="BP847" t="s">
        <v>74</v>
      </c>
      <c r="BQ847" t="s">
        <v>74</v>
      </c>
      <c r="BR847" t="s">
        <v>105</v>
      </c>
      <c r="BS847" t="s">
        <v>16036</v>
      </c>
      <c r="BT847" t="str">
        <f>HYPERLINK("https%3A%2F%2Fwww.webofscience.com%2Fwos%2Fwoscc%2Ffull-record%2FWOS:000424333800001","View Full Record in Web of Science")</f>
        <v>View Full Record in Web of Science</v>
      </c>
    </row>
    <row r="848" spans="1:72" x14ac:dyDescent="0.15">
      <c r="A848" t="s">
        <v>72</v>
      </c>
      <c r="B848" t="s">
        <v>16037</v>
      </c>
      <c r="C848" t="s">
        <v>74</v>
      </c>
      <c r="D848" t="s">
        <v>74</v>
      </c>
      <c r="E848" t="s">
        <v>74</v>
      </c>
      <c r="F848" t="s">
        <v>16038</v>
      </c>
      <c r="G848" t="s">
        <v>74</v>
      </c>
      <c r="H848" t="s">
        <v>74</v>
      </c>
      <c r="I848" t="s">
        <v>16039</v>
      </c>
      <c r="J848" t="s">
        <v>4778</v>
      </c>
      <c r="K848" t="s">
        <v>74</v>
      </c>
      <c r="L848" t="s">
        <v>74</v>
      </c>
      <c r="M848" t="s">
        <v>78</v>
      </c>
      <c r="N848" t="s">
        <v>79</v>
      </c>
      <c r="O848" t="s">
        <v>74</v>
      </c>
      <c r="P848" t="s">
        <v>74</v>
      </c>
      <c r="Q848" t="s">
        <v>74</v>
      </c>
      <c r="R848" t="s">
        <v>74</v>
      </c>
      <c r="S848" t="s">
        <v>74</v>
      </c>
      <c r="T848" t="s">
        <v>74</v>
      </c>
      <c r="U848" t="s">
        <v>16040</v>
      </c>
      <c r="V848" t="s">
        <v>16041</v>
      </c>
      <c r="W848" t="s">
        <v>16042</v>
      </c>
      <c r="X848" t="s">
        <v>16043</v>
      </c>
      <c r="Y848" t="s">
        <v>16044</v>
      </c>
      <c r="Z848" t="s">
        <v>16045</v>
      </c>
      <c r="AA848" t="s">
        <v>16046</v>
      </c>
      <c r="AB848" t="s">
        <v>16047</v>
      </c>
      <c r="AC848" t="s">
        <v>16048</v>
      </c>
      <c r="AD848" t="s">
        <v>16049</v>
      </c>
      <c r="AE848" t="s">
        <v>16050</v>
      </c>
      <c r="AF848" t="s">
        <v>74</v>
      </c>
      <c r="AG848">
        <v>61</v>
      </c>
      <c r="AH848">
        <v>902</v>
      </c>
      <c r="AI848">
        <v>1077</v>
      </c>
      <c r="AJ848">
        <v>50</v>
      </c>
      <c r="AK848">
        <v>516</v>
      </c>
      <c r="AL848" t="s">
        <v>275</v>
      </c>
      <c r="AM848" t="s">
        <v>250</v>
      </c>
      <c r="AN848" t="s">
        <v>276</v>
      </c>
      <c r="AO848" t="s">
        <v>4790</v>
      </c>
      <c r="AP848" t="s">
        <v>4791</v>
      </c>
      <c r="AQ848" t="s">
        <v>74</v>
      </c>
      <c r="AR848" t="s">
        <v>4778</v>
      </c>
      <c r="AS848" t="s">
        <v>4792</v>
      </c>
      <c r="AT848" t="s">
        <v>15998</v>
      </c>
      <c r="AU848">
        <v>2016</v>
      </c>
      <c r="AV848">
        <v>534</v>
      </c>
      <c r="AW848">
        <v>7609</v>
      </c>
      <c r="AX848" t="s">
        <v>74</v>
      </c>
      <c r="AY848" t="s">
        <v>74</v>
      </c>
      <c r="AZ848" t="s">
        <v>74</v>
      </c>
      <c r="BA848" t="s">
        <v>74</v>
      </c>
      <c r="BB848">
        <v>640</v>
      </c>
      <c r="BC848" t="s">
        <v>5030</v>
      </c>
      <c r="BD848" t="s">
        <v>74</v>
      </c>
      <c r="BE848" t="s">
        <v>16051</v>
      </c>
      <c r="BF848" t="str">
        <f>HYPERLINK("http://dx.doi.org/10.1038/nature18591","http://dx.doi.org/10.1038/nature18591")</f>
        <v>http://dx.doi.org/10.1038/nature18591</v>
      </c>
      <c r="BG848" t="s">
        <v>74</v>
      </c>
      <c r="BH848" t="s">
        <v>74</v>
      </c>
      <c r="BI848">
        <v>19</v>
      </c>
      <c r="BJ848" t="s">
        <v>719</v>
      </c>
      <c r="BK848" t="s">
        <v>156</v>
      </c>
      <c r="BL848" t="s">
        <v>720</v>
      </c>
      <c r="BM848" t="s">
        <v>16052</v>
      </c>
      <c r="BN848">
        <v>27357793</v>
      </c>
      <c r="BO848" t="s">
        <v>459</v>
      </c>
      <c r="BP848" t="s">
        <v>1447</v>
      </c>
      <c r="BQ848" t="s">
        <v>1448</v>
      </c>
      <c r="BR848" t="s">
        <v>105</v>
      </c>
      <c r="BS848" t="s">
        <v>16053</v>
      </c>
      <c r="BT848" t="str">
        <f>HYPERLINK("https%3A%2F%2Fwww.webofscience.com%2Fwos%2Fwoscc%2Ffull-record%2FWOS:000378676000027","View Full Record in Web of Science")</f>
        <v>View Full Record in Web of Science</v>
      </c>
    </row>
    <row r="849" spans="1:72" x14ac:dyDescent="0.15">
      <c r="A849" t="s">
        <v>72</v>
      </c>
      <c r="B849" t="s">
        <v>16054</v>
      </c>
      <c r="C849" t="s">
        <v>74</v>
      </c>
      <c r="D849" t="s">
        <v>74</v>
      </c>
      <c r="E849" t="s">
        <v>74</v>
      </c>
      <c r="F849" t="s">
        <v>16055</v>
      </c>
      <c r="G849" t="s">
        <v>74</v>
      </c>
      <c r="H849" t="s">
        <v>74</v>
      </c>
      <c r="I849" t="s">
        <v>16056</v>
      </c>
      <c r="J849" t="s">
        <v>16057</v>
      </c>
      <c r="K849" t="s">
        <v>74</v>
      </c>
      <c r="L849" t="s">
        <v>74</v>
      </c>
      <c r="M849" t="s">
        <v>78</v>
      </c>
      <c r="N849" t="s">
        <v>79</v>
      </c>
      <c r="O849" t="s">
        <v>74</v>
      </c>
      <c r="P849" t="s">
        <v>74</v>
      </c>
      <c r="Q849" t="s">
        <v>74</v>
      </c>
      <c r="R849" t="s">
        <v>74</v>
      </c>
      <c r="S849" t="s">
        <v>74</v>
      </c>
      <c r="T849" t="s">
        <v>16058</v>
      </c>
      <c r="U849" t="s">
        <v>16059</v>
      </c>
      <c r="V849" t="s">
        <v>16060</v>
      </c>
      <c r="W849" t="s">
        <v>16061</v>
      </c>
      <c r="X849" t="s">
        <v>16062</v>
      </c>
      <c r="Y849" t="s">
        <v>16063</v>
      </c>
      <c r="Z849" t="s">
        <v>16064</v>
      </c>
      <c r="AA849" t="s">
        <v>16065</v>
      </c>
      <c r="AB849" t="s">
        <v>16066</v>
      </c>
      <c r="AC849" t="s">
        <v>16067</v>
      </c>
      <c r="AD849" t="s">
        <v>16067</v>
      </c>
      <c r="AE849" t="s">
        <v>16068</v>
      </c>
      <c r="AF849" t="s">
        <v>74</v>
      </c>
      <c r="AG849">
        <v>64</v>
      </c>
      <c r="AH849">
        <v>1</v>
      </c>
      <c r="AI849">
        <v>1</v>
      </c>
      <c r="AJ849">
        <v>0</v>
      </c>
      <c r="AK849">
        <v>5</v>
      </c>
      <c r="AL849" t="s">
        <v>16069</v>
      </c>
      <c r="AM849" t="s">
        <v>16070</v>
      </c>
      <c r="AN849" t="s">
        <v>16071</v>
      </c>
      <c r="AO849" t="s">
        <v>16072</v>
      </c>
      <c r="AP849" t="s">
        <v>16073</v>
      </c>
      <c r="AQ849" t="s">
        <v>74</v>
      </c>
      <c r="AR849" t="s">
        <v>16074</v>
      </c>
      <c r="AS849" t="s">
        <v>16075</v>
      </c>
      <c r="AT849" t="s">
        <v>16076</v>
      </c>
      <c r="AU849">
        <v>2016</v>
      </c>
      <c r="AV849" t="s">
        <v>74</v>
      </c>
      <c r="AW849" t="s">
        <v>74</v>
      </c>
      <c r="AX849">
        <v>1</v>
      </c>
      <c r="AY849">
        <v>34</v>
      </c>
      <c r="AZ849" t="s">
        <v>74</v>
      </c>
      <c r="BA849" t="s">
        <v>74</v>
      </c>
      <c r="BB849">
        <v>331</v>
      </c>
      <c r="BC849">
        <v>342</v>
      </c>
      <c r="BD849" t="s">
        <v>74</v>
      </c>
      <c r="BE849" t="s">
        <v>74</v>
      </c>
      <c r="BF849" t="s">
        <v>74</v>
      </c>
      <c r="BG849" t="s">
        <v>74</v>
      </c>
      <c r="BH849" t="s">
        <v>74</v>
      </c>
      <c r="BI849">
        <v>12</v>
      </c>
      <c r="BJ849" t="s">
        <v>3306</v>
      </c>
      <c r="BK849" t="s">
        <v>156</v>
      </c>
      <c r="BL849" t="s">
        <v>3306</v>
      </c>
      <c r="BM849" t="s">
        <v>16077</v>
      </c>
      <c r="BN849" t="s">
        <v>74</v>
      </c>
      <c r="BO849" t="s">
        <v>74</v>
      </c>
      <c r="BP849" t="s">
        <v>74</v>
      </c>
      <c r="BQ849" t="s">
        <v>74</v>
      </c>
      <c r="BR849" t="s">
        <v>105</v>
      </c>
      <c r="BS849" t="s">
        <v>16078</v>
      </c>
      <c r="BT849" t="str">
        <f>HYPERLINK("https%3A%2F%2Fwww.webofscience.com%2Fwos%2Fwoscc%2Ffull-record%2FWOS:000393214800014","View Full Record in Web of Science")</f>
        <v>View Full Record in Web of Science</v>
      </c>
    </row>
    <row r="850" spans="1:72" x14ac:dyDescent="0.15">
      <c r="A850" t="s">
        <v>72</v>
      </c>
      <c r="B850" t="s">
        <v>16079</v>
      </c>
      <c r="C850" t="s">
        <v>74</v>
      </c>
      <c r="D850" t="s">
        <v>74</v>
      </c>
      <c r="E850" t="s">
        <v>74</v>
      </c>
      <c r="F850" t="s">
        <v>16080</v>
      </c>
      <c r="G850" t="s">
        <v>74</v>
      </c>
      <c r="H850" t="s">
        <v>74</v>
      </c>
      <c r="I850" t="s">
        <v>16081</v>
      </c>
      <c r="J850" t="s">
        <v>16082</v>
      </c>
      <c r="K850" t="s">
        <v>74</v>
      </c>
      <c r="L850" t="s">
        <v>74</v>
      </c>
      <c r="M850" t="s">
        <v>78</v>
      </c>
      <c r="N850" t="s">
        <v>79</v>
      </c>
      <c r="O850" t="s">
        <v>74</v>
      </c>
      <c r="P850" t="s">
        <v>74</v>
      </c>
      <c r="Q850" t="s">
        <v>74</v>
      </c>
      <c r="R850" t="s">
        <v>74</v>
      </c>
      <c r="S850" t="s">
        <v>74</v>
      </c>
      <c r="T850" t="s">
        <v>16083</v>
      </c>
      <c r="U850" t="s">
        <v>16084</v>
      </c>
      <c r="V850" t="s">
        <v>16085</v>
      </c>
      <c r="W850" t="s">
        <v>16086</v>
      </c>
      <c r="X850" t="s">
        <v>16087</v>
      </c>
      <c r="Y850" t="s">
        <v>16088</v>
      </c>
      <c r="Z850" t="s">
        <v>16089</v>
      </c>
      <c r="AA850" t="s">
        <v>16090</v>
      </c>
      <c r="AB850" t="s">
        <v>16091</v>
      </c>
      <c r="AC850" t="s">
        <v>16092</v>
      </c>
      <c r="AD850" t="s">
        <v>16093</v>
      </c>
      <c r="AE850" t="s">
        <v>16094</v>
      </c>
      <c r="AF850" t="s">
        <v>74</v>
      </c>
      <c r="AG850">
        <v>42</v>
      </c>
      <c r="AH850">
        <v>38</v>
      </c>
      <c r="AI850">
        <v>42</v>
      </c>
      <c r="AJ850">
        <v>3</v>
      </c>
      <c r="AK850">
        <v>36</v>
      </c>
      <c r="AL850" t="s">
        <v>713</v>
      </c>
      <c r="AM850" t="s">
        <v>250</v>
      </c>
      <c r="AN850" t="s">
        <v>714</v>
      </c>
      <c r="AO850" t="s">
        <v>16095</v>
      </c>
      <c r="AP850" t="s">
        <v>16096</v>
      </c>
      <c r="AQ850" t="s">
        <v>74</v>
      </c>
      <c r="AR850" t="s">
        <v>16097</v>
      </c>
      <c r="AS850" t="s">
        <v>16098</v>
      </c>
      <c r="AT850" t="s">
        <v>16076</v>
      </c>
      <c r="AU850">
        <v>2016</v>
      </c>
      <c r="AV850">
        <v>283</v>
      </c>
      <c r="AW850">
        <v>1833</v>
      </c>
      <c r="AX850" t="s">
        <v>74</v>
      </c>
      <c r="AY850" t="s">
        <v>74</v>
      </c>
      <c r="AZ850" t="s">
        <v>74</v>
      </c>
      <c r="BA850" t="s">
        <v>74</v>
      </c>
      <c r="BB850" t="s">
        <v>74</v>
      </c>
      <c r="BC850" t="s">
        <v>74</v>
      </c>
      <c r="BD850">
        <v>20160249</v>
      </c>
      <c r="BE850" t="s">
        <v>16099</v>
      </c>
      <c r="BF850" t="str">
        <f>HYPERLINK("http://dx.doi.org/10.1098/rspb.2016.0249","http://dx.doi.org/10.1098/rspb.2016.0249")</f>
        <v>http://dx.doi.org/10.1098/rspb.2016.0249</v>
      </c>
      <c r="BG850" t="s">
        <v>74</v>
      </c>
      <c r="BH850" t="s">
        <v>74</v>
      </c>
      <c r="BI850">
        <v>6</v>
      </c>
      <c r="BJ850" t="s">
        <v>9948</v>
      </c>
      <c r="BK850" t="s">
        <v>156</v>
      </c>
      <c r="BL850" t="s">
        <v>9949</v>
      </c>
      <c r="BM850" t="s">
        <v>16100</v>
      </c>
      <c r="BN850">
        <v>27335415</v>
      </c>
      <c r="BO850" t="s">
        <v>1142</v>
      </c>
      <c r="BP850" t="s">
        <v>74</v>
      </c>
      <c r="BQ850" t="s">
        <v>74</v>
      </c>
      <c r="BR850" t="s">
        <v>105</v>
      </c>
      <c r="BS850" t="s">
        <v>16101</v>
      </c>
      <c r="BT850" t="str">
        <f>HYPERLINK("https%3A%2F%2Fwww.webofscience.com%2Fwos%2Fwoscc%2Ffull-record%2FWOS:000381247300017","View Full Record in Web of Science")</f>
        <v>View Full Record in Web of Science</v>
      </c>
    </row>
    <row r="851" spans="1:72" x14ac:dyDescent="0.15">
      <c r="A851" t="s">
        <v>72</v>
      </c>
      <c r="B851" t="s">
        <v>16102</v>
      </c>
      <c r="C851" t="s">
        <v>74</v>
      </c>
      <c r="D851" t="s">
        <v>74</v>
      </c>
      <c r="E851" t="s">
        <v>74</v>
      </c>
      <c r="F851" t="s">
        <v>16103</v>
      </c>
      <c r="G851" t="s">
        <v>74</v>
      </c>
      <c r="H851" t="s">
        <v>74</v>
      </c>
      <c r="I851" t="s">
        <v>16104</v>
      </c>
      <c r="J851" t="s">
        <v>16082</v>
      </c>
      <c r="K851" t="s">
        <v>74</v>
      </c>
      <c r="L851" t="s">
        <v>74</v>
      </c>
      <c r="M851" t="s">
        <v>78</v>
      </c>
      <c r="N851" t="s">
        <v>79</v>
      </c>
      <c r="O851" t="s">
        <v>74</v>
      </c>
      <c r="P851" t="s">
        <v>74</v>
      </c>
      <c r="Q851" t="s">
        <v>74</v>
      </c>
      <c r="R851" t="s">
        <v>74</v>
      </c>
      <c r="S851" t="s">
        <v>74</v>
      </c>
      <c r="T851" t="s">
        <v>16105</v>
      </c>
      <c r="U851" t="s">
        <v>16106</v>
      </c>
      <c r="V851" t="s">
        <v>16107</v>
      </c>
      <c r="W851" t="s">
        <v>16108</v>
      </c>
      <c r="X851" t="s">
        <v>16109</v>
      </c>
      <c r="Y851" t="s">
        <v>16110</v>
      </c>
      <c r="Z851" t="s">
        <v>16111</v>
      </c>
      <c r="AA851" t="s">
        <v>16112</v>
      </c>
      <c r="AB851" t="s">
        <v>16113</v>
      </c>
      <c r="AC851" t="s">
        <v>16114</v>
      </c>
      <c r="AD851" t="s">
        <v>16115</v>
      </c>
      <c r="AE851" t="s">
        <v>16116</v>
      </c>
      <c r="AF851" t="s">
        <v>74</v>
      </c>
      <c r="AG851">
        <v>57</v>
      </c>
      <c r="AH851">
        <v>42</v>
      </c>
      <c r="AI851">
        <v>43</v>
      </c>
      <c r="AJ851">
        <v>2</v>
      </c>
      <c r="AK851">
        <v>53</v>
      </c>
      <c r="AL851" t="s">
        <v>713</v>
      </c>
      <c r="AM851" t="s">
        <v>250</v>
      </c>
      <c r="AN851" t="s">
        <v>714</v>
      </c>
      <c r="AO851" t="s">
        <v>16095</v>
      </c>
      <c r="AP851" t="s">
        <v>16096</v>
      </c>
      <c r="AQ851" t="s">
        <v>74</v>
      </c>
      <c r="AR851" t="s">
        <v>16097</v>
      </c>
      <c r="AS851" t="s">
        <v>16098</v>
      </c>
      <c r="AT851" t="s">
        <v>16076</v>
      </c>
      <c r="AU851">
        <v>2016</v>
      </c>
      <c r="AV851">
        <v>283</v>
      </c>
      <c r="AW851">
        <v>1833</v>
      </c>
      <c r="AX851" t="s">
        <v>74</v>
      </c>
      <c r="AY851" t="s">
        <v>74</v>
      </c>
      <c r="AZ851" t="s">
        <v>74</v>
      </c>
      <c r="BA851" t="s">
        <v>74</v>
      </c>
      <c r="BB851" t="s">
        <v>74</v>
      </c>
      <c r="BC851" t="s">
        <v>74</v>
      </c>
      <c r="BD851">
        <v>20160816</v>
      </c>
      <c r="BE851" t="s">
        <v>16117</v>
      </c>
      <c r="BF851" t="str">
        <f>HYPERLINK("http://dx.doi.org/10.1098/rspb.2016.0816","http://dx.doi.org/10.1098/rspb.2016.0816")</f>
        <v>http://dx.doi.org/10.1098/rspb.2016.0816</v>
      </c>
      <c r="BG851" t="s">
        <v>74</v>
      </c>
      <c r="BH851" t="s">
        <v>74</v>
      </c>
      <c r="BI851">
        <v>9</v>
      </c>
      <c r="BJ851" t="s">
        <v>9948</v>
      </c>
      <c r="BK851" t="s">
        <v>156</v>
      </c>
      <c r="BL851" t="s">
        <v>9949</v>
      </c>
      <c r="BM851" t="s">
        <v>16100</v>
      </c>
      <c r="BN851">
        <v>27335422</v>
      </c>
      <c r="BO851" t="s">
        <v>1142</v>
      </c>
      <c r="BP851" t="s">
        <v>74</v>
      </c>
      <c r="BQ851" t="s">
        <v>74</v>
      </c>
      <c r="BR851" t="s">
        <v>105</v>
      </c>
      <c r="BS851" t="s">
        <v>16118</v>
      </c>
      <c r="BT851" t="str">
        <f>HYPERLINK("https%3A%2F%2Fwww.webofscience.com%2Fwos%2Fwoscc%2Ffull-record%2FWOS:000381247300022","View Full Record in Web of Science")</f>
        <v>View Full Record in Web of Science</v>
      </c>
    </row>
    <row r="852" spans="1:72" x14ac:dyDescent="0.15">
      <c r="A852" t="s">
        <v>72</v>
      </c>
      <c r="B852" t="s">
        <v>16119</v>
      </c>
      <c r="C852" t="s">
        <v>74</v>
      </c>
      <c r="D852" t="s">
        <v>74</v>
      </c>
      <c r="E852" t="s">
        <v>74</v>
      </c>
      <c r="F852" t="s">
        <v>16120</v>
      </c>
      <c r="G852" t="s">
        <v>74</v>
      </c>
      <c r="H852" t="s">
        <v>74</v>
      </c>
      <c r="I852" t="s">
        <v>16121</v>
      </c>
      <c r="J852" t="s">
        <v>1147</v>
      </c>
      <c r="K852" t="s">
        <v>74</v>
      </c>
      <c r="L852" t="s">
        <v>74</v>
      </c>
      <c r="M852" t="s">
        <v>78</v>
      </c>
      <c r="N852" t="s">
        <v>79</v>
      </c>
      <c r="O852" t="s">
        <v>74</v>
      </c>
      <c r="P852" t="s">
        <v>74</v>
      </c>
      <c r="Q852" t="s">
        <v>74</v>
      </c>
      <c r="R852" t="s">
        <v>74</v>
      </c>
      <c r="S852" t="s">
        <v>74</v>
      </c>
      <c r="T852" t="s">
        <v>16122</v>
      </c>
      <c r="U852" t="s">
        <v>16123</v>
      </c>
      <c r="V852" t="s">
        <v>16124</v>
      </c>
      <c r="W852" t="s">
        <v>16125</v>
      </c>
      <c r="X852" t="s">
        <v>16126</v>
      </c>
      <c r="Y852" t="s">
        <v>16127</v>
      </c>
      <c r="Z852" t="s">
        <v>16128</v>
      </c>
      <c r="AA852" t="s">
        <v>16129</v>
      </c>
      <c r="AB852" t="s">
        <v>16130</v>
      </c>
      <c r="AC852" t="s">
        <v>16131</v>
      </c>
      <c r="AD852" t="s">
        <v>16132</v>
      </c>
      <c r="AE852" t="s">
        <v>16133</v>
      </c>
      <c r="AF852" t="s">
        <v>74</v>
      </c>
      <c r="AG852">
        <v>84</v>
      </c>
      <c r="AH852">
        <v>25</v>
      </c>
      <c r="AI852">
        <v>31</v>
      </c>
      <c r="AJ852">
        <v>1</v>
      </c>
      <c r="AK852">
        <v>53</v>
      </c>
      <c r="AL852" t="s">
        <v>1911</v>
      </c>
      <c r="AM852" t="s">
        <v>250</v>
      </c>
      <c r="AN852" t="s">
        <v>1912</v>
      </c>
      <c r="AO852" t="s">
        <v>1161</v>
      </c>
      <c r="AP852" t="s">
        <v>74</v>
      </c>
      <c r="AQ852" t="s">
        <v>74</v>
      </c>
      <c r="AR852" t="s">
        <v>1162</v>
      </c>
      <c r="AS852" t="s">
        <v>1163</v>
      </c>
      <c r="AT852" t="s">
        <v>16076</v>
      </c>
      <c r="AU852">
        <v>2016</v>
      </c>
      <c r="AV852">
        <v>16</v>
      </c>
      <c r="AW852" t="s">
        <v>74</v>
      </c>
      <c r="AX852" t="s">
        <v>74</v>
      </c>
      <c r="AY852" t="s">
        <v>74</v>
      </c>
      <c r="AZ852" t="s">
        <v>74</v>
      </c>
      <c r="BA852" t="s">
        <v>74</v>
      </c>
      <c r="BB852" t="s">
        <v>74</v>
      </c>
      <c r="BC852" t="s">
        <v>74</v>
      </c>
      <c r="BD852">
        <v>142</v>
      </c>
      <c r="BE852" t="s">
        <v>16134</v>
      </c>
      <c r="BF852" t="str">
        <f>HYPERLINK("http://dx.doi.org/10.1186/s12862-016-0704-2","http://dx.doi.org/10.1186/s12862-016-0704-2")</f>
        <v>http://dx.doi.org/10.1186/s12862-016-0704-2</v>
      </c>
      <c r="BG852" t="s">
        <v>74</v>
      </c>
      <c r="BH852" t="s">
        <v>74</v>
      </c>
      <c r="BI852">
        <v>13</v>
      </c>
      <c r="BJ852" t="s">
        <v>379</v>
      </c>
      <c r="BK852" t="s">
        <v>156</v>
      </c>
      <c r="BL852" t="s">
        <v>379</v>
      </c>
      <c r="BM852" t="s">
        <v>16135</v>
      </c>
      <c r="BN852">
        <v>27356756</v>
      </c>
      <c r="BO852" t="s">
        <v>133</v>
      </c>
      <c r="BP852" t="s">
        <v>74</v>
      </c>
      <c r="BQ852" t="s">
        <v>74</v>
      </c>
      <c r="BR852" t="s">
        <v>105</v>
      </c>
      <c r="BS852" t="s">
        <v>16136</v>
      </c>
      <c r="BT852" t="str">
        <f>HYPERLINK("https%3A%2F%2Fwww.webofscience.com%2Fwos%2Fwoscc%2Ffull-record%2FWOS:000378675500002","View Full Record in Web of Science")</f>
        <v>View Full Record in Web of Science</v>
      </c>
    </row>
    <row r="853" spans="1:72" x14ac:dyDescent="0.15">
      <c r="A853" t="s">
        <v>72</v>
      </c>
      <c r="B853" t="s">
        <v>16137</v>
      </c>
      <c r="C853" t="s">
        <v>74</v>
      </c>
      <c r="D853" t="s">
        <v>74</v>
      </c>
      <c r="E853" t="s">
        <v>74</v>
      </c>
      <c r="F853" t="s">
        <v>16138</v>
      </c>
      <c r="G853" t="s">
        <v>74</v>
      </c>
      <c r="H853" t="s">
        <v>74</v>
      </c>
      <c r="I853" t="s">
        <v>16139</v>
      </c>
      <c r="J853" t="s">
        <v>2078</v>
      </c>
      <c r="K853" t="s">
        <v>74</v>
      </c>
      <c r="L853" t="s">
        <v>74</v>
      </c>
      <c r="M853" t="s">
        <v>78</v>
      </c>
      <c r="N853" t="s">
        <v>79</v>
      </c>
      <c r="O853" t="s">
        <v>74</v>
      </c>
      <c r="P853" t="s">
        <v>74</v>
      </c>
      <c r="Q853" t="s">
        <v>74</v>
      </c>
      <c r="R853" t="s">
        <v>74</v>
      </c>
      <c r="S853" t="s">
        <v>74</v>
      </c>
      <c r="T853" t="s">
        <v>74</v>
      </c>
      <c r="U853" t="s">
        <v>16140</v>
      </c>
      <c r="V853" t="s">
        <v>16141</v>
      </c>
      <c r="W853" t="s">
        <v>16142</v>
      </c>
      <c r="X853" t="s">
        <v>16143</v>
      </c>
      <c r="Y853" t="s">
        <v>16144</v>
      </c>
      <c r="Z853" t="s">
        <v>16145</v>
      </c>
      <c r="AA853" t="s">
        <v>16146</v>
      </c>
      <c r="AB853" t="s">
        <v>16147</v>
      </c>
      <c r="AC853" t="s">
        <v>16148</v>
      </c>
      <c r="AD853" t="s">
        <v>16149</v>
      </c>
      <c r="AE853" t="s">
        <v>16150</v>
      </c>
      <c r="AF853" t="s">
        <v>74</v>
      </c>
      <c r="AG853">
        <v>36</v>
      </c>
      <c r="AH853">
        <v>46</v>
      </c>
      <c r="AI853">
        <v>56</v>
      </c>
      <c r="AJ853">
        <v>14</v>
      </c>
      <c r="AK853">
        <v>162</v>
      </c>
      <c r="AL853" t="s">
        <v>574</v>
      </c>
      <c r="AM853" t="s">
        <v>575</v>
      </c>
      <c r="AN853" t="s">
        <v>576</v>
      </c>
      <c r="AO853" t="s">
        <v>2090</v>
      </c>
      <c r="AP853" t="s">
        <v>74</v>
      </c>
      <c r="AQ853" t="s">
        <v>74</v>
      </c>
      <c r="AR853" t="s">
        <v>2091</v>
      </c>
      <c r="AS853" t="s">
        <v>2092</v>
      </c>
      <c r="AT853" t="s">
        <v>16076</v>
      </c>
      <c r="AU853">
        <v>2016</v>
      </c>
      <c r="AV853">
        <v>6</v>
      </c>
      <c r="AW853" t="s">
        <v>74</v>
      </c>
      <c r="AX853" t="s">
        <v>74</v>
      </c>
      <c r="AY853" t="s">
        <v>74</v>
      </c>
      <c r="AZ853" t="s">
        <v>74</v>
      </c>
      <c r="BA853" t="s">
        <v>74</v>
      </c>
      <c r="BB853" t="s">
        <v>74</v>
      </c>
      <c r="BC853" t="s">
        <v>74</v>
      </c>
      <c r="BD853">
        <v>28785</v>
      </c>
      <c r="BE853" t="s">
        <v>16151</v>
      </c>
      <c r="BF853" t="str">
        <f>HYPERLINK("http://dx.doi.org/10.1038/srep28785","http://dx.doi.org/10.1038/srep28785")</f>
        <v>http://dx.doi.org/10.1038/srep28785</v>
      </c>
      <c r="BG853" t="s">
        <v>74</v>
      </c>
      <c r="BH853" t="s">
        <v>74</v>
      </c>
      <c r="BI853">
        <v>9</v>
      </c>
      <c r="BJ853" t="s">
        <v>719</v>
      </c>
      <c r="BK853" t="s">
        <v>156</v>
      </c>
      <c r="BL853" t="s">
        <v>720</v>
      </c>
      <c r="BM853" t="s">
        <v>16152</v>
      </c>
      <c r="BN853">
        <v>27352849</v>
      </c>
      <c r="BO853" t="s">
        <v>133</v>
      </c>
      <c r="BP853" t="s">
        <v>74</v>
      </c>
      <c r="BQ853" t="s">
        <v>74</v>
      </c>
      <c r="BR853" t="s">
        <v>105</v>
      </c>
      <c r="BS853" t="s">
        <v>16153</v>
      </c>
      <c r="BT853" t="str">
        <f>HYPERLINK("https%3A%2F%2Fwww.webofscience.com%2Fwos%2Fwoscc%2Ffull-record%2FWOS:000378803000001","View Full Record in Web of Science")</f>
        <v>View Full Record in Web of Science</v>
      </c>
    </row>
    <row r="854" spans="1:72" x14ac:dyDescent="0.15">
      <c r="A854" t="s">
        <v>72</v>
      </c>
      <c r="B854" t="s">
        <v>16154</v>
      </c>
      <c r="C854" t="s">
        <v>74</v>
      </c>
      <c r="D854" t="s">
        <v>74</v>
      </c>
      <c r="E854" t="s">
        <v>74</v>
      </c>
      <c r="F854" t="s">
        <v>16155</v>
      </c>
      <c r="G854" t="s">
        <v>74</v>
      </c>
      <c r="H854" t="s">
        <v>74</v>
      </c>
      <c r="I854" t="s">
        <v>16156</v>
      </c>
      <c r="J854" t="s">
        <v>1088</v>
      </c>
      <c r="K854" t="s">
        <v>74</v>
      </c>
      <c r="L854" t="s">
        <v>74</v>
      </c>
      <c r="M854" t="s">
        <v>78</v>
      </c>
      <c r="N854" t="s">
        <v>79</v>
      </c>
      <c r="O854" t="s">
        <v>74</v>
      </c>
      <c r="P854" t="s">
        <v>74</v>
      </c>
      <c r="Q854" t="s">
        <v>74</v>
      </c>
      <c r="R854" t="s">
        <v>74</v>
      </c>
      <c r="S854" t="s">
        <v>74</v>
      </c>
      <c r="T854" t="s">
        <v>74</v>
      </c>
      <c r="U854" t="s">
        <v>16157</v>
      </c>
      <c r="V854" t="s">
        <v>16158</v>
      </c>
      <c r="W854" t="s">
        <v>16159</v>
      </c>
      <c r="X854" t="s">
        <v>16160</v>
      </c>
      <c r="Y854" t="s">
        <v>16161</v>
      </c>
      <c r="Z854" t="s">
        <v>16162</v>
      </c>
      <c r="AA854" t="s">
        <v>16163</v>
      </c>
      <c r="AB854" t="s">
        <v>16164</v>
      </c>
      <c r="AC854" t="s">
        <v>16165</v>
      </c>
      <c r="AD854" t="s">
        <v>16166</v>
      </c>
      <c r="AE854" t="s">
        <v>16167</v>
      </c>
      <c r="AF854" t="s">
        <v>74</v>
      </c>
      <c r="AG854">
        <v>38</v>
      </c>
      <c r="AH854">
        <v>37</v>
      </c>
      <c r="AI854">
        <v>40</v>
      </c>
      <c r="AJ854">
        <v>1</v>
      </c>
      <c r="AK854">
        <v>12</v>
      </c>
      <c r="AL854" t="s">
        <v>149</v>
      </c>
      <c r="AM854" t="s">
        <v>123</v>
      </c>
      <c r="AN854" t="s">
        <v>150</v>
      </c>
      <c r="AO854" t="s">
        <v>1100</v>
      </c>
      <c r="AP854" t="s">
        <v>1101</v>
      </c>
      <c r="AQ854" t="s">
        <v>74</v>
      </c>
      <c r="AR854" t="s">
        <v>1102</v>
      </c>
      <c r="AS854" t="s">
        <v>1103</v>
      </c>
      <c r="AT854" t="s">
        <v>16168</v>
      </c>
      <c r="AU854">
        <v>2016</v>
      </c>
      <c r="AV854">
        <v>43</v>
      </c>
      <c r="AW854">
        <v>12</v>
      </c>
      <c r="AX854" t="s">
        <v>74</v>
      </c>
      <c r="AY854" t="s">
        <v>74</v>
      </c>
      <c r="AZ854" t="s">
        <v>74</v>
      </c>
      <c r="BA854" t="s">
        <v>74</v>
      </c>
      <c r="BB854">
        <v>6402</v>
      </c>
      <c r="BC854">
        <v>6409</v>
      </c>
      <c r="BD854" t="s">
        <v>74</v>
      </c>
      <c r="BE854" t="s">
        <v>16169</v>
      </c>
      <c r="BF854" t="str">
        <f>HYPERLINK("http://dx.doi.org/10.1002/2016GL068998","http://dx.doi.org/10.1002/2016GL068998")</f>
        <v>http://dx.doi.org/10.1002/2016GL068998</v>
      </c>
      <c r="BG854" t="s">
        <v>74</v>
      </c>
      <c r="BH854" t="s">
        <v>74</v>
      </c>
      <c r="BI854">
        <v>8</v>
      </c>
      <c r="BJ854" t="s">
        <v>352</v>
      </c>
      <c r="BK854" t="s">
        <v>156</v>
      </c>
      <c r="BL854" t="s">
        <v>177</v>
      </c>
      <c r="BM854" t="s">
        <v>16170</v>
      </c>
      <c r="BN854" t="s">
        <v>74</v>
      </c>
      <c r="BO854" t="s">
        <v>8051</v>
      </c>
      <c r="BP854" t="s">
        <v>74</v>
      </c>
      <c r="BQ854" t="s">
        <v>74</v>
      </c>
      <c r="BR854" t="s">
        <v>105</v>
      </c>
      <c r="BS854" t="s">
        <v>16171</v>
      </c>
      <c r="BT854" t="str">
        <f>HYPERLINK("https%3A%2F%2Fwww.webofscience.com%2Fwos%2Fwoscc%2Ffull-record%2FWOS:000380910100059","View Full Record in Web of Science")</f>
        <v>View Full Record in Web of Science</v>
      </c>
    </row>
    <row r="855" spans="1:72" x14ac:dyDescent="0.15">
      <c r="A855" t="s">
        <v>72</v>
      </c>
      <c r="B855" t="s">
        <v>16172</v>
      </c>
      <c r="C855" t="s">
        <v>74</v>
      </c>
      <c r="D855" t="s">
        <v>74</v>
      </c>
      <c r="E855" t="s">
        <v>74</v>
      </c>
      <c r="F855" t="s">
        <v>16173</v>
      </c>
      <c r="G855" t="s">
        <v>74</v>
      </c>
      <c r="H855" t="s">
        <v>74</v>
      </c>
      <c r="I855" t="s">
        <v>16174</v>
      </c>
      <c r="J855" t="s">
        <v>1268</v>
      </c>
      <c r="K855" t="s">
        <v>74</v>
      </c>
      <c r="L855" t="s">
        <v>74</v>
      </c>
      <c r="M855" t="s">
        <v>78</v>
      </c>
      <c r="N855" t="s">
        <v>79</v>
      </c>
      <c r="O855" t="s">
        <v>74</v>
      </c>
      <c r="P855" t="s">
        <v>74</v>
      </c>
      <c r="Q855" t="s">
        <v>74</v>
      </c>
      <c r="R855" t="s">
        <v>74</v>
      </c>
      <c r="S855" t="s">
        <v>74</v>
      </c>
      <c r="T855" t="s">
        <v>74</v>
      </c>
      <c r="U855" t="s">
        <v>16175</v>
      </c>
      <c r="V855" t="s">
        <v>16176</v>
      </c>
      <c r="W855" t="s">
        <v>16177</v>
      </c>
      <c r="X855" t="s">
        <v>16178</v>
      </c>
      <c r="Y855" t="s">
        <v>16179</v>
      </c>
      <c r="Z855" t="s">
        <v>16180</v>
      </c>
      <c r="AA855" t="s">
        <v>16181</v>
      </c>
      <c r="AB855" t="s">
        <v>16182</v>
      </c>
      <c r="AC855" t="s">
        <v>74</v>
      </c>
      <c r="AD855" t="s">
        <v>74</v>
      </c>
      <c r="AE855" t="s">
        <v>74</v>
      </c>
      <c r="AF855" t="s">
        <v>74</v>
      </c>
      <c r="AG855">
        <v>66</v>
      </c>
      <c r="AH855">
        <v>9</v>
      </c>
      <c r="AI855">
        <v>10</v>
      </c>
      <c r="AJ855">
        <v>2</v>
      </c>
      <c r="AK855">
        <v>15</v>
      </c>
      <c r="AL855" t="s">
        <v>1279</v>
      </c>
      <c r="AM855" t="s">
        <v>1280</v>
      </c>
      <c r="AN855" t="s">
        <v>1281</v>
      </c>
      <c r="AO855" t="s">
        <v>1282</v>
      </c>
      <c r="AP855" t="s">
        <v>74</v>
      </c>
      <c r="AQ855" t="s">
        <v>74</v>
      </c>
      <c r="AR855" t="s">
        <v>1283</v>
      </c>
      <c r="AS855" t="s">
        <v>1284</v>
      </c>
      <c r="AT855" t="s">
        <v>16168</v>
      </c>
      <c r="AU855">
        <v>2016</v>
      </c>
      <c r="AV855">
        <v>4</v>
      </c>
      <c r="AW855" t="s">
        <v>74</v>
      </c>
      <c r="AX855" t="s">
        <v>74</v>
      </c>
      <c r="AY855" t="s">
        <v>74</v>
      </c>
      <c r="AZ855" t="s">
        <v>74</v>
      </c>
      <c r="BA855" t="s">
        <v>74</v>
      </c>
      <c r="BB855" t="s">
        <v>74</v>
      </c>
      <c r="BC855" t="s">
        <v>74</v>
      </c>
      <c r="BD855">
        <v>112</v>
      </c>
      <c r="BE855" t="s">
        <v>16183</v>
      </c>
      <c r="BF855" t="str">
        <f>HYPERLINK("http://dx.doi.org/10.12952/journal.elementa.000112","http://dx.doi.org/10.12952/journal.elementa.000112")</f>
        <v>http://dx.doi.org/10.12952/journal.elementa.000112</v>
      </c>
      <c r="BG855" t="s">
        <v>74</v>
      </c>
      <c r="BH855" t="s">
        <v>74</v>
      </c>
      <c r="BI855">
        <v>15</v>
      </c>
      <c r="BJ855" t="s">
        <v>1286</v>
      </c>
      <c r="BK855" t="s">
        <v>156</v>
      </c>
      <c r="BL855" t="s">
        <v>825</v>
      </c>
      <c r="BM855" t="s">
        <v>16184</v>
      </c>
      <c r="BN855" t="s">
        <v>74</v>
      </c>
      <c r="BO855" t="s">
        <v>16185</v>
      </c>
      <c r="BP855" t="s">
        <v>74</v>
      </c>
      <c r="BQ855" t="s">
        <v>74</v>
      </c>
      <c r="BR855" t="s">
        <v>105</v>
      </c>
      <c r="BS855" t="s">
        <v>16186</v>
      </c>
      <c r="BT855" t="str">
        <f>HYPERLINK("https%3A%2F%2Fwww.webofscience.com%2Fwos%2Fwoscc%2Ffull-record%2FWOS:000379810700001","View Full Record in Web of Science")</f>
        <v>View Full Record in Web of Science</v>
      </c>
    </row>
    <row r="856" spans="1:72" x14ac:dyDescent="0.15">
      <c r="A856" t="s">
        <v>72</v>
      </c>
      <c r="B856" t="s">
        <v>16187</v>
      </c>
      <c r="C856" t="s">
        <v>74</v>
      </c>
      <c r="D856" t="s">
        <v>74</v>
      </c>
      <c r="E856" t="s">
        <v>74</v>
      </c>
      <c r="F856" t="s">
        <v>16188</v>
      </c>
      <c r="G856" t="s">
        <v>74</v>
      </c>
      <c r="H856" t="s">
        <v>74</v>
      </c>
      <c r="I856" t="s">
        <v>16189</v>
      </c>
      <c r="J856" t="s">
        <v>1088</v>
      </c>
      <c r="K856" t="s">
        <v>74</v>
      </c>
      <c r="L856" t="s">
        <v>74</v>
      </c>
      <c r="M856" t="s">
        <v>78</v>
      </c>
      <c r="N856" t="s">
        <v>79</v>
      </c>
      <c r="O856" t="s">
        <v>74</v>
      </c>
      <c r="P856" t="s">
        <v>74</v>
      </c>
      <c r="Q856" t="s">
        <v>74</v>
      </c>
      <c r="R856" t="s">
        <v>74</v>
      </c>
      <c r="S856" t="s">
        <v>74</v>
      </c>
      <c r="T856" t="s">
        <v>74</v>
      </c>
      <c r="U856" t="s">
        <v>16190</v>
      </c>
      <c r="V856" t="s">
        <v>16191</v>
      </c>
      <c r="W856" t="s">
        <v>16192</v>
      </c>
      <c r="X856" t="s">
        <v>16193</v>
      </c>
      <c r="Y856" t="s">
        <v>16194</v>
      </c>
      <c r="Z856" t="s">
        <v>16195</v>
      </c>
      <c r="AA856" t="s">
        <v>16196</v>
      </c>
      <c r="AB856" t="s">
        <v>16197</v>
      </c>
      <c r="AC856" t="s">
        <v>16198</v>
      </c>
      <c r="AD856" t="s">
        <v>16199</v>
      </c>
      <c r="AE856" t="s">
        <v>16200</v>
      </c>
      <c r="AF856" t="s">
        <v>74</v>
      </c>
      <c r="AG856">
        <v>39</v>
      </c>
      <c r="AH856">
        <v>23</v>
      </c>
      <c r="AI856">
        <v>24</v>
      </c>
      <c r="AJ856">
        <v>0</v>
      </c>
      <c r="AK856">
        <v>8</v>
      </c>
      <c r="AL856" t="s">
        <v>149</v>
      </c>
      <c r="AM856" t="s">
        <v>123</v>
      </c>
      <c r="AN856" t="s">
        <v>150</v>
      </c>
      <c r="AO856" t="s">
        <v>1100</v>
      </c>
      <c r="AP856" t="s">
        <v>1101</v>
      </c>
      <c r="AQ856" t="s">
        <v>74</v>
      </c>
      <c r="AR856" t="s">
        <v>1102</v>
      </c>
      <c r="AS856" t="s">
        <v>1103</v>
      </c>
      <c r="AT856" t="s">
        <v>16168</v>
      </c>
      <c r="AU856">
        <v>2016</v>
      </c>
      <c r="AV856">
        <v>43</v>
      </c>
      <c r="AW856">
        <v>12</v>
      </c>
      <c r="AX856" t="s">
        <v>74</v>
      </c>
      <c r="AY856" t="s">
        <v>74</v>
      </c>
      <c r="AZ856" t="s">
        <v>74</v>
      </c>
      <c r="BA856" t="s">
        <v>74</v>
      </c>
      <c r="BB856">
        <v>6162</v>
      </c>
      <c r="BC856">
        <v>6169</v>
      </c>
      <c r="BD856" t="s">
        <v>74</v>
      </c>
      <c r="BE856" t="s">
        <v>16201</v>
      </c>
      <c r="BF856" t="str">
        <f>HYPERLINK("http://dx.doi.org/10.1002/2016GL069087","http://dx.doi.org/10.1002/2016GL069087")</f>
        <v>http://dx.doi.org/10.1002/2016GL069087</v>
      </c>
      <c r="BG856" t="s">
        <v>74</v>
      </c>
      <c r="BH856" t="s">
        <v>74</v>
      </c>
      <c r="BI856">
        <v>8</v>
      </c>
      <c r="BJ856" t="s">
        <v>352</v>
      </c>
      <c r="BK856" t="s">
        <v>156</v>
      </c>
      <c r="BL856" t="s">
        <v>177</v>
      </c>
      <c r="BM856" t="s">
        <v>16170</v>
      </c>
      <c r="BN856" t="s">
        <v>74</v>
      </c>
      <c r="BO856" t="s">
        <v>534</v>
      </c>
      <c r="BP856" t="s">
        <v>74</v>
      </c>
      <c r="BQ856" t="s">
        <v>74</v>
      </c>
      <c r="BR856" t="s">
        <v>105</v>
      </c>
      <c r="BS856" t="s">
        <v>16202</v>
      </c>
      <c r="BT856" t="str">
        <f>HYPERLINK("https%3A%2F%2Fwww.webofscience.com%2Fwos%2Fwoscc%2Ffull-record%2FWOS:000380910100031","View Full Record in Web of Science")</f>
        <v>View Full Record in Web of Science</v>
      </c>
    </row>
    <row r="857" spans="1:72" x14ac:dyDescent="0.15">
      <c r="A857" t="s">
        <v>72</v>
      </c>
      <c r="B857" t="s">
        <v>16203</v>
      </c>
      <c r="C857" t="s">
        <v>74</v>
      </c>
      <c r="D857" t="s">
        <v>74</v>
      </c>
      <c r="E857" t="s">
        <v>74</v>
      </c>
      <c r="F857" t="s">
        <v>16204</v>
      </c>
      <c r="G857" t="s">
        <v>74</v>
      </c>
      <c r="H857" t="s">
        <v>74</v>
      </c>
      <c r="I857" t="s">
        <v>16205</v>
      </c>
      <c r="J857" t="s">
        <v>16206</v>
      </c>
      <c r="K857" t="s">
        <v>74</v>
      </c>
      <c r="L857" t="s">
        <v>74</v>
      </c>
      <c r="M857" t="s">
        <v>78</v>
      </c>
      <c r="N857" t="s">
        <v>2730</v>
      </c>
      <c r="O857" t="s">
        <v>16207</v>
      </c>
      <c r="P857" t="s">
        <v>16208</v>
      </c>
      <c r="Q857" t="s">
        <v>16209</v>
      </c>
      <c r="R857" t="s">
        <v>74</v>
      </c>
      <c r="S857" t="s">
        <v>74</v>
      </c>
      <c r="T857" t="s">
        <v>16210</v>
      </c>
      <c r="U857" t="s">
        <v>16211</v>
      </c>
      <c r="V857" t="s">
        <v>16212</v>
      </c>
      <c r="W857" t="s">
        <v>16213</v>
      </c>
      <c r="X857" t="s">
        <v>16214</v>
      </c>
      <c r="Y857" t="s">
        <v>16215</v>
      </c>
      <c r="Z857" t="s">
        <v>16216</v>
      </c>
      <c r="AA857" t="s">
        <v>16217</v>
      </c>
      <c r="AB857" t="s">
        <v>16218</v>
      </c>
      <c r="AC857" t="s">
        <v>16219</v>
      </c>
      <c r="AD857" t="s">
        <v>16220</v>
      </c>
      <c r="AE857" t="s">
        <v>16221</v>
      </c>
      <c r="AF857" t="s">
        <v>74</v>
      </c>
      <c r="AG857">
        <v>56</v>
      </c>
      <c r="AH857">
        <v>29</v>
      </c>
      <c r="AI857">
        <v>30</v>
      </c>
      <c r="AJ857">
        <v>2</v>
      </c>
      <c r="AK857">
        <v>22</v>
      </c>
      <c r="AL857" t="s">
        <v>303</v>
      </c>
      <c r="AM857" t="s">
        <v>304</v>
      </c>
      <c r="AN857" t="s">
        <v>305</v>
      </c>
      <c r="AO857" t="s">
        <v>16222</v>
      </c>
      <c r="AP857" t="s">
        <v>16223</v>
      </c>
      <c r="AQ857" t="s">
        <v>74</v>
      </c>
      <c r="AR857" t="s">
        <v>16224</v>
      </c>
      <c r="AS857" t="s">
        <v>16225</v>
      </c>
      <c r="AT857" t="s">
        <v>16226</v>
      </c>
      <c r="AU857">
        <v>2016</v>
      </c>
      <c r="AV857">
        <v>406</v>
      </c>
      <c r="AW857" t="s">
        <v>74</v>
      </c>
      <c r="AX857" t="s">
        <v>13527</v>
      </c>
      <c r="AY857" t="s">
        <v>74</v>
      </c>
      <c r="AZ857" t="s">
        <v>74</v>
      </c>
      <c r="BA857" t="s">
        <v>74</v>
      </c>
      <c r="BB857">
        <v>202</v>
      </c>
      <c r="BC857">
        <v>217</v>
      </c>
      <c r="BD857" t="s">
        <v>74</v>
      </c>
      <c r="BE857" t="s">
        <v>16227</v>
      </c>
      <c r="BF857" t="str">
        <f>HYPERLINK("http://dx.doi.org/10.1016/j.quaint.2015.12.039","http://dx.doi.org/10.1016/j.quaint.2015.12.039")</f>
        <v>http://dx.doi.org/10.1016/j.quaint.2015.12.039</v>
      </c>
      <c r="BG857" t="s">
        <v>74</v>
      </c>
      <c r="BH857" t="s">
        <v>74</v>
      </c>
      <c r="BI857">
        <v>16</v>
      </c>
      <c r="BJ857" t="s">
        <v>203</v>
      </c>
      <c r="BK857" t="s">
        <v>7543</v>
      </c>
      <c r="BL857" t="s">
        <v>204</v>
      </c>
      <c r="BM857" t="s">
        <v>16228</v>
      </c>
      <c r="BN857" t="s">
        <v>74</v>
      </c>
      <c r="BO857" t="s">
        <v>74</v>
      </c>
      <c r="BP857" t="s">
        <v>74</v>
      </c>
      <c r="BQ857" t="s">
        <v>74</v>
      </c>
      <c r="BR857" t="s">
        <v>105</v>
      </c>
      <c r="BS857" t="s">
        <v>16229</v>
      </c>
      <c r="BT857" t="str">
        <f>HYPERLINK("https%3A%2F%2Fwww.webofscience.com%2Fwos%2Fwoscc%2Ffull-record%2FWOS:000376532400016","View Full Record in Web of Science")</f>
        <v>View Full Record in Web of Science</v>
      </c>
    </row>
    <row r="858" spans="1:72" x14ac:dyDescent="0.15">
      <c r="A858" t="s">
        <v>72</v>
      </c>
      <c r="B858" t="s">
        <v>16230</v>
      </c>
      <c r="C858" t="s">
        <v>74</v>
      </c>
      <c r="D858" t="s">
        <v>74</v>
      </c>
      <c r="E858" t="s">
        <v>74</v>
      </c>
      <c r="F858" t="s">
        <v>16231</v>
      </c>
      <c r="G858" t="s">
        <v>74</v>
      </c>
      <c r="H858" t="s">
        <v>74</v>
      </c>
      <c r="I858" t="s">
        <v>16232</v>
      </c>
      <c r="J858" t="s">
        <v>4556</v>
      </c>
      <c r="K858" t="s">
        <v>74</v>
      </c>
      <c r="L858" t="s">
        <v>74</v>
      </c>
      <c r="M858" t="s">
        <v>78</v>
      </c>
      <c r="N858" t="s">
        <v>79</v>
      </c>
      <c r="O858" t="s">
        <v>74</v>
      </c>
      <c r="P858" t="s">
        <v>74</v>
      </c>
      <c r="Q858" t="s">
        <v>74</v>
      </c>
      <c r="R858" t="s">
        <v>74</v>
      </c>
      <c r="S858" t="s">
        <v>74</v>
      </c>
      <c r="T858" t="s">
        <v>16233</v>
      </c>
      <c r="U858" t="s">
        <v>16234</v>
      </c>
      <c r="V858" t="s">
        <v>16235</v>
      </c>
      <c r="W858" t="s">
        <v>16236</v>
      </c>
      <c r="X858" t="s">
        <v>3254</v>
      </c>
      <c r="Y858" t="s">
        <v>16237</v>
      </c>
      <c r="Z858" t="s">
        <v>16238</v>
      </c>
      <c r="AA858" t="s">
        <v>16239</v>
      </c>
      <c r="AB858" t="s">
        <v>16240</v>
      </c>
      <c r="AC858" t="s">
        <v>74</v>
      </c>
      <c r="AD858" t="s">
        <v>74</v>
      </c>
      <c r="AE858" t="s">
        <v>74</v>
      </c>
      <c r="AF858" t="s">
        <v>74</v>
      </c>
      <c r="AG858">
        <v>53</v>
      </c>
      <c r="AH858">
        <v>23</v>
      </c>
      <c r="AI858">
        <v>25</v>
      </c>
      <c r="AJ858">
        <v>3</v>
      </c>
      <c r="AK858">
        <v>39</v>
      </c>
      <c r="AL858" t="s">
        <v>4569</v>
      </c>
      <c r="AM858" t="s">
        <v>4570</v>
      </c>
      <c r="AN858" t="s">
        <v>4571</v>
      </c>
      <c r="AO858" t="s">
        <v>4572</v>
      </c>
      <c r="AP858" t="s">
        <v>4573</v>
      </c>
      <c r="AQ858" t="s">
        <v>74</v>
      </c>
      <c r="AR858" t="s">
        <v>4574</v>
      </c>
      <c r="AS858" t="s">
        <v>4575</v>
      </c>
      <c r="AT858" t="s">
        <v>16241</v>
      </c>
      <c r="AU858">
        <v>2016</v>
      </c>
      <c r="AV858">
        <v>552</v>
      </c>
      <c r="AW858" t="s">
        <v>74</v>
      </c>
      <c r="AX858" t="s">
        <v>74</v>
      </c>
      <c r="AY858" t="s">
        <v>74</v>
      </c>
      <c r="AZ858" t="s">
        <v>74</v>
      </c>
      <c r="BA858" t="s">
        <v>74</v>
      </c>
      <c r="BB858">
        <v>131</v>
      </c>
      <c r="BC858">
        <v>143</v>
      </c>
      <c r="BD858" t="s">
        <v>74</v>
      </c>
      <c r="BE858" t="s">
        <v>16242</v>
      </c>
      <c r="BF858" t="str">
        <f>HYPERLINK("http://dx.doi.org/10.3354/meps11743","http://dx.doi.org/10.3354/meps11743")</f>
        <v>http://dx.doi.org/10.3354/meps11743</v>
      </c>
      <c r="BG858" t="s">
        <v>74</v>
      </c>
      <c r="BH858" t="s">
        <v>74</v>
      </c>
      <c r="BI858">
        <v>13</v>
      </c>
      <c r="BJ858" t="s">
        <v>4578</v>
      </c>
      <c r="BK858" t="s">
        <v>156</v>
      </c>
      <c r="BL858" t="s">
        <v>4579</v>
      </c>
      <c r="BM858" t="s">
        <v>16243</v>
      </c>
      <c r="BN858" t="s">
        <v>74</v>
      </c>
      <c r="BO858" t="s">
        <v>2822</v>
      </c>
      <c r="BP858" t="s">
        <v>74</v>
      </c>
      <c r="BQ858" t="s">
        <v>74</v>
      </c>
      <c r="BR858" t="s">
        <v>105</v>
      </c>
      <c r="BS858" t="s">
        <v>16244</v>
      </c>
      <c r="BT858" t="str">
        <f>HYPERLINK("https%3A%2F%2Fwww.webofscience.com%2Fwos%2Fwoscc%2Ffull-record%2FWOS:000379812200010","View Full Record in Web of Science")</f>
        <v>View Full Record in Web of Science</v>
      </c>
    </row>
    <row r="859" spans="1:72" x14ac:dyDescent="0.15">
      <c r="A859" t="s">
        <v>72</v>
      </c>
      <c r="B859" t="s">
        <v>16245</v>
      </c>
      <c r="C859" t="s">
        <v>74</v>
      </c>
      <c r="D859" t="s">
        <v>74</v>
      </c>
      <c r="E859" t="s">
        <v>74</v>
      </c>
      <c r="F859" t="s">
        <v>16246</v>
      </c>
      <c r="G859" t="s">
        <v>74</v>
      </c>
      <c r="H859" t="s">
        <v>74</v>
      </c>
      <c r="I859" t="s">
        <v>16247</v>
      </c>
      <c r="J859" t="s">
        <v>16248</v>
      </c>
      <c r="K859" t="s">
        <v>74</v>
      </c>
      <c r="L859" t="s">
        <v>74</v>
      </c>
      <c r="M859" t="s">
        <v>78</v>
      </c>
      <c r="N859" t="s">
        <v>79</v>
      </c>
      <c r="O859" t="s">
        <v>74</v>
      </c>
      <c r="P859" t="s">
        <v>74</v>
      </c>
      <c r="Q859" t="s">
        <v>74</v>
      </c>
      <c r="R859" t="s">
        <v>74</v>
      </c>
      <c r="S859" t="s">
        <v>74</v>
      </c>
      <c r="T859" t="s">
        <v>16249</v>
      </c>
      <c r="U859" t="s">
        <v>16250</v>
      </c>
      <c r="V859" t="s">
        <v>16251</v>
      </c>
      <c r="W859" t="s">
        <v>16252</v>
      </c>
      <c r="X859" t="s">
        <v>16253</v>
      </c>
      <c r="Y859" t="s">
        <v>16254</v>
      </c>
      <c r="Z859" t="s">
        <v>16255</v>
      </c>
      <c r="AA859" t="s">
        <v>16256</v>
      </c>
      <c r="AB859" t="s">
        <v>16257</v>
      </c>
      <c r="AC859" t="s">
        <v>16258</v>
      </c>
      <c r="AD859" t="s">
        <v>16258</v>
      </c>
      <c r="AE859" t="s">
        <v>16259</v>
      </c>
      <c r="AF859" t="s">
        <v>74</v>
      </c>
      <c r="AG859">
        <v>86</v>
      </c>
      <c r="AH859">
        <v>12</v>
      </c>
      <c r="AI859">
        <v>15</v>
      </c>
      <c r="AJ859">
        <v>0</v>
      </c>
      <c r="AK859">
        <v>12</v>
      </c>
      <c r="AL859" t="s">
        <v>12945</v>
      </c>
      <c r="AM859" t="s">
        <v>7471</v>
      </c>
      <c r="AN859" t="s">
        <v>7472</v>
      </c>
      <c r="AO859" t="s">
        <v>16260</v>
      </c>
      <c r="AP859" t="s">
        <v>74</v>
      </c>
      <c r="AQ859" t="s">
        <v>74</v>
      </c>
      <c r="AR859" t="s">
        <v>16248</v>
      </c>
      <c r="AS859" t="s">
        <v>16261</v>
      </c>
      <c r="AT859" t="s">
        <v>16241</v>
      </c>
      <c r="AU859">
        <v>2016</v>
      </c>
      <c r="AV859">
        <v>5</v>
      </c>
      <c r="AW859" t="s">
        <v>74</v>
      </c>
      <c r="AX859" t="s">
        <v>74</v>
      </c>
      <c r="AY859" t="s">
        <v>74</v>
      </c>
      <c r="AZ859" t="s">
        <v>74</v>
      </c>
      <c r="BA859" t="s">
        <v>74</v>
      </c>
      <c r="BB859" t="s">
        <v>74</v>
      </c>
      <c r="BC859" t="s">
        <v>74</v>
      </c>
      <c r="BD859">
        <v>844</v>
      </c>
      <c r="BE859" t="s">
        <v>16262</v>
      </c>
      <c r="BF859" t="str">
        <f>HYPERLINK("http://dx.doi.org/10.1186/s40064-016-2497-6","http://dx.doi.org/10.1186/s40064-016-2497-6")</f>
        <v>http://dx.doi.org/10.1186/s40064-016-2497-6</v>
      </c>
      <c r="BG859" t="s">
        <v>74</v>
      </c>
      <c r="BH859" t="s">
        <v>74</v>
      </c>
      <c r="BI859">
        <v>18</v>
      </c>
      <c r="BJ859" t="s">
        <v>719</v>
      </c>
      <c r="BK859" t="s">
        <v>156</v>
      </c>
      <c r="BL859" t="s">
        <v>720</v>
      </c>
      <c r="BM859" t="s">
        <v>16263</v>
      </c>
      <c r="BN859">
        <v>27386293</v>
      </c>
      <c r="BO859" t="s">
        <v>133</v>
      </c>
      <c r="BP859" t="s">
        <v>74</v>
      </c>
      <c r="BQ859" t="s">
        <v>74</v>
      </c>
      <c r="BR859" t="s">
        <v>105</v>
      </c>
      <c r="BS859" t="s">
        <v>16264</v>
      </c>
      <c r="BT859" t="str">
        <f>HYPERLINK("https%3A%2F%2Fwww.webofscience.com%2Fwos%2Fwoscc%2Ffull-record%2FWOS:000378475700004","View Full Record in Web of Science")</f>
        <v>View Full Record in Web of Science</v>
      </c>
    </row>
    <row r="860" spans="1:72" x14ac:dyDescent="0.15">
      <c r="A860" t="s">
        <v>72</v>
      </c>
      <c r="B860" t="s">
        <v>16265</v>
      </c>
      <c r="C860" t="s">
        <v>74</v>
      </c>
      <c r="D860" t="s">
        <v>74</v>
      </c>
      <c r="E860" t="s">
        <v>74</v>
      </c>
      <c r="F860" t="s">
        <v>16266</v>
      </c>
      <c r="G860" t="s">
        <v>74</v>
      </c>
      <c r="H860" t="s">
        <v>74</v>
      </c>
      <c r="I860" t="s">
        <v>16267</v>
      </c>
      <c r="J860" t="s">
        <v>4778</v>
      </c>
      <c r="K860" t="s">
        <v>74</v>
      </c>
      <c r="L860" t="s">
        <v>74</v>
      </c>
      <c r="M860" t="s">
        <v>78</v>
      </c>
      <c r="N860" t="s">
        <v>1715</v>
      </c>
      <c r="O860" t="s">
        <v>74</v>
      </c>
      <c r="P860" t="s">
        <v>74</v>
      </c>
      <c r="Q860" t="s">
        <v>74</v>
      </c>
      <c r="R860" t="s">
        <v>74</v>
      </c>
      <c r="S860" t="s">
        <v>74</v>
      </c>
      <c r="T860" t="s">
        <v>74</v>
      </c>
      <c r="U860" t="s">
        <v>74</v>
      </c>
      <c r="V860" t="s">
        <v>74</v>
      </c>
      <c r="W860" t="s">
        <v>74</v>
      </c>
      <c r="X860" t="s">
        <v>74</v>
      </c>
      <c r="Y860" t="s">
        <v>74</v>
      </c>
      <c r="Z860" t="s">
        <v>74</v>
      </c>
      <c r="AA860" t="s">
        <v>74</v>
      </c>
      <c r="AB860" t="s">
        <v>74</v>
      </c>
      <c r="AC860" t="s">
        <v>74</v>
      </c>
      <c r="AD860" t="s">
        <v>74</v>
      </c>
      <c r="AE860" t="s">
        <v>74</v>
      </c>
      <c r="AF860" t="s">
        <v>74</v>
      </c>
      <c r="AG860">
        <v>0</v>
      </c>
      <c r="AH860">
        <v>1</v>
      </c>
      <c r="AI860">
        <v>1</v>
      </c>
      <c r="AJ860">
        <v>0</v>
      </c>
      <c r="AK860">
        <v>1</v>
      </c>
      <c r="AL860" t="s">
        <v>275</v>
      </c>
      <c r="AM860" t="s">
        <v>250</v>
      </c>
      <c r="AN860" t="s">
        <v>276</v>
      </c>
      <c r="AO860" t="s">
        <v>4790</v>
      </c>
      <c r="AP860" t="s">
        <v>4791</v>
      </c>
      <c r="AQ860" t="s">
        <v>74</v>
      </c>
      <c r="AR860" t="s">
        <v>4778</v>
      </c>
      <c r="AS860" t="s">
        <v>4792</v>
      </c>
      <c r="AT860" t="s">
        <v>16241</v>
      </c>
      <c r="AU860">
        <v>2016</v>
      </c>
      <c r="AV860">
        <v>534</v>
      </c>
      <c r="AW860">
        <v>7608</v>
      </c>
      <c r="AX860" t="s">
        <v>74</v>
      </c>
      <c r="AY860" t="s">
        <v>74</v>
      </c>
      <c r="AZ860" t="s">
        <v>74</v>
      </c>
      <c r="BA860" t="s">
        <v>74</v>
      </c>
      <c r="BB860">
        <v>448</v>
      </c>
      <c r="BC860">
        <v>448</v>
      </c>
      <c r="BD860" t="s">
        <v>74</v>
      </c>
      <c r="BE860" t="s">
        <v>16268</v>
      </c>
      <c r="BF860" t="str">
        <f>HYPERLINK("http://dx.doi.org/10.1038/nature.2016.20096","http://dx.doi.org/10.1038/nature.2016.20096")</f>
        <v>http://dx.doi.org/10.1038/nature.2016.20096</v>
      </c>
      <c r="BG860" t="s">
        <v>74</v>
      </c>
      <c r="BH860" t="s">
        <v>74</v>
      </c>
      <c r="BI860">
        <v>1</v>
      </c>
      <c r="BJ860" t="s">
        <v>719</v>
      </c>
      <c r="BK860" t="s">
        <v>156</v>
      </c>
      <c r="BL860" t="s">
        <v>720</v>
      </c>
      <c r="BM860" t="s">
        <v>16269</v>
      </c>
      <c r="BN860">
        <v>27337321</v>
      </c>
      <c r="BO860" t="s">
        <v>74</v>
      </c>
      <c r="BP860" t="s">
        <v>74</v>
      </c>
      <c r="BQ860" t="s">
        <v>74</v>
      </c>
      <c r="BR860" t="s">
        <v>105</v>
      </c>
      <c r="BS860" t="s">
        <v>16270</v>
      </c>
      <c r="BT860" t="str">
        <f>HYPERLINK("https%3A%2F%2Fwww.webofscience.com%2Fwos%2Fwoscc%2Ffull-record%2FWOS:000378270300010","View Full Record in Web of Science")</f>
        <v>View Full Record in Web of Science</v>
      </c>
    </row>
    <row r="861" spans="1:72" x14ac:dyDescent="0.15">
      <c r="A861" t="s">
        <v>72</v>
      </c>
      <c r="B861" t="s">
        <v>16271</v>
      </c>
      <c r="C861" t="s">
        <v>74</v>
      </c>
      <c r="D861" t="s">
        <v>74</v>
      </c>
      <c r="E861" t="s">
        <v>74</v>
      </c>
      <c r="F861" t="s">
        <v>16272</v>
      </c>
      <c r="G861" t="s">
        <v>74</v>
      </c>
      <c r="H861" t="s">
        <v>74</v>
      </c>
      <c r="I861" t="s">
        <v>16273</v>
      </c>
      <c r="J861" t="s">
        <v>4556</v>
      </c>
      <c r="K861" t="s">
        <v>74</v>
      </c>
      <c r="L861" t="s">
        <v>74</v>
      </c>
      <c r="M861" t="s">
        <v>78</v>
      </c>
      <c r="N861" t="s">
        <v>79</v>
      </c>
      <c r="O861" t="s">
        <v>74</v>
      </c>
      <c r="P861" t="s">
        <v>74</v>
      </c>
      <c r="Q861" t="s">
        <v>74</v>
      </c>
      <c r="R861" t="s">
        <v>74</v>
      </c>
      <c r="S861" t="s">
        <v>74</v>
      </c>
      <c r="T861" t="s">
        <v>16274</v>
      </c>
      <c r="U861" t="s">
        <v>16275</v>
      </c>
      <c r="V861" t="s">
        <v>16276</v>
      </c>
      <c r="W861" t="s">
        <v>16277</v>
      </c>
      <c r="X861" t="s">
        <v>16278</v>
      </c>
      <c r="Y861" t="s">
        <v>16279</v>
      </c>
      <c r="Z861" t="s">
        <v>16280</v>
      </c>
      <c r="AA861" t="s">
        <v>16281</v>
      </c>
      <c r="AB861" t="s">
        <v>16282</v>
      </c>
      <c r="AC861" t="s">
        <v>16283</v>
      </c>
      <c r="AD861" t="s">
        <v>16284</v>
      </c>
      <c r="AE861" t="s">
        <v>16285</v>
      </c>
      <c r="AF861" t="s">
        <v>74</v>
      </c>
      <c r="AG861">
        <v>112</v>
      </c>
      <c r="AH861">
        <v>34</v>
      </c>
      <c r="AI861">
        <v>35</v>
      </c>
      <c r="AJ861">
        <v>5</v>
      </c>
      <c r="AK861">
        <v>99</v>
      </c>
      <c r="AL861" t="s">
        <v>4569</v>
      </c>
      <c r="AM861" t="s">
        <v>4570</v>
      </c>
      <c r="AN861" t="s">
        <v>4571</v>
      </c>
      <c r="AO861" t="s">
        <v>4572</v>
      </c>
      <c r="AP861" t="s">
        <v>4573</v>
      </c>
      <c r="AQ861" t="s">
        <v>74</v>
      </c>
      <c r="AR861" t="s">
        <v>4574</v>
      </c>
      <c r="AS861" t="s">
        <v>4575</v>
      </c>
      <c r="AT861" t="s">
        <v>16241</v>
      </c>
      <c r="AU861">
        <v>2016</v>
      </c>
      <c r="AV861">
        <v>552</v>
      </c>
      <c r="AW861" t="s">
        <v>74</v>
      </c>
      <c r="AX861" t="s">
        <v>74</v>
      </c>
      <c r="AY861" t="s">
        <v>74</v>
      </c>
      <c r="AZ861" t="s">
        <v>74</v>
      </c>
      <c r="BA861" t="s">
        <v>74</v>
      </c>
      <c r="BB861">
        <v>93</v>
      </c>
      <c r="BC861">
        <v>113</v>
      </c>
      <c r="BD861" t="s">
        <v>74</v>
      </c>
      <c r="BE861" t="s">
        <v>16286</v>
      </c>
      <c r="BF861" t="str">
        <f>HYPERLINK("http://dx.doi.org/10.3354/meps11742","http://dx.doi.org/10.3354/meps11742")</f>
        <v>http://dx.doi.org/10.3354/meps11742</v>
      </c>
      <c r="BG861" t="s">
        <v>74</v>
      </c>
      <c r="BH861" t="s">
        <v>74</v>
      </c>
      <c r="BI861">
        <v>21</v>
      </c>
      <c r="BJ861" t="s">
        <v>4578</v>
      </c>
      <c r="BK861" t="s">
        <v>156</v>
      </c>
      <c r="BL861" t="s">
        <v>4579</v>
      </c>
      <c r="BM861" t="s">
        <v>16243</v>
      </c>
      <c r="BN861" t="s">
        <v>74</v>
      </c>
      <c r="BO861" t="s">
        <v>74</v>
      </c>
      <c r="BP861" t="s">
        <v>74</v>
      </c>
      <c r="BQ861" t="s">
        <v>74</v>
      </c>
      <c r="BR861" t="s">
        <v>105</v>
      </c>
      <c r="BS861" t="s">
        <v>16287</v>
      </c>
      <c r="BT861" t="str">
        <f>HYPERLINK("https%3A%2F%2Fwww.webofscience.com%2Fwos%2Fwoscc%2Ffull-record%2FWOS:000379812200008","View Full Record in Web of Science")</f>
        <v>View Full Record in Web of Science</v>
      </c>
    </row>
    <row r="862" spans="1:72" x14ac:dyDescent="0.15">
      <c r="A862" t="s">
        <v>72</v>
      </c>
      <c r="B862" t="s">
        <v>16288</v>
      </c>
      <c r="C862" t="s">
        <v>74</v>
      </c>
      <c r="D862" t="s">
        <v>74</v>
      </c>
      <c r="E862" t="s">
        <v>74</v>
      </c>
      <c r="F862" t="s">
        <v>16289</v>
      </c>
      <c r="G862" t="s">
        <v>74</v>
      </c>
      <c r="H862" t="s">
        <v>74</v>
      </c>
      <c r="I862" t="s">
        <v>16290</v>
      </c>
      <c r="J862" t="s">
        <v>4556</v>
      </c>
      <c r="K862" t="s">
        <v>74</v>
      </c>
      <c r="L862" t="s">
        <v>74</v>
      </c>
      <c r="M862" t="s">
        <v>78</v>
      </c>
      <c r="N862" t="s">
        <v>79</v>
      </c>
      <c r="O862" t="s">
        <v>74</v>
      </c>
      <c r="P862" t="s">
        <v>74</v>
      </c>
      <c r="Q862" t="s">
        <v>74</v>
      </c>
      <c r="R862" t="s">
        <v>74</v>
      </c>
      <c r="S862" t="s">
        <v>74</v>
      </c>
      <c r="T862" t="s">
        <v>16291</v>
      </c>
      <c r="U862" t="s">
        <v>16292</v>
      </c>
      <c r="V862" t="s">
        <v>16293</v>
      </c>
      <c r="W862" t="s">
        <v>16294</v>
      </c>
      <c r="X862" t="s">
        <v>16295</v>
      </c>
      <c r="Y862" t="s">
        <v>16296</v>
      </c>
      <c r="Z862" t="s">
        <v>16297</v>
      </c>
      <c r="AA862" t="s">
        <v>74</v>
      </c>
      <c r="AB862" t="s">
        <v>74</v>
      </c>
      <c r="AC862" t="s">
        <v>16298</v>
      </c>
      <c r="AD862" t="s">
        <v>16299</v>
      </c>
      <c r="AE862" t="s">
        <v>16300</v>
      </c>
      <c r="AF862" t="s">
        <v>74</v>
      </c>
      <c r="AG862">
        <v>70</v>
      </c>
      <c r="AH862">
        <v>25</v>
      </c>
      <c r="AI862">
        <v>33</v>
      </c>
      <c r="AJ862">
        <v>3</v>
      </c>
      <c r="AK862">
        <v>56</v>
      </c>
      <c r="AL862" t="s">
        <v>4569</v>
      </c>
      <c r="AM862" t="s">
        <v>4570</v>
      </c>
      <c r="AN862" t="s">
        <v>4571</v>
      </c>
      <c r="AO862" t="s">
        <v>4572</v>
      </c>
      <c r="AP862" t="s">
        <v>4573</v>
      </c>
      <c r="AQ862" t="s">
        <v>74</v>
      </c>
      <c r="AR862" t="s">
        <v>4574</v>
      </c>
      <c r="AS862" t="s">
        <v>4575</v>
      </c>
      <c r="AT862" t="s">
        <v>16241</v>
      </c>
      <c r="AU862">
        <v>2016</v>
      </c>
      <c r="AV862">
        <v>552</v>
      </c>
      <c r="AW862" t="s">
        <v>74</v>
      </c>
      <c r="AX862" t="s">
        <v>74</v>
      </c>
      <c r="AY862" t="s">
        <v>74</v>
      </c>
      <c r="AZ862" t="s">
        <v>74</v>
      </c>
      <c r="BA862" t="s">
        <v>74</v>
      </c>
      <c r="BB862">
        <v>115</v>
      </c>
      <c r="BC862">
        <v>129</v>
      </c>
      <c r="BD862" t="s">
        <v>74</v>
      </c>
      <c r="BE862" t="s">
        <v>16301</v>
      </c>
      <c r="BF862" t="str">
        <f>HYPERLINK("http://dx.doi.org/10.3354/meps11772","http://dx.doi.org/10.3354/meps11772")</f>
        <v>http://dx.doi.org/10.3354/meps11772</v>
      </c>
      <c r="BG862" t="s">
        <v>74</v>
      </c>
      <c r="BH862" t="s">
        <v>74</v>
      </c>
      <c r="BI862">
        <v>15</v>
      </c>
      <c r="BJ862" t="s">
        <v>4578</v>
      </c>
      <c r="BK862" t="s">
        <v>156</v>
      </c>
      <c r="BL862" t="s">
        <v>4579</v>
      </c>
      <c r="BM862" t="s">
        <v>16243</v>
      </c>
      <c r="BN862" t="s">
        <v>74</v>
      </c>
      <c r="BO862" t="s">
        <v>16302</v>
      </c>
      <c r="BP862" t="s">
        <v>74</v>
      </c>
      <c r="BQ862" t="s">
        <v>74</v>
      </c>
      <c r="BR862" t="s">
        <v>105</v>
      </c>
      <c r="BS862" t="s">
        <v>16303</v>
      </c>
      <c r="BT862" t="str">
        <f>HYPERLINK("https%3A%2F%2Fwww.webofscience.com%2Fwos%2Fwoscc%2Ffull-record%2FWOS:000379812200009","View Full Record in Web of Science")</f>
        <v>View Full Record in Web of Science</v>
      </c>
    </row>
    <row r="863" spans="1:72" x14ac:dyDescent="0.15">
      <c r="A863" t="s">
        <v>72</v>
      </c>
      <c r="B863" t="s">
        <v>16304</v>
      </c>
      <c r="C863" t="s">
        <v>74</v>
      </c>
      <c r="D863" t="s">
        <v>74</v>
      </c>
      <c r="E863" t="s">
        <v>74</v>
      </c>
      <c r="F863" t="s">
        <v>16305</v>
      </c>
      <c r="G863" t="s">
        <v>74</v>
      </c>
      <c r="H863" t="s">
        <v>74</v>
      </c>
      <c r="I863" t="s">
        <v>16306</v>
      </c>
      <c r="J863" t="s">
        <v>16307</v>
      </c>
      <c r="K863" t="s">
        <v>74</v>
      </c>
      <c r="L863" t="s">
        <v>74</v>
      </c>
      <c r="M863" t="s">
        <v>78</v>
      </c>
      <c r="N863" t="s">
        <v>79</v>
      </c>
      <c r="O863" t="s">
        <v>74</v>
      </c>
      <c r="P863" t="s">
        <v>74</v>
      </c>
      <c r="Q863" t="s">
        <v>74</v>
      </c>
      <c r="R863" t="s">
        <v>74</v>
      </c>
      <c r="S863" t="s">
        <v>74</v>
      </c>
      <c r="T863" t="s">
        <v>16308</v>
      </c>
      <c r="U863" t="s">
        <v>16309</v>
      </c>
      <c r="V863" t="s">
        <v>16310</v>
      </c>
      <c r="W863" t="s">
        <v>16311</v>
      </c>
      <c r="X863" t="s">
        <v>16312</v>
      </c>
      <c r="Y863" t="s">
        <v>16313</v>
      </c>
      <c r="Z863" t="s">
        <v>16314</v>
      </c>
      <c r="AA863" t="s">
        <v>16315</v>
      </c>
      <c r="AB863" t="s">
        <v>16316</v>
      </c>
      <c r="AC863" t="s">
        <v>16317</v>
      </c>
      <c r="AD863" t="s">
        <v>16318</v>
      </c>
      <c r="AE863" t="s">
        <v>16319</v>
      </c>
      <c r="AF863" t="s">
        <v>74</v>
      </c>
      <c r="AG863">
        <v>65</v>
      </c>
      <c r="AH863">
        <v>10</v>
      </c>
      <c r="AI863">
        <v>12</v>
      </c>
      <c r="AJ863">
        <v>1</v>
      </c>
      <c r="AK863">
        <v>25</v>
      </c>
      <c r="AL863" t="s">
        <v>1255</v>
      </c>
      <c r="AM863" t="s">
        <v>1256</v>
      </c>
      <c r="AN863" t="s">
        <v>4643</v>
      </c>
      <c r="AO863" t="s">
        <v>74</v>
      </c>
      <c r="AP863" t="s">
        <v>16320</v>
      </c>
      <c r="AQ863" t="s">
        <v>74</v>
      </c>
      <c r="AR863" t="s">
        <v>16321</v>
      </c>
      <c r="AS863" t="s">
        <v>16322</v>
      </c>
      <c r="AT863" t="s">
        <v>16323</v>
      </c>
      <c r="AU863">
        <v>2016</v>
      </c>
      <c r="AV863">
        <v>7</v>
      </c>
      <c r="AW863" t="s">
        <v>74</v>
      </c>
      <c r="AX863" t="s">
        <v>74</v>
      </c>
      <c r="AY863" t="s">
        <v>74</v>
      </c>
      <c r="AZ863" t="s">
        <v>74</v>
      </c>
      <c r="BA863" t="s">
        <v>74</v>
      </c>
      <c r="BB863" t="s">
        <v>74</v>
      </c>
      <c r="BC863" t="s">
        <v>74</v>
      </c>
      <c r="BD863">
        <v>236</v>
      </c>
      <c r="BE863" t="s">
        <v>16324</v>
      </c>
      <c r="BF863" t="str">
        <f>HYPERLINK("http://dx.doi.org/10.3389/fphys.2016.00236","http://dx.doi.org/10.3389/fphys.2016.00236")</f>
        <v>http://dx.doi.org/10.3389/fphys.2016.00236</v>
      </c>
      <c r="BG863" t="s">
        <v>74</v>
      </c>
      <c r="BH863" t="s">
        <v>74</v>
      </c>
      <c r="BI863">
        <v>12</v>
      </c>
      <c r="BJ863" t="s">
        <v>2419</v>
      </c>
      <c r="BK863" t="s">
        <v>156</v>
      </c>
      <c r="BL863" t="s">
        <v>2419</v>
      </c>
      <c r="BM863" t="s">
        <v>16325</v>
      </c>
      <c r="BN863">
        <v>27445833</v>
      </c>
      <c r="BO863" t="s">
        <v>14804</v>
      </c>
      <c r="BP863" t="s">
        <v>74</v>
      </c>
      <c r="BQ863" t="s">
        <v>74</v>
      </c>
      <c r="BR863" t="s">
        <v>105</v>
      </c>
      <c r="BS863" t="s">
        <v>16326</v>
      </c>
      <c r="BT863" t="str">
        <f>HYPERLINK("https%3A%2F%2Fwww.webofscience.com%2Fwos%2Fwoscc%2Ffull-record%2FWOS:000378531200001","View Full Record in Web of Science")</f>
        <v>View Full Record in Web of Science</v>
      </c>
    </row>
    <row r="864" spans="1:72" x14ac:dyDescent="0.15">
      <c r="A864" t="s">
        <v>72</v>
      </c>
      <c r="B864" t="s">
        <v>16327</v>
      </c>
      <c r="C864" t="s">
        <v>74</v>
      </c>
      <c r="D864" t="s">
        <v>74</v>
      </c>
      <c r="E864" t="s">
        <v>74</v>
      </c>
      <c r="F864" t="s">
        <v>16328</v>
      </c>
      <c r="G864" t="s">
        <v>74</v>
      </c>
      <c r="H864" t="s">
        <v>74</v>
      </c>
      <c r="I864" t="s">
        <v>16329</v>
      </c>
      <c r="J864" t="s">
        <v>16330</v>
      </c>
      <c r="K864" t="s">
        <v>74</v>
      </c>
      <c r="L864" t="s">
        <v>74</v>
      </c>
      <c r="M864" t="s">
        <v>78</v>
      </c>
      <c r="N864" t="s">
        <v>79</v>
      </c>
      <c r="O864" t="s">
        <v>74</v>
      </c>
      <c r="P864" t="s">
        <v>74</v>
      </c>
      <c r="Q864" t="s">
        <v>74</v>
      </c>
      <c r="R864" t="s">
        <v>74</v>
      </c>
      <c r="S864" t="s">
        <v>74</v>
      </c>
      <c r="T864" t="s">
        <v>16331</v>
      </c>
      <c r="U864" t="s">
        <v>16332</v>
      </c>
      <c r="V864" t="s">
        <v>16333</v>
      </c>
      <c r="W864" t="s">
        <v>16334</v>
      </c>
      <c r="X864" t="s">
        <v>16335</v>
      </c>
      <c r="Y864" t="s">
        <v>16336</v>
      </c>
      <c r="Z864" t="s">
        <v>16337</v>
      </c>
      <c r="AA864" t="s">
        <v>16338</v>
      </c>
      <c r="AB864" t="s">
        <v>16339</v>
      </c>
      <c r="AC864" t="s">
        <v>16340</v>
      </c>
      <c r="AD864" t="s">
        <v>16341</v>
      </c>
      <c r="AE864" t="s">
        <v>16342</v>
      </c>
      <c r="AF864" t="s">
        <v>74</v>
      </c>
      <c r="AG864">
        <v>40</v>
      </c>
      <c r="AH864">
        <v>24</v>
      </c>
      <c r="AI864">
        <v>24</v>
      </c>
      <c r="AJ864">
        <v>1</v>
      </c>
      <c r="AK864">
        <v>17</v>
      </c>
      <c r="AL864" t="s">
        <v>449</v>
      </c>
      <c r="AM864" t="s">
        <v>450</v>
      </c>
      <c r="AN864" t="s">
        <v>451</v>
      </c>
      <c r="AO864" t="s">
        <v>16343</v>
      </c>
      <c r="AP864" t="s">
        <v>74</v>
      </c>
      <c r="AQ864" t="s">
        <v>74</v>
      </c>
      <c r="AR864" t="s">
        <v>16344</v>
      </c>
      <c r="AS864" t="s">
        <v>16345</v>
      </c>
      <c r="AT864" t="s">
        <v>16346</v>
      </c>
      <c r="AU864">
        <v>2016</v>
      </c>
      <c r="AV864">
        <v>68</v>
      </c>
      <c r="AW864" t="s">
        <v>74</v>
      </c>
      <c r="AX864" t="s">
        <v>74</v>
      </c>
      <c r="AY864" t="s">
        <v>74</v>
      </c>
      <c r="AZ864" t="s">
        <v>74</v>
      </c>
      <c r="BA864" t="s">
        <v>74</v>
      </c>
      <c r="BB864" t="s">
        <v>74</v>
      </c>
      <c r="BC864" t="s">
        <v>74</v>
      </c>
      <c r="BD864">
        <v>105</v>
      </c>
      <c r="BE864" t="s">
        <v>16347</v>
      </c>
      <c r="BF864" t="str">
        <f>HYPERLINK("http://dx.doi.org/10.1186/s40623-016-0476-3","http://dx.doi.org/10.1186/s40623-016-0476-3")</f>
        <v>http://dx.doi.org/10.1186/s40623-016-0476-3</v>
      </c>
      <c r="BG864" t="s">
        <v>74</v>
      </c>
      <c r="BH864" t="s">
        <v>74</v>
      </c>
      <c r="BI864">
        <v>16</v>
      </c>
      <c r="BJ864" t="s">
        <v>352</v>
      </c>
      <c r="BK864" t="s">
        <v>156</v>
      </c>
      <c r="BL864" t="s">
        <v>177</v>
      </c>
      <c r="BM864" t="s">
        <v>16348</v>
      </c>
      <c r="BN864" t="s">
        <v>74</v>
      </c>
      <c r="BO864" t="s">
        <v>133</v>
      </c>
      <c r="BP864" t="s">
        <v>74</v>
      </c>
      <c r="BQ864" t="s">
        <v>74</v>
      </c>
      <c r="BR864" t="s">
        <v>105</v>
      </c>
      <c r="BS864" t="s">
        <v>16349</v>
      </c>
      <c r="BT864" t="str">
        <f>HYPERLINK("https%3A%2F%2Fwww.webofscience.com%2Fwos%2Fwoscc%2Ffull-record%2FWOS:000379284500001","View Full Record in Web of Science")</f>
        <v>View Full Record in Web of Science</v>
      </c>
    </row>
    <row r="865" spans="1:72" x14ac:dyDescent="0.15">
      <c r="A865" t="s">
        <v>72</v>
      </c>
      <c r="B865" t="s">
        <v>16350</v>
      </c>
      <c r="C865" t="s">
        <v>74</v>
      </c>
      <c r="D865" t="s">
        <v>74</v>
      </c>
      <c r="E865" t="s">
        <v>74</v>
      </c>
      <c r="F865" t="s">
        <v>16351</v>
      </c>
      <c r="G865" t="s">
        <v>74</v>
      </c>
      <c r="H865" t="s">
        <v>74</v>
      </c>
      <c r="I865" t="s">
        <v>16352</v>
      </c>
      <c r="J865" t="s">
        <v>2163</v>
      </c>
      <c r="K865" t="s">
        <v>74</v>
      </c>
      <c r="L865" t="s">
        <v>74</v>
      </c>
      <c r="M865" t="s">
        <v>78</v>
      </c>
      <c r="N865" t="s">
        <v>79</v>
      </c>
      <c r="O865" t="s">
        <v>74</v>
      </c>
      <c r="P865" t="s">
        <v>74</v>
      </c>
      <c r="Q865" t="s">
        <v>74</v>
      </c>
      <c r="R865" t="s">
        <v>74</v>
      </c>
      <c r="S865" t="s">
        <v>74</v>
      </c>
      <c r="T865" t="s">
        <v>74</v>
      </c>
      <c r="U865" t="s">
        <v>16353</v>
      </c>
      <c r="V865" t="s">
        <v>16354</v>
      </c>
      <c r="W865" t="s">
        <v>16355</v>
      </c>
      <c r="X865" t="s">
        <v>16356</v>
      </c>
      <c r="Y865" t="s">
        <v>16357</v>
      </c>
      <c r="Z865" t="s">
        <v>16358</v>
      </c>
      <c r="AA865" t="s">
        <v>16359</v>
      </c>
      <c r="AB865" t="s">
        <v>16360</v>
      </c>
      <c r="AC865" t="s">
        <v>16361</v>
      </c>
      <c r="AD865" t="s">
        <v>16362</v>
      </c>
      <c r="AE865" t="s">
        <v>16363</v>
      </c>
      <c r="AF865" t="s">
        <v>74</v>
      </c>
      <c r="AG865">
        <v>46</v>
      </c>
      <c r="AH865">
        <v>16</v>
      </c>
      <c r="AI865">
        <v>16</v>
      </c>
      <c r="AJ865">
        <v>2</v>
      </c>
      <c r="AK865">
        <v>33</v>
      </c>
      <c r="AL865" t="s">
        <v>2175</v>
      </c>
      <c r="AM865" t="s">
        <v>123</v>
      </c>
      <c r="AN865" t="s">
        <v>2176</v>
      </c>
      <c r="AO865" t="s">
        <v>2177</v>
      </c>
      <c r="AP865" t="s">
        <v>2178</v>
      </c>
      <c r="AQ865" t="s">
        <v>74</v>
      </c>
      <c r="AR865" t="s">
        <v>2179</v>
      </c>
      <c r="AS865" t="s">
        <v>2180</v>
      </c>
      <c r="AT865" t="s">
        <v>16346</v>
      </c>
      <c r="AU865">
        <v>2016</v>
      </c>
      <c r="AV865">
        <v>50</v>
      </c>
      <c r="AW865">
        <v>12</v>
      </c>
      <c r="AX865" t="s">
        <v>74</v>
      </c>
      <c r="AY865" t="s">
        <v>74</v>
      </c>
      <c r="AZ865" t="s">
        <v>74</v>
      </c>
      <c r="BA865" t="s">
        <v>74</v>
      </c>
      <c r="BB865">
        <v>6233</v>
      </c>
      <c r="BC865">
        <v>6239</v>
      </c>
      <c r="BD865" t="s">
        <v>74</v>
      </c>
      <c r="BE865" t="s">
        <v>16364</v>
      </c>
      <c r="BF865" t="str">
        <f>HYPERLINK("http://dx.doi.org/10.1021/acs.est.5b05151","http://dx.doi.org/10.1021/acs.est.5b05151")</f>
        <v>http://dx.doi.org/10.1021/acs.est.5b05151</v>
      </c>
      <c r="BG865" t="s">
        <v>74</v>
      </c>
      <c r="BH865" t="s">
        <v>74</v>
      </c>
      <c r="BI865">
        <v>7</v>
      </c>
      <c r="BJ865" t="s">
        <v>2182</v>
      </c>
      <c r="BK865" t="s">
        <v>156</v>
      </c>
      <c r="BL865" t="s">
        <v>2183</v>
      </c>
      <c r="BM865" t="s">
        <v>16365</v>
      </c>
      <c r="BN865">
        <v>26824248</v>
      </c>
      <c r="BO865" t="s">
        <v>104</v>
      </c>
      <c r="BP865" t="s">
        <v>74</v>
      </c>
      <c r="BQ865" t="s">
        <v>74</v>
      </c>
      <c r="BR865" t="s">
        <v>105</v>
      </c>
      <c r="BS865" t="s">
        <v>16366</v>
      </c>
      <c r="BT865" t="str">
        <f>HYPERLINK("https%3A%2F%2Fwww.webofscience.com%2Fwos%2Fwoscc%2Ffull-record%2FWOS:000378469900015","View Full Record in Web of Science")</f>
        <v>View Full Record in Web of Science</v>
      </c>
    </row>
    <row r="866" spans="1:72" x14ac:dyDescent="0.15">
      <c r="A866" t="s">
        <v>72</v>
      </c>
      <c r="B866" t="s">
        <v>16367</v>
      </c>
      <c r="C866" t="s">
        <v>74</v>
      </c>
      <c r="D866" t="s">
        <v>74</v>
      </c>
      <c r="E866" t="s">
        <v>74</v>
      </c>
      <c r="F866" t="s">
        <v>16368</v>
      </c>
      <c r="G866" t="s">
        <v>74</v>
      </c>
      <c r="H866" t="s">
        <v>74</v>
      </c>
      <c r="I866" t="s">
        <v>16369</v>
      </c>
      <c r="J866" t="s">
        <v>2078</v>
      </c>
      <c r="K866" t="s">
        <v>74</v>
      </c>
      <c r="L866" t="s">
        <v>74</v>
      </c>
      <c r="M866" t="s">
        <v>78</v>
      </c>
      <c r="N866" t="s">
        <v>79</v>
      </c>
      <c r="O866" t="s">
        <v>74</v>
      </c>
      <c r="P866" t="s">
        <v>74</v>
      </c>
      <c r="Q866" t="s">
        <v>74</v>
      </c>
      <c r="R866" t="s">
        <v>74</v>
      </c>
      <c r="S866" t="s">
        <v>74</v>
      </c>
      <c r="T866" t="s">
        <v>74</v>
      </c>
      <c r="U866" t="s">
        <v>16370</v>
      </c>
      <c r="V866" t="s">
        <v>16371</v>
      </c>
      <c r="W866" t="s">
        <v>16372</v>
      </c>
      <c r="X866" t="s">
        <v>16373</v>
      </c>
      <c r="Y866" t="s">
        <v>16374</v>
      </c>
      <c r="Z866" t="s">
        <v>16375</v>
      </c>
      <c r="AA866" t="s">
        <v>16376</v>
      </c>
      <c r="AB866" t="s">
        <v>16377</v>
      </c>
      <c r="AC866" t="s">
        <v>16378</v>
      </c>
      <c r="AD866" t="s">
        <v>16379</v>
      </c>
      <c r="AE866" t="s">
        <v>16380</v>
      </c>
      <c r="AF866" t="s">
        <v>74</v>
      </c>
      <c r="AG866">
        <v>36</v>
      </c>
      <c r="AH866">
        <v>37</v>
      </c>
      <c r="AI866">
        <v>41</v>
      </c>
      <c r="AJ866">
        <v>4</v>
      </c>
      <c r="AK866">
        <v>57</v>
      </c>
      <c r="AL866" t="s">
        <v>574</v>
      </c>
      <c r="AM866" t="s">
        <v>575</v>
      </c>
      <c r="AN866" t="s">
        <v>576</v>
      </c>
      <c r="AO866" t="s">
        <v>2090</v>
      </c>
      <c r="AP866" t="s">
        <v>74</v>
      </c>
      <c r="AQ866" t="s">
        <v>74</v>
      </c>
      <c r="AR866" t="s">
        <v>2091</v>
      </c>
      <c r="AS866" t="s">
        <v>2092</v>
      </c>
      <c r="AT866" t="s">
        <v>16346</v>
      </c>
      <c r="AU866">
        <v>2016</v>
      </c>
      <c r="AV866">
        <v>6</v>
      </c>
      <c r="AW866" t="s">
        <v>74</v>
      </c>
      <c r="AX866" t="s">
        <v>74</v>
      </c>
      <c r="AY866" t="s">
        <v>74</v>
      </c>
      <c r="AZ866" t="s">
        <v>74</v>
      </c>
      <c r="BA866" t="s">
        <v>74</v>
      </c>
      <c r="BB866" t="s">
        <v>74</v>
      </c>
      <c r="BC866" t="s">
        <v>74</v>
      </c>
      <c r="BD866">
        <v>28160</v>
      </c>
      <c r="BE866" t="s">
        <v>16381</v>
      </c>
      <c r="BF866" t="str">
        <f>HYPERLINK("http://dx.doi.org/10.1038/srep28160","http://dx.doi.org/10.1038/srep28160")</f>
        <v>http://dx.doi.org/10.1038/srep28160</v>
      </c>
      <c r="BG866" t="s">
        <v>74</v>
      </c>
      <c r="BH866" t="s">
        <v>74</v>
      </c>
      <c r="BI866">
        <v>12</v>
      </c>
      <c r="BJ866" t="s">
        <v>719</v>
      </c>
      <c r="BK866" t="s">
        <v>156</v>
      </c>
      <c r="BL866" t="s">
        <v>720</v>
      </c>
      <c r="BM866" t="s">
        <v>16382</v>
      </c>
      <c r="BN866">
        <v>27324935</v>
      </c>
      <c r="BO866" t="s">
        <v>3908</v>
      </c>
      <c r="BP866" t="s">
        <v>74</v>
      </c>
      <c r="BQ866" t="s">
        <v>74</v>
      </c>
      <c r="BR866" t="s">
        <v>105</v>
      </c>
      <c r="BS866" t="s">
        <v>16383</v>
      </c>
      <c r="BT866" t="str">
        <f>HYPERLINK("https%3A%2F%2Fwww.webofscience.com%2Fwos%2Fwoscc%2Ffull-record%2FWOS:000378226100002","View Full Record in Web of Science")</f>
        <v>View Full Record in Web of Science</v>
      </c>
    </row>
    <row r="867" spans="1:72" x14ac:dyDescent="0.15">
      <c r="A867" t="s">
        <v>72</v>
      </c>
      <c r="B867" t="s">
        <v>16384</v>
      </c>
      <c r="C867" t="s">
        <v>74</v>
      </c>
      <c r="D867" t="s">
        <v>74</v>
      </c>
      <c r="E867" t="s">
        <v>74</v>
      </c>
      <c r="F867" t="s">
        <v>16385</v>
      </c>
      <c r="G867" t="s">
        <v>74</v>
      </c>
      <c r="H867" t="s">
        <v>74</v>
      </c>
      <c r="I867" t="s">
        <v>16386</v>
      </c>
      <c r="J867" t="s">
        <v>1586</v>
      </c>
      <c r="K867" t="s">
        <v>74</v>
      </c>
      <c r="L867" t="s">
        <v>74</v>
      </c>
      <c r="M867" t="s">
        <v>78</v>
      </c>
      <c r="N867" t="s">
        <v>79</v>
      </c>
      <c r="O867" t="s">
        <v>74</v>
      </c>
      <c r="P867" t="s">
        <v>74</v>
      </c>
      <c r="Q867" t="s">
        <v>74</v>
      </c>
      <c r="R867" t="s">
        <v>74</v>
      </c>
      <c r="S867" t="s">
        <v>74</v>
      </c>
      <c r="T867" t="s">
        <v>16387</v>
      </c>
      <c r="U867" t="s">
        <v>16388</v>
      </c>
      <c r="V867" t="s">
        <v>16389</v>
      </c>
      <c r="W867" t="s">
        <v>16390</v>
      </c>
      <c r="X867" t="s">
        <v>16391</v>
      </c>
      <c r="Y867" t="s">
        <v>16392</v>
      </c>
      <c r="Z867" t="s">
        <v>16393</v>
      </c>
      <c r="AA867" t="s">
        <v>16394</v>
      </c>
      <c r="AB867" t="s">
        <v>16395</v>
      </c>
      <c r="AC867" t="s">
        <v>16396</v>
      </c>
      <c r="AD867" t="s">
        <v>16397</v>
      </c>
      <c r="AE867" t="s">
        <v>16398</v>
      </c>
      <c r="AF867" t="s">
        <v>74</v>
      </c>
      <c r="AG867">
        <v>83</v>
      </c>
      <c r="AH867">
        <v>37</v>
      </c>
      <c r="AI867">
        <v>42</v>
      </c>
      <c r="AJ867">
        <v>1</v>
      </c>
      <c r="AK867">
        <v>37</v>
      </c>
      <c r="AL867" t="s">
        <v>1599</v>
      </c>
      <c r="AM867" t="s">
        <v>123</v>
      </c>
      <c r="AN867" t="s">
        <v>1600</v>
      </c>
      <c r="AO867" t="s">
        <v>1601</v>
      </c>
      <c r="AP867" t="s">
        <v>74</v>
      </c>
      <c r="AQ867" t="s">
        <v>74</v>
      </c>
      <c r="AR867" t="s">
        <v>1602</v>
      </c>
      <c r="AS867" t="s">
        <v>1603</v>
      </c>
      <c r="AT867" t="s">
        <v>16346</v>
      </c>
      <c r="AU867">
        <v>2016</v>
      </c>
      <c r="AV867">
        <v>113</v>
      </c>
      <c r="AW867">
        <v>25</v>
      </c>
      <c r="AX867" t="s">
        <v>74</v>
      </c>
      <c r="AY867" t="s">
        <v>74</v>
      </c>
      <c r="AZ867" t="s">
        <v>74</v>
      </c>
      <c r="BA867" t="s">
        <v>74</v>
      </c>
      <c r="BB867">
        <v>6868</v>
      </c>
      <c r="BC867">
        <v>6873</v>
      </c>
      <c r="BD867" t="s">
        <v>74</v>
      </c>
      <c r="BE867" t="s">
        <v>16399</v>
      </c>
      <c r="BF867" t="str">
        <f>HYPERLINK("http://dx.doi.org/10.1073/pnas.1600318113","http://dx.doi.org/10.1073/pnas.1600318113")</f>
        <v>http://dx.doi.org/10.1073/pnas.1600318113</v>
      </c>
      <c r="BG867" t="s">
        <v>74</v>
      </c>
      <c r="BH867" t="s">
        <v>74</v>
      </c>
      <c r="BI867">
        <v>6</v>
      </c>
      <c r="BJ867" t="s">
        <v>719</v>
      </c>
      <c r="BK867" t="s">
        <v>156</v>
      </c>
      <c r="BL867" t="s">
        <v>720</v>
      </c>
      <c r="BM867" t="s">
        <v>16400</v>
      </c>
      <c r="BN867">
        <v>27274061</v>
      </c>
      <c r="BO867" t="s">
        <v>1142</v>
      </c>
      <c r="BP867" t="s">
        <v>74</v>
      </c>
      <c r="BQ867" t="s">
        <v>74</v>
      </c>
      <c r="BR867" t="s">
        <v>105</v>
      </c>
      <c r="BS867" t="s">
        <v>16401</v>
      </c>
      <c r="BT867" t="str">
        <f>HYPERLINK("https%3A%2F%2Fwww.webofscience.com%2Fwos%2Fwoscc%2Ffull-record%2FWOS:000378272400035","View Full Record in Web of Science")</f>
        <v>View Full Record in Web of Science</v>
      </c>
    </row>
    <row r="868" spans="1:72" x14ac:dyDescent="0.15">
      <c r="A868" t="s">
        <v>72</v>
      </c>
      <c r="B868" t="s">
        <v>16402</v>
      </c>
      <c r="C868" t="s">
        <v>74</v>
      </c>
      <c r="D868" t="s">
        <v>74</v>
      </c>
      <c r="E868" t="s">
        <v>74</v>
      </c>
      <c r="F868" t="s">
        <v>16403</v>
      </c>
      <c r="G868" t="s">
        <v>74</v>
      </c>
      <c r="H868" t="s">
        <v>74</v>
      </c>
      <c r="I868" t="s">
        <v>16404</v>
      </c>
      <c r="J868" t="s">
        <v>9342</v>
      </c>
      <c r="K868" t="s">
        <v>74</v>
      </c>
      <c r="L868" t="s">
        <v>74</v>
      </c>
      <c r="M868" t="s">
        <v>78</v>
      </c>
      <c r="N868" t="s">
        <v>9343</v>
      </c>
      <c r="O868" t="s">
        <v>74</v>
      </c>
      <c r="P868" t="s">
        <v>74</v>
      </c>
      <c r="Q868" t="s">
        <v>74</v>
      </c>
      <c r="R868" t="s">
        <v>74</v>
      </c>
      <c r="S868" t="s">
        <v>74</v>
      </c>
      <c r="T868" t="s">
        <v>74</v>
      </c>
      <c r="U868" t="s">
        <v>16405</v>
      </c>
      <c r="V868" t="s">
        <v>16406</v>
      </c>
      <c r="W868" t="s">
        <v>16407</v>
      </c>
      <c r="X868" t="s">
        <v>16408</v>
      </c>
      <c r="Y868" t="s">
        <v>16409</v>
      </c>
      <c r="Z868" t="s">
        <v>16410</v>
      </c>
      <c r="AA868" t="s">
        <v>16411</v>
      </c>
      <c r="AB868" t="s">
        <v>16412</v>
      </c>
      <c r="AC868" t="s">
        <v>74</v>
      </c>
      <c r="AD868" t="s">
        <v>74</v>
      </c>
      <c r="AE868" t="s">
        <v>74</v>
      </c>
      <c r="AF868" t="s">
        <v>74</v>
      </c>
      <c r="AG868">
        <v>69</v>
      </c>
      <c r="AH868">
        <v>32</v>
      </c>
      <c r="AI868">
        <v>32</v>
      </c>
      <c r="AJ868">
        <v>4</v>
      </c>
      <c r="AK868">
        <v>31</v>
      </c>
      <c r="AL868" t="s">
        <v>275</v>
      </c>
      <c r="AM868" t="s">
        <v>250</v>
      </c>
      <c r="AN868" t="s">
        <v>276</v>
      </c>
      <c r="AO868" t="s">
        <v>74</v>
      </c>
      <c r="AP868" t="s">
        <v>9355</v>
      </c>
      <c r="AQ868" t="s">
        <v>74</v>
      </c>
      <c r="AR868" t="s">
        <v>9356</v>
      </c>
      <c r="AS868" t="s">
        <v>9357</v>
      </c>
      <c r="AT868" t="s">
        <v>16346</v>
      </c>
      <c r="AU868">
        <v>2016</v>
      </c>
      <c r="AV868">
        <v>3</v>
      </c>
      <c r="AW868" t="s">
        <v>74</v>
      </c>
      <c r="AX868" t="s">
        <v>74</v>
      </c>
      <c r="AY868" t="s">
        <v>74</v>
      </c>
      <c r="AZ868" t="s">
        <v>74</v>
      </c>
      <c r="BA868" t="s">
        <v>74</v>
      </c>
      <c r="BB868" t="s">
        <v>74</v>
      </c>
      <c r="BC868" t="s">
        <v>74</v>
      </c>
      <c r="BD868">
        <v>160043</v>
      </c>
      <c r="BE868" t="s">
        <v>16413</v>
      </c>
      <c r="BF868" t="str">
        <f>HYPERLINK("http://dx.doi.org/10.1038/sdata.2016.43","http://dx.doi.org/10.1038/sdata.2016.43")</f>
        <v>http://dx.doi.org/10.1038/sdata.2016.43</v>
      </c>
      <c r="BG868" t="s">
        <v>74</v>
      </c>
      <c r="BH868" t="s">
        <v>74</v>
      </c>
      <c r="BI868">
        <v>9</v>
      </c>
      <c r="BJ868" t="s">
        <v>719</v>
      </c>
      <c r="BK868" t="s">
        <v>156</v>
      </c>
      <c r="BL868" t="s">
        <v>720</v>
      </c>
      <c r="BM868" t="s">
        <v>16414</v>
      </c>
      <c r="BN868">
        <v>27328409</v>
      </c>
      <c r="BO868" t="s">
        <v>12847</v>
      </c>
      <c r="BP868" t="s">
        <v>74</v>
      </c>
      <c r="BQ868" t="s">
        <v>74</v>
      </c>
      <c r="BR868" t="s">
        <v>105</v>
      </c>
      <c r="BS868" t="s">
        <v>16415</v>
      </c>
      <c r="BT868" t="str">
        <f>HYPERLINK("https%3A%2F%2Fwww.webofscience.com%2Fwos%2Fwoscc%2Ffull-record%2FWOS:000390220200002","View Full Record in Web of Science")</f>
        <v>View Full Record in Web of Science</v>
      </c>
    </row>
    <row r="869" spans="1:72" x14ac:dyDescent="0.15">
      <c r="A869" t="s">
        <v>72</v>
      </c>
      <c r="B869" t="s">
        <v>16416</v>
      </c>
      <c r="C869" t="s">
        <v>74</v>
      </c>
      <c r="D869" t="s">
        <v>74</v>
      </c>
      <c r="E869" t="s">
        <v>74</v>
      </c>
      <c r="F869" t="s">
        <v>16417</v>
      </c>
      <c r="G869" t="s">
        <v>74</v>
      </c>
      <c r="H869" t="s">
        <v>74</v>
      </c>
      <c r="I869" t="s">
        <v>16418</v>
      </c>
      <c r="J869" t="s">
        <v>4498</v>
      </c>
      <c r="K869" t="s">
        <v>74</v>
      </c>
      <c r="L869" t="s">
        <v>74</v>
      </c>
      <c r="M869" t="s">
        <v>78</v>
      </c>
      <c r="N869" t="s">
        <v>79</v>
      </c>
      <c r="O869" t="s">
        <v>74</v>
      </c>
      <c r="P869" t="s">
        <v>74</v>
      </c>
      <c r="Q869" t="s">
        <v>74</v>
      </c>
      <c r="R869" t="s">
        <v>74</v>
      </c>
      <c r="S869" t="s">
        <v>74</v>
      </c>
      <c r="T869" t="s">
        <v>16419</v>
      </c>
      <c r="U869" t="s">
        <v>16420</v>
      </c>
      <c r="V869" t="s">
        <v>16421</v>
      </c>
      <c r="W869" t="s">
        <v>16422</v>
      </c>
      <c r="X869" t="s">
        <v>16423</v>
      </c>
      <c r="Y869" t="s">
        <v>16424</v>
      </c>
      <c r="Z869" t="s">
        <v>16425</v>
      </c>
      <c r="AA869" t="s">
        <v>16426</v>
      </c>
      <c r="AB869" t="s">
        <v>16427</v>
      </c>
      <c r="AC869" t="s">
        <v>16428</v>
      </c>
      <c r="AD869" t="s">
        <v>16429</v>
      </c>
      <c r="AE869" t="s">
        <v>16430</v>
      </c>
      <c r="AF869" t="s">
        <v>74</v>
      </c>
      <c r="AG869">
        <v>45</v>
      </c>
      <c r="AH869">
        <v>25</v>
      </c>
      <c r="AI869">
        <v>25</v>
      </c>
      <c r="AJ869">
        <v>0</v>
      </c>
      <c r="AK869">
        <v>25</v>
      </c>
      <c r="AL869" t="s">
        <v>1572</v>
      </c>
      <c r="AM869" t="s">
        <v>1573</v>
      </c>
      <c r="AN869" t="s">
        <v>9263</v>
      </c>
      <c r="AO869" t="s">
        <v>4511</v>
      </c>
      <c r="AP869" t="s">
        <v>4512</v>
      </c>
      <c r="AQ869" t="s">
        <v>74</v>
      </c>
      <c r="AR869" t="s">
        <v>4498</v>
      </c>
      <c r="AS869" t="s">
        <v>4513</v>
      </c>
      <c r="AT869" t="s">
        <v>16431</v>
      </c>
      <c r="AU869">
        <v>2016</v>
      </c>
      <c r="AV869">
        <v>4126</v>
      </c>
      <c r="AW869">
        <v>3</v>
      </c>
      <c r="AX869" t="s">
        <v>74</v>
      </c>
      <c r="AY869" t="s">
        <v>74</v>
      </c>
      <c r="AZ869" t="s">
        <v>74</v>
      </c>
      <c r="BA869" t="s">
        <v>74</v>
      </c>
      <c r="BB869">
        <v>411</v>
      </c>
      <c r="BC869">
        <v>426</v>
      </c>
      <c r="BD869" t="s">
        <v>74</v>
      </c>
      <c r="BE869" t="s">
        <v>16432</v>
      </c>
      <c r="BF869" t="str">
        <f>HYPERLINK("http://dx.doi.org/10.11646/zootaxa.4126.3.6","http://dx.doi.org/10.11646/zootaxa.4126.3.6")</f>
        <v>http://dx.doi.org/10.11646/zootaxa.4126.3.6</v>
      </c>
      <c r="BG869" t="s">
        <v>74</v>
      </c>
      <c r="BH869" t="s">
        <v>74</v>
      </c>
      <c r="BI869">
        <v>16</v>
      </c>
      <c r="BJ869" t="s">
        <v>3306</v>
      </c>
      <c r="BK869" t="s">
        <v>156</v>
      </c>
      <c r="BL869" t="s">
        <v>3306</v>
      </c>
      <c r="BM869" t="s">
        <v>16433</v>
      </c>
      <c r="BN869">
        <v>27395596</v>
      </c>
      <c r="BO869" t="s">
        <v>74</v>
      </c>
      <c r="BP869" t="s">
        <v>74</v>
      </c>
      <c r="BQ869" t="s">
        <v>74</v>
      </c>
      <c r="BR869" t="s">
        <v>105</v>
      </c>
      <c r="BS869" t="s">
        <v>16434</v>
      </c>
      <c r="BT869" t="str">
        <f>HYPERLINK("https%3A%2F%2Fwww.webofscience.com%2Fwos%2Fwoscc%2Ffull-record%2FWOS:000378539500006","View Full Record in Web of Science")</f>
        <v>View Full Record in Web of Science</v>
      </c>
    </row>
    <row r="870" spans="1:72" x14ac:dyDescent="0.15">
      <c r="A870" t="s">
        <v>72</v>
      </c>
      <c r="B870" t="s">
        <v>16435</v>
      </c>
      <c r="C870" t="s">
        <v>74</v>
      </c>
      <c r="D870" t="s">
        <v>74</v>
      </c>
      <c r="E870" t="s">
        <v>74</v>
      </c>
      <c r="F870" t="s">
        <v>16436</v>
      </c>
      <c r="G870" t="s">
        <v>74</v>
      </c>
      <c r="H870" t="s">
        <v>74</v>
      </c>
      <c r="I870" t="s">
        <v>16437</v>
      </c>
      <c r="J870" t="s">
        <v>4498</v>
      </c>
      <c r="K870" t="s">
        <v>74</v>
      </c>
      <c r="L870" t="s">
        <v>74</v>
      </c>
      <c r="M870" t="s">
        <v>78</v>
      </c>
      <c r="N870" t="s">
        <v>79</v>
      </c>
      <c r="O870" t="s">
        <v>74</v>
      </c>
      <c r="P870" t="s">
        <v>74</v>
      </c>
      <c r="Q870" t="s">
        <v>74</v>
      </c>
      <c r="R870" t="s">
        <v>74</v>
      </c>
      <c r="S870" t="s">
        <v>74</v>
      </c>
      <c r="T870" t="s">
        <v>16438</v>
      </c>
      <c r="U870" t="s">
        <v>16439</v>
      </c>
      <c r="V870" t="s">
        <v>16440</v>
      </c>
      <c r="W870" t="s">
        <v>16441</v>
      </c>
      <c r="X870" t="s">
        <v>16442</v>
      </c>
      <c r="Y870" t="s">
        <v>16443</v>
      </c>
      <c r="Z870" t="s">
        <v>16444</v>
      </c>
      <c r="AA870" t="s">
        <v>16445</v>
      </c>
      <c r="AB870" t="s">
        <v>16446</v>
      </c>
      <c r="AC870" t="s">
        <v>16447</v>
      </c>
      <c r="AD870" t="s">
        <v>16448</v>
      </c>
      <c r="AE870" t="s">
        <v>16449</v>
      </c>
      <c r="AF870" t="s">
        <v>74</v>
      </c>
      <c r="AG870">
        <v>42</v>
      </c>
      <c r="AH870">
        <v>2</v>
      </c>
      <c r="AI870">
        <v>2</v>
      </c>
      <c r="AJ870">
        <v>1</v>
      </c>
      <c r="AK870">
        <v>7</v>
      </c>
      <c r="AL870" t="s">
        <v>1572</v>
      </c>
      <c r="AM870" t="s">
        <v>1573</v>
      </c>
      <c r="AN870" t="s">
        <v>1574</v>
      </c>
      <c r="AO870" t="s">
        <v>4511</v>
      </c>
      <c r="AP870" t="s">
        <v>4512</v>
      </c>
      <c r="AQ870" t="s">
        <v>74</v>
      </c>
      <c r="AR870" t="s">
        <v>4498</v>
      </c>
      <c r="AS870" t="s">
        <v>4513</v>
      </c>
      <c r="AT870" t="s">
        <v>16450</v>
      </c>
      <c r="AU870">
        <v>2016</v>
      </c>
      <c r="AV870">
        <v>4126</v>
      </c>
      <c r="AW870">
        <v>2</v>
      </c>
      <c r="AX870" t="s">
        <v>74</v>
      </c>
      <c r="AY870" t="s">
        <v>74</v>
      </c>
      <c r="AZ870" t="s">
        <v>74</v>
      </c>
      <c r="BA870" t="s">
        <v>74</v>
      </c>
      <c r="BB870">
        <v>207</v>
      </c>
      <c r="BC870">
        <v>220</v>
      </c>
      <c r="BD870" t="s">
        <v>74</v>
      </c>
      <c r="BE870" t="s">
        <v>16451</v>
      </c>
      <c r="BF870" t="str">
        <f>HYPERLINK("http://dx.doi.org/10.11646/zootaxa.4126.2.2","http://dx.doi.org/10.11646/zootaxa.4126.2.2")</f>
        <v>http://dx.doi.org/10.11646/zootaxa.4126.2.2</v>
      </c>
      <c r="BG870" t="s">
        <v>74</v>
      </c>
      <c r="BH870" t="s">
        <v>74</v>
      </c>
      <c r="BI870">
        <v>14</v>
      </c>
      <c r="BJ870" t="s">
        <v>3306</v>
      </c>
      <c r="BK870" t="s">
        <v>156</v>
      </c>
      <c r="BL870" t="s">
        <v>3306</v>
      </c>
      <c r="BM870" t="s">
        <v>16452</v>
      </c>
      <c r="BN870">
        <v>27395582</v>
      </c>
      <c r="BO870" t="s">
        <v>805</v>
      </c>
      <c r="BP870" t="s">
        <v>74</v>
      </c>
      <c r="BQ870" t="s">
        <v>74</v>
      </c>
      <c r="BR870" t="s">
        <v>105</v>
      </c>
      <c r="BS870" t="s">
        <v>16453</v>
      </c>
      <c r="BT870" t="str">
        <f>HYPERLINK("https%3A%2F%2Fwww.webofscience.com%2Fwos%2Fwoscc%2Ffull-record%2FWOS:000378538900002","View Full Record in Web of Science")</f>
        <v>View Full Record in Web of Science</v>
      </c>
    </row>
    <row r="871" spans="1:72" x14ac:dyDescent="0.15">
      <c r="A871" t="s">
        <v>72</v>
      </c>
      <c r="B871" t="s">
        <v>16454</v>
      </c>
      <c r="C871" t="s">
        <v>74</v>
      </c>
      <c r="D871" t="s">
        <v>74</v>
      </c>
      <c r="E871" t="s">
        <v>74</v>
      </c>
      <c r="F871" t="s">
        <v>16455</v>
      </c>
      <c r="G871" t="s">
        <v>74</v>
      </c>
      <c r="H871" t="s">
        <v>74</v>
      </c>
      <c r="I871" t="s">
        <v>16456</v>
      </c>
      <c r="J871" t="s">
        <v>1088</v>
      </c>
      <c r="K871" t="s">
        <v>74</v>
      </c>
      <c r="L871" t="s">
        <v>74</v>
      </c>
      <c r="M871" t="s">
        <v>78</v>
      </c>
      <c r="N871" t="s">
        <v>79</v>
      </c>
      <c r="O871" t="s">
        <v>74</v>
      </c>
      <c r="P871" t="s">
        <v>74</v>
      </c>
      <c r="Q871" t="s">
        <v>74</v>
      </c>
      <c r="R871" t="s">
        <v>74</v>
      </c>
      <c r="S871" t="s">
        <v>74</v>
      </c>
      <c r="T871" t="s">
        <v>16457</v>
      </c>
      <c r="U871" t="s">
        <v>16458</v>
      </c>
      <c r="V871" t="s">
        <v>16459</v>
      </c>
      <c r="W871" t="s">
        <v>16460</v>
      </c>
      <c r="X871" t="s">
        <v>16461</v>
      </c>
      <c r="Y871" t="s">
        <v>16462</v>
      </c>
      <c r="Z871" t="s">
        <v>16463</v>
      </c>
      <c r="AA871" t="s">
        <v>16464</v>
      </c>
      <c r="AB871" t="s">
        <v>16465</v>
      </c>
      <c r="AC871" t="s">
        <v>16466</v>
      </c>
      <c r="AD871" t="s">
        <v>16467</v>
      </c>
      <c r="AE871" t="s">
        <v>16468</v>
      </c>
      <c r="AF871" t="s">
        <v>74</v>
      </c>
      <c r="AG871">
        <v>45</v>
      </c>
      <c r="AH871">
        <v>17</v>
      </c>
      <c r="AI871">
        <v>20</v>
      </c>
      <c r="AJ871">
        <v>2</v>
      </c>
      <c r="AK871">
        <v>35</v>
      </c>
      <c r="AL871" t="s">
        <v>149</v>
      </c>
      <c r="AM871" t="s">
        <v>123</v>
      </c>
      <c r="AN871" t="s">
        <v>150</v>
      </c>
      <c r="AO871" t="s">
        <v>1100</v>
      </c>
      <c r="AP871" t="s">
        <v>1101</v>
      </c>
      <c r="AQ871" t="s">
        <v>74</v>
      </c>
      <c r="AR871" t="s">
        <v>1102</v>
      </c>
      <c r="AS871" t="s">
        <v>1103</v>
      </c>
      <c r="AT871" t="s">
        <v>16469</v>
      </c>
      <c r="AU871">
        <v>2016</v>
      </c>
      <c r="AV871">
        <v>43</v>
      </c>
      <c r="AW871">
        <v>11</v>
      </c>
      <c r="AX871" t="s">
        <v>74</v>
      </c>
      <c r="AY871" t="s">
        <v>74</v>
      </c>
      <c r="AZ871" t="s">
        <v>74</v>
      </c>
      <c r="BA871" t="s">
        <v>74</v>
      </c>
      <c r="BB871">
        <v>5758</v>
      </c>
      <c r="BC871">
        <v>5767</v>
      </c>
      <c r="BD871" t="s">
        <v>74</v>
      </c>
      <c r="BE871" t="s">
        <v>16470</v>
      </c>
      <c r="BF871" t="str">
        <f>HYPERLINK("http://dx.doi.org/10.1002/2016GL068990","http://dx.doi.org/10.1002/2016GL068990")</f>
        <v>http://dx.doi.org/10.1002/2016GL068990</v>
      </c>
      <c r="BG871" t="s">
        <v>74</v>
      </c>
      <c r="BH871" t="s">
        <v>74</v>
      </c>
      <c r="BI871">
        <v>10</v>
      </c>
      <c r="BJ871" t="s">
        <v>352</v>
      </c>
      <c r="BK871" t="s">
        <v>156</v>
      </c>
      <c r="BL871" t="s">
        <v>177</v>
      </c>
      <c r="BM871" t="s">
        <v>16471</v>
      </c>
      <c r="BN871" t="s">
        <v>74</v>
      </c>
      <c r="BO871" t="s">
        <v>258</v>
      </c>
      <c r="BP871" t="s">
        <v>74</v>
      </c>
      <c r="BQ871" t="s">
        <v>74</v>
      </c>
      <c r="BR871" t="s">
        <v>105</v>
      </c>
      <c r="BS871" t="s">
        <v>16472</v>
      </c>
      <c r="BT871" t="str">
        <f>HYPERLINK("https%3A%2F%2Fwww.webofscience.com%2Fwos%2Fwoscc%2Ffull-record%2FWOS:000379851800026","View Full Record in Web of Science")</f>
        <v>View Full Record in Web of Science</v>
      </c>
    </row>
    <row r="872" spans="1:72" x14ac:dyDescent="0.15">
      <c r="A872" t="s">
        <v>72</v>
      </c>
      <c r="B872" t="s">
        <v>16473</v>
      </c>
      <c r="C872" t="s">
        <v>74</v>
      </c>
      <c r="D872" t="s">
        <v>74</v>
      </c>
      <c r="E872" t="s">
        <v>74</v>
      </c>
      <c r="F872" t="s">
        <v>16474</v>
      </c>
      <c r="G872" t="s">
        <v>74</v>
      </c>
      <c r="H872" t="s">
        <v>74</v>
      </c>
      <c r="I872" t="s">
        <v>16475</v>
      </c>
      <c r="J872" t="s">
        <v>1088</v>
      </c>
      <c r="K872" t="s">
        <v>74</v>
      </c>
      <c r="L872" t="s">
        <v>74</v>
      </c>
      <c r="M872" t="s">
        <v>78</v>
      </c>
      <c r="N872" t="s">
        <v>79</v>
      </c>
      <c r="O872" t="s">
        <v>74</v>
      </c>
      <c r="P872" t="s">
        <v>74</v>
      </c>
      <c r="Q872" t="s">
        <v>74</v>
      </c>
      <c r="R872" t="s">
        <v>74</v>
      </c>
      <c r="S872" t="s">
        <v>74</v>
      </c>
      <c r="T872" t="s">
        <v>16476</v>
      </c>
      <c r="U872" t="s">
        <v>16477</v>
      </c>
      <c r="V872" t="s">
        <v>16478</v>
      </c>
      <c r="W872" t="s">
        <v>16479</v>
      </c>
      <c r="X872" t="s">
        <v>16480</v>
      </c>
      <c r="Y872" t="s">
        <v>16481</v>
      </c>
      <c r="Z872" t="s">
        <v>16482</v>
      </c>
      <c r="AA872" t="s">
        <v>16483</v>
      </c>
      <c r="AB872" t="s">
        <v>16484</v>
      </c>
      <c r="AC872" t="s">
        <v>16485</v>
      </c>
      <c r="AD872" t="s">
        <v>16486</v>
      </c>
      <c r="AE872" t="s">
        <v>16487</v>
      </c>
      <c r="AF872" t="s">
        <v>74</v>
      </c>
      <c r="AG872">
        <v>33</v>
      </c>
      <c r="AH872">
        <v>13</v>
      </c>
      <c r="AI872">
        <v>13</v>
      </c>
      <c r="AJ872">
        <v>0</v>
      </c>
      <c r="AK872">
        <v>24</v>
      </c>
      <c r="AL872" t="s">
        <v>149</v>
      </c>
      <c r="AM872" t="s">
        <v>123</v>
      </c>
      <c r="AN872" t="s">
        <v>150</v>
      </c>
      <c r="AO872" t="s">
        <v>1100</v>
      </c>
      <c r="AP872" t="s">
        <v>1101</v>
      </c>
      <c r="AQ872" t="s">
        <v>74</v>
      </c>
      <c r="AR872" t="s">
        <v>1102</v>
      </c>
      <c r="AS872" t="s">
        <v>1103</v>
      </c>
      <c r="AT872" t="s">
        <v>16469</v>
      </c>
      <c r="AU872">
        <v>2016</v>
      </c>
      <c r="AV872">
        <v>43</v>
      </c>
      <c r="AW872">
        <v>11</v>
      </c>
      <c r="AX872" t="s">
        <v>74</v>
      </c>
      <c r="AY872" t="s">
        <v>74</v>
      </c>
      <c r="AZ872" t="s">
        <v>74</v>
      </c>
      <c r="BA872" t="s">
        <v>74</v>
      </c>
      <c r="BB872">
        <v>5878</v>
      </c>
      <c r="BC872">
        <v>5885</v>
      </c>
      <c r="BD872" t="s">
        <v>74</v>
      </c>
      <c r="BE872" t="s">
        <v>16488</v>
      </c>
      <c r="BF872" t="str">
        <f>HYPERLINK("http://dx.doi.org/10.1002/2016GL069482","http://dx.doi.org/10.1002/2016GL069482")</f>
        <v>http://dx.doi.org/10.1002/2016GL069482</v>
      </c>
      <c r="BG872" t="s">
        <v>74</v>
      </c>
      <c r="BH872" t="s">
        <v>74</v>
      </c>
      <c r="BI872">
        <v>8</v>
      </c>
      <c r="BJ872" t="s">
        <v>352</v>
      </c>
      <c r="BK872" t="s">
        <v>156</v>
      </c>
      <c r="BL872" t="s">
        <v>177</v>
      </c>
      <c r="BM872" t="s">
        <v>16471</v>
      </c>
      <c r="BN872" t="s">
        <v>74</v>
      </c>
      <c r="BO872" t="s">
        <v>104</v>
      </c>
      <c r="BP872" t="s">
        <v>74</v>
      </c>
      <c r="BQ872" t="s">
        <v>74</v>
      </c>
      <c r="BR872" t="s">
        <v>105</v>
      </c>
      <c r="BS872" t="s">
        <v>16489</v>
      </c>
      <c r="BT872" t="str">
        <f>HYPERLINK("https%3A%2F%2Fwww.webofscience.com%2Fwos%2Fwoscc%2Ffull-record%2FWOS:000379851800040","View Full Record in Web of Science")</f>
        <v>View Full Record in Web of Science</v>
      </c>
    </row>
    <row r="873" spans="1:72" x14ac:dyDescent="0.15">
      <c r="A873" t="s">
        <v>72</v>
      </c>
      <c r="B873" t="s">
        <v>16490</v>
      </c>
      <c r="C873" t="s">
        <v>74</v>
      </c>
      <c r="D873" t="s">
        <v>74</v>
      </c>
      <c r="E873" t="s">
        <v>74</v>
      </c>
      <c r="F873" t="s">
        <v>16491</v>
      </c>
      <c r="G873" t="s">
        <v>74</v>
      </c>
      <c r="H873" t="s">
        <v>74</v>
      </c>
      <c r="I873" t="s">
        <v>16492</v>
      </c>
      <c r="J873" t="s">
        <v>1088</v>
      </c>
      <c r="K873" t="s">
        <v>74</v>
      </c>
      <c r="L873" t="s">
        <v>74</v>
      </c>
      <c r="M873" t="s">
        <v>78</v>
      </c>
      <c r="N873" t="s">
        <v>79</v>
      </c>
      <c r="O873" t="s">
        <v>74</v>
      </c>
      <c r="P873" t="s">
        <v>74</v>
      </c>
      <c r="Q873" t="s">
        <v>74</v>
      </c>
      <c r="R873" t="s">
        <v>74</v>
      </c>
      <c r="S873" t="s">
        <v>74</v>
      </c>
      <c r="T873" t="s">
        <v>16493</v>
      </c>
      <c r="U873" t="s">
        <v>16494</v>
      </c>
      <c r="V873" t="s">
        <v>16495</v>
      </c>
      <c r="W873" t="s">
        <v>16496</v>
      </c>
      <c r="X873" t="s">
        <v>16497</v>
      </c>
      <c r="Y873" t="s">
        <v>16498</v>
      </c>
      <c r="Z873" t="s">
        <v>16499</v>
      </c>
      <c r="AA873" t="s">
        <v>74</v>
      </c>
      <c r="AB873" t="s">
        <v>16500</v>
      </c>
      <c r="AC873" t="s">
        <v>16501</v>
      </c>
      <c r="AD873" t="s">
        <v>16502</v>
      </c>
      <c r="AE873" t="s">
        <v>16503</v>
      </c>
      <c r="AF873" t="s">
        <v>74</v>
      </c>
      <c r="AG873">
        <v>39</v>
      </c>
      <c r="AH873">
        <v>25</v>
      </c>
      <c r="AI873">
        <v>35</v>
      </c>
      <c r="AJ873">
        <v>23</v>
      </c>
      <c r="AK873">
        <v>147</v>
      </c>
      <c r="AL873" t="s">
        <v>149</v>
      </c>
      <c r="AM873" t="s">
        <v>123</v>
      </c>
      <c r="AN873" t="s">
        <v>150</v>
      </c>
      <c r="AO873" t="s">
        <v>1100</v>
      </c>
      <c r="AP873" t="s">
        <v>1101</v>
      </c>
      <c r="AQ873" t="s">
        <v>74</v>
      </c>
      <c r="AR873" t="s">
        <v>1102</v>
      </c>
      <c r="AS873" t="s">
        <v>1103</v>
      </c>
      <c r="AT873" t="s">
        <v>16469</v>
      </c>
      <c r="AU873">
        <v>2016</v>
      </c>
      <c r="AV873">
        <v>43</v>
      </c>
      <c r="AW873">
        <v>11</v>
      </c>
      <c r="AX873" t="s">
        <v>74</v>
      </c>
      <c r="AY873" t="s">
        <v>74</v>
      </c>
      <c r="AZ873" t="s">
        <v>74</v>
      </c>
      <c r="BA873" t="s">
        <v>74</v>
      </c>
      <c r="BB873">
        <v>5750</v>
      </c>
      <c r="BC873">
        <v>5757</v>
      </c>
      <c r="BD873" t="s">
        <v>74</v>
      </c>
      <c r="BE873" t="s">
        <v>16504</v>
      </c>
      <c r="BF873" t="str">
        <f>HYPERLINK("http://dx.doi.org/10.1002/2016GL068609","http://dx.doi.org/10.1002/2016GL068609")</f>
        <v>http://dx.doi.org/10.1002/2016GL068609</v>
      </c>
      <c r="BG873" t="s">
        <v>74</v>
      </c>
      <c r="BH873" t="s">
        <v>74</v>
      </c>
      <c r="BI873">
        <v>8</v>
      </c>
      <c r="BJ873" t="s">
        <v>352</v>
      </c>
      <c r="BK873" t="s">
        <v>156</v>
      </c>
      <c r="BL873" t="s">
        <v>177</v>
      </c>
      <c r="BM873" t="s">
        <v>16471</v>
      </c>
      <c r="BN873" t="s">
        <v>74</v>
      </c>
      <c r="BO873" t="s">
        <v>258</v>
      </c>
      <c r="BP873" t="s">
        <v>74</v>
      </c>
      <c r="BQ873" t="s">
        <v>74</v>
      </c>
      <c r="BR873" t="s">
        <v>105</v>
      </c>
      <c r="BS873" t="s">
        <v>16505</v>
      </c>
      <c r="BT873" t="str">
        <f>HYPERLINK("https%3A%2F%2Fwww.webofscience.com%2Fwos%2Fwoscc%2Ffull-record%2FWOS:000379851800025","View Full Record in Web of Science")</f>
        <v>View Full Record in Web of Science</v>
      </c>
    </row>
    <row r="874" spans="1:72" x14ac:dyDescent="0.15">
      <c r="A874" t="s">
        <v>72</v>
      </c>
      <c r="B874" t="s">
        <v>16506</v>
      </c>
      <c r="C874" t="s">
        <v>74</v>
      </c>
      <c r="D874" t="s">
        <v>74</v>
      </c>
      <c r="E874" t="s">
        <v>74</v>
      </c>
      <c r="F874" t="s">
        <v>16507</v>
      </c>
      <c r="G874" t="s">
        <v>74</v>
      </c>
      <c r="H874" t="s">
        <v>74</v>
      </c>
      <c r="I874" t="s">
        <v>16508</v>
      </c>
      <c r="J874" t="s">
        <v>1088</v>
      </c>
      <c r="K874" t="s">
        <v>74</v>
      </c>
      <c r="L874" t="s">
        <v>74</v>
      </c>
      <c r="M874" t="s">
        <v>78</v>
      </c>
      <c r="N874" t="s">
        <v>587</v>
      </c>
      <c r="O874" t="s">
        <v>74</v>
      </c>
      <c r="P874" t="s">
        <v>74</v>
      </c>
      <c r="Q874" t="s">
        <v>74</v>
      </c>
      <c r="R874" t="s">
        <v>74</v>
      </c>
      <c r="S874" t="s">
        <v>74</v>
      </c>
      <c r="T874" t="s">
        <v>16509</v>
      </c>
      <c r="U874" t="s">
        <v>16510</v>
      </c>
      <c r="V874" t="s">
        <v>16511</v>
      </c>
      <c r="W874" t="s">
        <v>16512</v>
      </c>
      <c r="X874" t="s">
        <v>1347</v>
      </c>
      <c r="Y874" t="s">
        <v>16513</v>
      </c>
      <c r="Z874" t="s">
        <v>16514</v>
      </c>
      <c r="AA874" t="s">
        <v>74</v>
      </c>
      <c r="AB874" t="s">
        <v>16515</v>
      </c>
      <c r="AC874" t="s">
        <v>16516</v>
      </c>
      <c r="AD874" t="s">
        <v>3645</v>
      </c>
      <c r="AE874" t="s">
        <v>74</v>
      </c>
      <c r="AF874" t="s">
        <v>74</v>
      </c>
      <c r="AG874">
        <v>16</v>
      </c>
      <c r="AH874">
        <v>21</v>
      </c>
      <c r="AI874">
        <v>24</v>
      </c>
      <c r="AJ874">
        <v>1</v>
      </c>
      <c r="AK874">
        <v>7</v>
      </c>
      <c r="AL874" t="s">
        <v>149</v>
      </c>
      <c r="AM874" t="s">
        <v>123</v>
      </c>
      <c r="AN874" t="s">
        <v>150</v>
      </c>
      <c r="AO874" t="s">
        <v>1100</v>
      </c>
      <c r="AP874" t="s">
        <v>1101</v>
      </c>
      <c r="AQ874" t="s">
        <v>74</v>
      </c>
      <c r="AR874" t="s">
        <v>1102</v>
      </c>
      <c r="AS874" t="s">
        <v>1103</v>
      </c>
      <c r="AT874" t="s">
        <v>16469</v>
      </c>
      <c r="AU874">
        <v>2016</v>
      </c>
      <c r="AV874">
        <v>43</v>
      </c>
      <c r="AW874">
        <v>11</v>
      </c>
      <c r="AX874" t="s">
        <v>74</v>
      </c>
      <c r="AY874" t="s">
        <v>74</v>
      </c>
      <c r="AZ874" t="s">
        <v>74</v>
      </c>
      <c r="BA874" t="s">
        <v>74</v>
      </c>
      <c r="BB874">
        <v>5829</v>
      </c>
      <c r="BC874">
        <v>5832</v>
      </c>
      <c r="BD874" t="s">
        <v>74</v>
      </c>
      <c r="BE874" t="s">
        <v>16517</v>
      </c>
      <c r="BF874" t="str">
        <f>HYPERLINK("http://dx.doi.org/10.1002/2016GL069677","http://dx.doi.org/10.1002/2016GL069677")</f>
        <v>http://dx.doi.org/10.1002/2016GL069677</v>
      </c>
      <c r="BG874" t="s">
        <v>74</v>
      </c>
      <c r="BH874" t="s">
        <v>74</v>
      </c>
      <c r="BI874">
        <v>4</v>
      </c>
      <c r="BJ874" t="s">
        <v>352</v>
      </c>
      <c r="BK874" t="s">
        <v>156</v>
      </c>
      <c r="BL874" t="s">
        <v>177</v>
      </c>
      <c r="BM874" t="s">
        <v>16471</v>
      </c>
      <c r="BN874" t="s">
        <v>74</v>
      </c>
      <c r="BO874" t="s">
        <v>329</v>
      </c>
      <c r="BP874" t="s">
        <v>74</v>
      </c>
      <c r="BQ874" t="s">
        <v>74</v>
      </c>
      <c r="BR874" t="s">
        <v>105</v>
      </c>
      <c r="BS874" t="s">
        <v>16518</v>
      </c>
      <c r="BT874" t="str">
        <f>HYPERLINK("https%3A%2F%2Fwww.webofscience.com%2Fwos%2Fwoscc%2Ffull-record%2FWOS:000379851800034","View Full Record in Web of Science")</f>
        <v>View Full Record in Web of Science</v>
      </c>
    </row>
    <row r="875" spans="1:72" x14ac:dyDescent="0.15">
      <c r="A875" t="s">
        <v>72</v>
      </c>
      <c r="B875" t="s">
        <v>16519</v>
      </c>
      <c r="C875" t="s">
        <v>74</v>
      </c>
      <c r="D875" t="s">
        <v>74</v>
      </c>
      <c r="E875" t="s">
        <v>74</v>
      </c>
      <c r="F875" t="s">
        <v>16520</v>
      </c>
      <c r="G875" t="s">
        <v>74</v>
      </c>
      <c r="H875" t="s">
        <v>74</v>
      </c>
      <c r="I875" t="s">
        <v>16521</v>
      </c>
      <c r="J875" t="s">
        <v>2512</v>
      </c>
      <c r="K875" t="s">
        <v>74</v>
      </c>
      <c r="L875" t="s">
        <v>74</v>
      </c>
      <c r="M875" t="s">
        <v>78</v>
      </c>
      <c r="N875" t="s">
        <v>79</v>
      </c>
      <c r="O875" t="s">
        <v>74</v>
      </c>
      <c r="P875" t="s">
        <v>74</v>
      </c>
      <c r="Q875" t="s">
        <v>74</v>
      </c>
      <c r="R875" t="s">
        <v>74</v>
      </c>
      <c r="S875" t="s">
        <v>74</v>
      </c>
      <c r="T875" t="s">
        <v>74</v>
      </c>
      <c r="U875" t="s">
        <v>16522</v>
      </c>
      <c r="V875" t="s">
        <v>16523</v>
      </c>
      <c r="W875" t="s">
        <v>16524</v>
      </c>
      <c r="X875" t="s">
        <v>16525</v>
      </c>
      <c r="Y875" t="s">
        <v>16526</v>
      </c>
      <c r="Z875" t="s">
        <v>16527</v>
      </c>
      <c r="AA875" t="s">
        <v>16528</v>
      </c>
      <c r="AB875" t="s">
        <v>16529</v>
      </c>
      <c r="AC875" t="s">
        <v>16530</v>
      </c>
      <c r="AD875" t="s">
        <v>16531</v>
      </c>
      <c r="AE875" t="s">
        <v>16532</v>
      </c>
      <c r="AF875" t="s">
        <v>74</v>
      </c>
      <c r="AG875">
        <v>51</v>
      </c>
      <c r="AH875">
        <v>69</v>
      </c>
      <c r="AI875">
        <v>76</v>
      </c>
      <c r="AJ875">
        <v>2</v>
      </c>
      <c r="AK875">
        <v>31</v>
      </c>
      <c r="AL875" t="s">
        <v>149</v>
      </c>
      <c r="AM875" t="s">
        <v>123</v>
      </c>
      <c r="AN875" t="s">
        <v>150</v>
      </c>
      <c r="AO875" t="s">
        <v>2525</v>
      </c>
      <c r="AP875" t="s">
        <v>2526</v>
      </c>
      <c r="AQ875" t="s">
        <v>74</v>
      </c>
      <c r="AR875" t="s">
        <v>2527</v>
      </c>
      <c r="AS875" t="s">
        <v>2528</v>
      </c>
      <c r="AT875" t="s">
        <v>16469</v>
      </c>
      <c r="AU875">
        <v>2016</v>
      </c>
      <c r="AV875">
        <v>121</v>
      </c>
      <c r="AW875">
        <v>11</v>
      </c>
      <c r="AX875" t="s">
        <v>74</v>
      </c>
      <c r="AY875" t="s">
        <v>74</v>
      </c>
      <c r="AZ875" t="s">
        <v>74</v>
      </c>
      <c r="BA875" t="s">
        <v>74</v>
      </c>
      <c r="BB875">
        <v>6240</v>
      </c>
      <c r="BC875">
        <v>6257</v>
      </c>
      <c r="BD875" t="s">
        <v>74</v>
      </c>
      <c r="BE875" t="s">
        <v>16533</v>
      </c>
      <c r="BF875" t="str">
        <f>HYPERLINK("http://dx.doi.org/10.1002/2015JD024680","http://dx.doi.org/10.1002/2015JD024680")</f>
        <v>http://dx.doi.org/10.1002/2015JD024680</v>
      </c>
      <c r="BG875" t="s">
        <v>74</v>
      </c>
      <c r="BH875" t="s">
        <v>74</v>
      </c>
      <c r="BI875">
        <v>18</v>
      </c>
      <c r="BJ875" t="s">
        <v>2482</v>
      </c>
      <c r="BK875" t="s">
        <v>156</v>
      </c>
      <c r="BL875" t="s">
        <v>2482</v>
      </c>
      <c r="BM875" t="s">
        <v>16534</v>
      </c>
      <c r="BN875" t="s">
        <v>74</v>
      </c>
      <c r="BO875" t="s">
        <v>329</v>
      </c>
      <c r="BP875" t="s">
        <v>74</v>
      </c>
      <c r="BQ875" t="s">
        <v>74</v>
      </c>
      <c r="BR875" t="s">
        <v>105</v>
      </c>
      <c r="BS875" t="s">
        <v>16535</v>
      </c>
      <c r="BT875" t="str">
        <f>HYPERLINK("https%3A%2F%2Fwww.webofscience.com%2Fwos%2Fwoscc%2Ffull-record%2FWOS:000381631700007","View Full Record in Web of Science")</f>
        <v>View Full Record in Web of Science</v>
      </c>
    </row>
    <row r="876" spans="1:72" x14ac:dyDescent="0.15">
      <c r="A876" t="s">
        <v>72</v>
      </c>
      <c r="B876" t="s">
        <v>16536</v>
      </c>
      <c r="C876" t="s">
        <v>74</v>
      </c>
      <c r="D876" t="s">
        <v>74</v>
      </c>
      <c r="E876" t="s">
        <v>74</v>
      </c>
      <c r="F876" t="s">
        <v>16537</v>
      </c>
      <c r="G876" t="s">
        <v>74</v>
      </c>
      <c r="H876" t="s">
        <v>74</v>
      </c>
      <c r="I876" t="s">
        <v>16538</v>
      </c>
      <c r="J876" t="s">
        <v>2512</v>
      </c>
      <c r="K876" t="s">
        <v>74</v>
      </c>
      <c r="L876" t="s">
        <v>74</v>
      </c>
      <c r="M876" t="s">
        <v>78</v>
      </c>
      <c r="N876" t="s">
        <v>79</v>
      </c>
      <c r="O876" t="s">
        <v>74</v>
      </c>
      <c r="P876" t="s">
        <v>74</v>
      </c>
      <c r="Q876" t="s">
        <v>74</v>
      </c>
      <c r="R876" t="s">
        <v>74</v>
      </c>
      <c r="S876" t="s">
        <v>74</v>
      </c>
      <c r="T876" t="s">
        <v>74</v>
      </c>
      <c r="U876" t="s">
        <v>16539</v>
      </c>
      <c r="V876" t="s">
        <v>16540</v>
      </c>
      <c r="W876" t="s">
        <v>16541</v>
      </c>
      <c r="X876" t="s">
        <v>16542</v>
      </c>
      <c r="Y876" t="s">
        <v>16543</v>
      </c>
      <c r="Z876" t="s">
        <v>16544</v>
      </c>
      <c r="AA876" t="s">
        <v>16545</v>
      </c>
      <c r="AB876" t="s">
        <v>16546</v>
      </c>
      <c r="AC876" t="s">
        <v>16547</v>
      </c>
      <c r="AD876" t="s">
        <v>16548</v>
      </c>
      <c r="AE876" t="s">
        <v>16549</v>
      </c>
      <c r="AF876" t="s">
        <v>74</v>
      </c>
      <c r="AG876">
        <v>27</v>
      </c>
      <c r="AH876">
        <v>5</v>
      </c>
      <c r="AI876">
        <v>6</v>
      </c>
      <c r="AJ876">
        <v>0</v>
      </c>
      <c r="AK876">
        <v>24</v>
      </c>
      <c r="AL876" t="s">
        <v>149</v>
      </c>
      <c r="AM876" t="s">
        <v>123</v>
      </c>
      <c r="AN876" t="s">
        <v>150</v>
      </c>
      <c r="AO876" t="s">
        <v>2525</v>
      </c>
      <c r="AP876" t="s">
        <v>2526</v>
      </c>
      <c r="AQ876" t="s">
        <v>74</v>
      </c>
      <c r="AR876" t="s">
        <v>2527</v>
      </c>
      <c r="AS876" t="s">
        <v>2528</v>
      </c>
      <c r="AT876" t="s">
        <v>16469</v>
      </c>
      <c r="AU876">
        <v>2016</v>
      </c>
      <c r="AV876">
        <v>121</v>
      </c>
      <c r="AW876">
        <v>11</v>
      </c>
      <c r="AX876" t="s">
        <v>74</v>
      </c>
      <c r="AY876" t="s">
        <v>74</v>
      </c>
      <c r="AZ876" t="s">
        <v>74</v>
      </c>
      <c r="BA876" t="s">
        <v>74</v>
      </c>
      <c r="BB876">
        <v>6273</v>
      </c>
      <c r="BC876">
        <v>6283</v>
      </c>
      <c r="BD876" t="s">
        <v>74</v>
      </c>
      <c r="BE876" t="s">
        <v>16550</v>
      </c>
      <c r="BF876" t="str">
        <f>HYPERLINK("http://dx.doi.org/10.1002/2016JD025073","http://dx.doi.org/10.1002/2016JD025073")</f>
        <v>http://dx.doi.org/10.1002/2016JD025073</v>
      </c>
      <c r="BG876" t="s">
        <v>74</v>
      </c>
      <c r="BH876" t="s">
        <v>74</v>
      </c>
      <c r="BI876">
        <v>11</v>
      </c>
      <c r="BJ876" t="s">
        <v>2482</v>
      </c>
      <c r="BK876" t="s">
        <v>156</v>
      </c>
      <c r="BL876" t="s">
        <v>2482</v>
      </c>
      <c r="BM876" t="s">
        <v>16534</v>
      </c>
      <c r="BN876" t="s">
        <v>74</v>
      </c>
      <c r="BO876" t="s">
        <v>258</v>
      </c>
      <c r="BP876" t="s">
        <v>74</v>
      </c>
      <c r="BQ876" t="s">
        <v>74</v>
      </c>
      <c r="BR876" t="s">
        <v>105</v>
      </c>
      <c r="BS876" t="s">
        <v>16551</v>
      </c>
      <c r="BT876" t="str">
        <f>HYPERLINK("https%3A%2F%2Fwww.webofscience.com%2Fwos%2Fwoscc%2Ffull-record%2FWOS:000381631700009","View Full Record in Web of Science")</f>
        <v>View Full Record in Web of Science</v>
      </c>
    </row>
    <row r="877" spans="1:72" x14ac:dyDescent="0.15">
      <c r="A877" t="s">
        <v>72</v>
      </c>
      <c r="B877" t="s">
        <v>16552</v>
      </c>
      <c r="C877" t="s">
        <v>74</v>
      </c>
      <c r="D877" t="s">
        <v>74</v>
      </c>
      <c r="E877" t="s">
        <v>74</v>
      </c>
      <c r="F877" t="s">
        <v>16553</v>
      </c>
      <c r="G877" t="s">
        <v>74</v>
      </c>
      <c r="H877" t="s">
        <v>74</v>
      </c>
      <c r="I877" t="s">
        <v>16554</v>
      </c>
      <c r="J877" t="s">
        <v>1072</v>
      </c>
      <c r="K877" t="s">
        <v>74</v>
      </c>
      <c r="L877" t="s">
        <v>74</v>
      </c>
      <c r="M877" t="s">
        <v>78</v>
      </c>
      <c r="N877" t="s">
        <v>79</v>
      </c>
      <c r="O877" t="s">
        <v>74</v>
      </c>
      <c r="P877" t="s">
        <v>74</v>
      </c>
      <c r="Q877" t="s">
        <v>74</v>
      </c>
      <c r="R877" t="s">
        <v>74</v>
      </c>
      <c r="S877" t="s">
        <v>74</v>
      </c>
      <c r="T877" t="s">
        <v>74</v>
      </c>
      <c r="U877" t="s">
        <v>16555</v>
      </c>
      <c r="V877" t="s">
        <v>16556</v>
      </c>
      <c r="W877" t="s">
        <v>16557</v>
      </c>
      <c r="X877" t="s">
        <v>16558</v>
      </c>
      <c r="Y877" t="s">
        <v>16559</v>
      </c>
      <c r="Z877" t="s">
        <v>16560</v>
      </c>
      <c r="AA877" t="s">
        <v>16561</v>
      </c>
      <c r="AB877" t="s">
        <v>74</v>
      </c>
      <c r="AC877" t="s">
        <v>16562</v>
      </c>
      <c r="AD877" t="s">
        <v>16563</v>
      </c>
      <c r="AE877" t="s">
        <v>16564</v>
      </c>
      <c r="AF877" t="s">
        <v>74</v>
      </c>
      <c r="AG877">
        <v>39</v>
      </c>
      <c r="AH877">
        <v>15</v>
      </c>
      <c r="AI877">
        <v>16</v>
      </c>
      <c r="AJ877">
        <v>2</v>
      </c>
      <c r="AK877">
        <v>8</v>
      </c>
      <c r="AL877" t="s">
        <v>1074</v>
      </c>
      <c r="AM877" t="s">
        <v>1075</v>
      </c>
      <c r="AN877" t="s">
        <v>1076</v>
      </c>
      <c r="AO877" t="s">
        <v>1077</v>
      </c>
      <c r="AP877" t="s">
        <v>74</v>
      </c>
      <c r="AQ877" t="s">
        <v>74</v>
      </c>
      <c r="AR877" t="s">
        <v>1072</v>
      </c>
      <c r="AS877" t="s">
        <v>1078</v>
      </c>
      <c r="AT877" t="s">
        <v>16469</v>
      </c>
      <c r="AU877">
        <v>2016</v>
      </c>
      <c r="AV877">
        <v>11</v>
      </c>
      <c r="AW877">
        <v>6</v>
      </c>
      <c r="AX877" t="s">
        <v>74</v>
      </c>
      <c r="AY877" t="s">
        <v>74</v>
      </c>
      <c r="AZ877" t="s">
        <v>74</v>
      </c>
      <c r="BA877" t="s">
        <v>74</v>
      </c>
      <c r="BB877" t="s">
        <v>74</v>
      </c>
      <c r="BC877" t="s">
        <v>74</v>
      </c>
      <c r="BD877" t="s">
        <v>16565</v>
      </c>
      <c r="BE877" t="s">
        <v>16566</v>
      </c>
      <c r="BF877" t="str">
        <f>HYPERLINK("http://dx.doi.org/10.1371/journal.pone.0157032","http://dx.doi.org/10.1371/journal.pone.0157032")</f>
        <v>http://dx.doi.org/10.1371/journal.pone.0157032</v>
      </c>
      <c r="BG877" t="s">
        <v>74</v>
      </c>
      <c r="BH877" t="s">
        <v>74</v>
      </c>
      <c r="BI877">
        <v>11</v>
      </c>
      <c r="BJ877" t="s">
        <v>719</v>
      </c>
      <c r="BK877" t="s">
        <v>156</v>
      </c>
      <c r="BL877" t="s">
        <v>720</v>
      </c>
      <c r="BM877" t="s">
        <v>16567</v>
      </c>
      <c r="BN877">
        <v>27309961</v>
      </c>
      <c r="BO877" t="s">
        <v>2009</v>
      </c>
      <c r="BP877" t="s">
        <v>74</v>
      </c>
      <c r="BQ877" t="s">
        <v>74</v>
      </c>
      <c r="BR877" t="s">
        <v>105</v>
      </c>
      <c r="BS877" t="s">
        <v>16568</v>
      </c>
      <c r="BT877" t="str">
        <f>HYPERLINK("https%3A%2F%2Fwww.webofscience.com%2Fwos%2Fwoscc%2Ffull-record%2FWOS:000378029800030","View Full Record in Web of Science")</f>
        <v>View Full Record in Web of Science</v>
      </c>
    </row>
    <row r="878" spans="1:72" x14ac:dyDescent="0.15">
      <c r="A878" t="s">
        <v>72</v>
      </c>
      <c r="B878" t="s">
        <v>16569</v>
      </c>
      <c r="C878" t="s">
        <v>74</v>
      </c>
      <c r="D878" t="s">
        <v>74</v>
      </c>
      <c r="E878" t="s">
        <v>74</v>
      </c>
      <c r="F878" t="s">
        <v>16570</v>
      </c>
      <c r="G878" t="s">
        <v>74</v>
      </c>
      <c r="H878" t="s">
        <v>74</v>
      </c>
      <c r="I878" t="s">
        <v>16571</v>
      </c>
      <c r="J878" t="s">
        <v>2078</v>
      </c>
      <c r="K878" t="s">
        <v>74</v>
      </c>
      <c r="L878" t="s">
        <v>74</v>
      </c>
      <c r="M878" t="s">
        <v>78</v>
      </c>
      <c r="N878" t="s">
        <v>79</v>
      </c>
      <c r="O878" t="s">
        <v>74</v>
      </c>
      <c r="P878" t="s">
        <v>74</v>
      </c>
      <c r="Q878" t="s">
        <v>74</v>
      </c>
      <c r="R878" t="s">
        <v>74</v>
      </c>
      <c r="S878" t="s">
        <v>74</v>
      </c>
      <c r="T878" t="s">
        <v>74</v>
      </c>
      <c r="U878" t="s">
        <v>16572</v>
      </c>
      <c r="V878" t="s">
        <v>16573</v>
      </c>
      <c r="W878" t="s">
        <v>16574</v>
      </c>
      <c r="X878" t="s">
        <v>16575</v>
      </c>
      <c r="Y878" t="s">
        <v>16576</v>
      </c>
      <c r="Z878" t="s">
        <v>16577</v>
      </c>
      <c r="AA878" t="s">
        <v>16578</v>
      </c>
      <c r="AB878" t="s">
        <v>16579</v>
      </c>
      <c r="AC878" t="s">
        <v>16580</v>
      </c>
      <c r="AD878" t="s">
        <v>16581</v>
      </c>
      <c r="AE878" t="s">
        <v>16582</v>
      </c>
      <c r="AF878" t="s">
        <v>74</v>
      </c>
      <c r="AG878">
        <v>57</v>
      </c>
      <c r="AH878">
        <v>81</v>
      </c>
      <c r="AI878">
        <v>87</v>
      </c>
      <c r="AJ878">
        <v>2</v>
      </c>
      <c r="AK878">
        <v>46</v>
      </c>
      <c r="AL878" t="s">
        <v>574</v>
      </c>
      <c r="AM878" t="s">
        <v>575</v>
      </c>
      <c r="AN878" t="s">
        <v>576</v>
      </c>
      <c r="AO878" t="s">
        <v>2090</v>
      </c>
      <c r="AP878" t="s">
        <v>74</v>
      </c>
      <c r="AQ878" t="s">
        <v>74</v>
      </c>
      <c r="AR878" t="s">
        <v>2091</v>
      </c>
      <c r="AS878" t="s">
        <v>2092</v>
      </c>
      <c r="AT878" t="s">
        <v>16469</v>
      </c>
      <c r="AU878">
        <v>2016</v>
      </c>
      <c r="AV878">
        <v>6</v>
      </c>
      <c r="AW878" t="s">
        <v>74</v>
      </c>
      <c r="AX878" t="s">
        <v>74</v>
      </c>
      <c r="AY878" t="s">
        <v>74</v>
      </c>
      <c r="AZ878" t="s">
        <v>74</v>
      </c>
      <c r="BA878" t="s">
        <v>74</v>
      </c>
      <c r="BB878" t="s">
        <v>74</v>
      </c>
      <c r="BC878" t="s">
        <v>74</v>
      </c>
      <c r="BD878">
        <v>28205</v>
      </c>
      <c r="BE878" t="s">
        <v>16583</v>
      </c>
      <c r="BF878" t="str">
        <f>HYPERLINK("http://dx.doi.org/10.1038/srep28205","http://dx.doi.org/10.1038/srep28205")</f>
        <v>http://dx.doi.org/10.1038/srep28205</v>
      </c>
      <c r="BG878" t="s">
        <v>74</v>
      </c>
      <c r="BH878" t="s">
        <v>74</v>
      </c>
      <c r="BI878">
        <v>8</v>
      </c>
      <c r="BJ878" t="s">
        <v>719</v>
      </c>
      <c r="BK878" t="s">
        <v>156</v>
      </c>
      <c r="BL878" t="s">
        <v>720</v>
      </c>
      <c r="BM878" t="s">
        <v>16584</v>
      </c>
      <c r="BN878">
        <v>27306583</v>
      </c>
      <c r="BO878" t="s">
        <v>133</v>
      </c>
      <c r="BP878" t="s">
        <v>74</v>
      </c>
      <c r="BQ878" t="s">
        <v>74</v>
      </c>
      <c r="BR878" t="s">
        <v>105</v>
      </c>
      <c r="BS878" t="s">
        <v>16585</v>
      </c>
      <c r="BT878" t="str">
        <f>HYPERLINK("https%3A%2F%2Fwww.webofscience.com%2Fwos%2Fwoscc%2Ffull-record%2FWOS:000378107500001","View Full Record in Web of Science")</f>
        <v>View Full Record in Web of Science</v>
      </c>
    </row>
    <row r="879" spans="1:72" x14ac:dyDescent="0.15">
      <c r="A879" t="s">
        <v>72</v>
      </c>
      <c r="B879" t="s">
        <v>16586</v>
      </c>
      <c r="C879" t="s">
        <v>74</v>
      </c>
      <c r="D879" t="s">
        <v>74</v>
      </c>
      <c r="E879" t="s">
        <v>74</v>
      </c>
      <c r="F879" t="s">
        <v>16587</v>
      </c>
      <c r="G879" t="s">
        <v>74</v>
      </c>
      <c r="H879" t="s">
        <v>74</v>
      </c>
      <c r="I879" t="s">
        <v>16588</v>
      </c>
      <c r="J879" t="s">
        <v>16589</v>
      </c>
      <c r="K879" t="s">
        <v>74</v>
      </c>
      <c r="L879" t="s">
        <v>74</v>
      </c>
      <c r="M879" t="s">
        <v>78</v>
      </c>
      <c r="N879" t="s">
        <v>317</v>
      </c>
      <c r="O879" t="s">
        <v>74</v>
      </c>
      <c r="P879" t="s">
        <v>74</v>
      </c>
      <c r="Q879" t="s">
        <v>74</v>
      </c>
      <c r="R879" t="s">
        <v>74</v>
      </c>
      <c r="S879" t="s">
        <v>74</v>
      </c>
      <c r="T879" t="s">
        <v>16590</v>
      </c>
      <c r="U879" t="s">
        <v>16591</v>
      </c>
      <c r="V879" t="s">
        <v>16592</v>
      </c>
      <c r="W879" t="s">
        <v>16593</v>
      </c>
      <c r="X879" t="s">
        <v>16594</v>
      </c>
      <c r="Y879" t="s">
        <v>16595</v>
      </c>
      <c r="Z879" t="s">
        <v>16596</v>
      </c>
      <c r="AA879" t="s">
        <v>16597</v>
      </c>
      <c r="AB879" t="s">
        <v>74</v>
      </c>
      <c r="AC879" t="s">
        <v>16598</v>
      </c>
      <c r="AD879" t="s">
        <v>16599</v>
      </c>
      <c r="AE879" t="s">
        <v>16600</v>
      </c>
      <c r="AF879" t="s">
        <v>74</v>
      </c>
      <c r="AG879">
        <v>69</v>
      </c>
      <c r="AH879">
        <v>76</v>
      </c>
      <c r="AI879">
        <v>81</v>
      </c>
      <c r="AJ879">
        <v>1</v>
      </c>
      <c r="AK879">
        <v>60</v>
      </c>
      <c r="AL879" t="s">
        <v>2408</v>
      </c>
      <c r="AM879" t="s">
        <v>2409</v>
      </c>
      <c r="AN879" t="s">
        <v>2410</v>
      </c>
      <c r="AO879" t="s">
        <v>16601</v>
      </c>
      <c r="AP879" t="s">
        <v>16602</v>
      </c>
      <c r="AQ879" t="s">
        <v>74</v>
      </c>
      <c r="AR879" t="s">
        <v>16603</v>
      </c>
      <c r="AS879" t="s">
        <v>16604</v>
      </c>
      <c r="AT879" t="s">
        <v>16605</v>
      </c>
      <c r="AU879">
        <v>2016</v>
      </c>
      <c r="AV879">
        <v>120</v>
      </c>
      <c r="AW879">
        <v>12</v>
      </c>
      <c r="AX879" t="s">
        <v>74</v>
      </c>
      <c r="AY879" t="s">
        <v>74</v>
      </c>
      <c r="AZ879" t="s">
        <v>74</v>
      </c>
      <c r="BA879" t="s">
        <v>74</v>
      </c>
      <c r="BB879">
        <v>1449</v>
      </c>
      <c r="BC879">
        <v>1457</v>
      </c>
      <c r="BD879" t="s">
        <v>74</v>
      </c>
      <c r="BE879" t="s">
        <v>16606</v>
      </c>
      <c r="BF879" t="str">
        <f>HYPERLINK("http://dx.doi.org/10.1152/japplphysiol.00928.2015","http://dx.doi.org/10.1152/japplphysiol.00928.2015")</f>
        <v>http://dx.doi.org/10.1152/japplphysiol.00928.2015</v>
      </c>
      <c r="BG879" t="s">
        <v>74</v>
      </c>
      <c r="BH879" t="s">
        <v>74</v>
      </c>
      <c r="BI879">
        <v>9</v>
      </c>
      <c r="BJ879" t="s">
        <v>16607</v>
      </c>
      <c r="BK879" t="s">
        <v>102</v>
      </c>
      <c r="BL879" t="s">
        <v>16607</v>
      </c>
      <c r="BM879" t="s">
        <v>16608</v>
      </c>
      <c r="BN879">
        <v>26846554</v>
      </c>
      <c r="BO879" t="s">
        <v>258</v>
      </c>
      <c r="BP879" t="s">
        <v>74</v>
      </c>
      <c r="BQ879" t="s">
        <v>74</v>
      </c>
      <c r="BR879" t="s">
        <v>105</v>
      </c>
      <c r="BS879" t="s">
        <v>16609</v>
      </c>
      <c r="BT879" t="str">
        <f>HYPERLINK("https%3A%2F%2Fwww.webofscience.com%2Fwos%2Fwoscc%2Ffull-record%2FWOS:000378054800009","View Full Record in Web of Science")</f>
        <v>View Full Record in Web of Science</v>
      </c>
    </row>
    <row r="880" spans="1:72" x14ac:dyDescent="0.15">
      <c r="A880" t="s">
        <v>72</v>
      </c>
      <c r="B880" t="s">
        <v>16610</v>
      </c>
      <c r="C880" t="s">
        <v>74</v>
      </c>
      <c r="D880" t="s">
        <v>74</v>
      </c>
      <c r="E880" t="s">
        <v>74</v>
      </c>
      <c r="F880" t="s">
        <v>16611</v>
      </c>
      <c r="G880" t="s">
        <v>74</v>
      </c>
      <c r="H880" t="s">
        <v>1240</v>
      </c>
      <c r="I880" t="s">
        <v>16612</v>
      </c>
      <c r="J880" t="s">
        <v>900</v>
      </c>
      <c r="K880" t="s">
        <v>74</v>
      </c>
      <c r="L880" t="s">
        <v>74</v>
      </c>
      <c r="M880" t="s">
        <v>78</v>
      </c>
      <c r="N880" t="s">
        <v>79</v>
      </c>
      <c r="O880" t="s">
        <v>74</v>
      </c>
      <c r="P880" t="s">
        <v>74</v>
      </c>
      <c r="Q880" t="s">
        <v>74</v>
      </c>
      <c r="R880" t="s">
        <v>74</v>
      </c>
      <c r="S880" t="s">
        <v>74</v>
      </c>
      <c r="T880" t="s">
        <v>16613</v>
      </c>
      <c r="U880" t="s">
        <v>16614</v>
      </c>
      <c r="V880" t="s">
        <v>16615</v>
      </c>
      <c r="W880" t="s">
        <v>16616</v>
      </c>
      <c r="X880" t="s">
        <v>16617</v>
      </c>
      <c r="Y880" t="s">
        <v>16618</v>
      </c>
      <c r="Z880" t="s">
        <v>16619</v>
      </c>
      <c r="AA880" t="s">
        <v>16620</v>
      </c>
      <c r="AB880" t="s">
        <v>16621</v>
      </c>
      <c r="AC880" t="s">
        <v>16622</v>
      </c>
      <c r="AD880" t="s">
        <v>16623</v>
      </c>
      <c r="AE880" t="s">
        <v>16624</v>
      </c>
      <c r="AF880" t="s">
        <v>74</v>
      </c>
      <c r="AG880">
        <v>56</v>
      </c>
      <c r="AH880">
        <v>33</v>
      </c>
      <c r="AI880">
        <v>42</v>
      </c>
      <c r="AJ880">
        <v>0</v>
      </c>
      <c r="AK880">
        <v>37</v>
      </c>
      <c r="AL880" t="s">
        <v>92</v>
      </c>
      <c r="AM880" t="s">
        <v>93</v>
      </c>
      <c r="AN880" t="s">
        <v>94</v>
      </c>
      <c r="AO880" t="s">
        <v>913</v>
      </c>
      <c r="AP880" t="s">
        <v>914</v>
      </c>
      <c r="AQ880" t="s">
        <v>74</v>
      </c>
      <c r="AR880" t="s">
        <v>915</v>
      </c>
      <c r="AS880" t="s">
        <v>916</v>
      </c>
      <c r="AT880" t="s">
        <v>16605</v>
      </c>
      <c r="AU880">
        <v>2016</v>
      </c>
      <c r="AV880">
        <v>444</v>
      </c>
      <c r="AW880" t="s">
        <v>74</v>
      </c>
      <c r="AX880" t="s">
        <v>74</v>
      </c>
      <c r="AY880" t="s">
        <v>74</v>
      </c>
      <c r="AZ880" t="s">
        <v>74</v>
      </c>
      <c r="BA880" t="s">
        <v>74</v>
      </c>
      <c r="BB880">
        <v>56</v>
      </c>
      <c r="BC880">
        <v>63</v>
      </c>
      <c r="BD880" t="s">
        <v>74</v>
      </c>
      <c r="BE880" t="s">
        <v>16625</v>
      </c>
      <c r="BF880" t="str">
        <f>HYPERLINK("http://dx.doi.org/10.1016/j.epsl.2016.03.036","http://dx.doi.org/10.1016/j.epsl.2016.03.036")</f>
        <v>http://dx.doi.org/10.1016/j.epsl.2016.03.036</v>
      </c>
      <c r="BG880" t="s">
        <v>74</v>
      </c>
      <c r="BH880" t="s">
        <v>74</v>
      </c>
      <c r="BI880">
        <v>8</v>
      </c>
      <c r="BJ880" t="s">
        <v>155</v>
      </c>
      <c r="BK880" t="s">
        <v>156</v>
      </c>
      <c r="BL880" t="s">
        <v>155</v>
      </c>
      <c r="BM880" t="s">
        <v>16626</v>
      </c>
      <c r="BN880" t="s">
        <v>74</v>
      </c>
      <c r="BO880" t="s">
        <v>3229</v>
      </c>
      <c r="BP880" t="s">
        <v>74</v>
      </c>
      <c r="BQ880" t="s">
        <v>74</v>
      </c>
      <c r="BR880" t="s">
        <v>105</v>
      </c>
      <c r="BS880" t="s">
        <v>16627</v>
      </c>
      <c r="BT880" t="str">
        <f>HYPERLINK("https%3A%2F%2Fwww.webofscience.com%2Fwos%2Fwoscc%2Ffull-record%2FWOS:000375818800006","View Full Record in Web of Science")</f>
        <v>View Full Record in Web of Science</v>
      </c>
    </row>
    <row r="881" spans="1:72" x14ac:dyDescent="0.15">
      <c r="A881" t="s">
        <v>72</v>
      </c>
      <c r="B881" t="s">
        <v>16628</v>
      </c>
      <c r="C881" t="s">
        <v>74</v>
      </c>
      <c r="D881" t="s">
        <v>74</v>
      </c>
      <c r="E881" t="s">
        <v>74</v>
      </c>
      <c r="F881" t="s">
        <v>16629</v>
      </c>
      <c r="G881" t="s">
        <v>74</v>
      </c>
      <c r="H881" t="s">
        <v>74</v>
      </c>
      <c r="I881" t="s">
        <v>16630</v>
      </c>
      <c r="J881" t="s">
        <v>900</v>
      </c>
      <c r="K881" t="s">
        <v>74</v>
      </c>
      <c r="L881" t="s">
        <v>74</v>
      </c>
      <c r="M881" t="s">
        <v>78</v>
      </c>
      <c r="N881" t="s">
        <v>79</v>
      </c>
      <c r="O881" t="s">
        <v>74</v>
      </c>
      <c r="P881" t="s">
        <v>74</v>
      </c>
      <c r="Q881" t="s">
        <v>74</v>
      </c>
      <c r="R881" t="s">
        <v>74</v>
      </c>
      <c r="S881" t="s">
        <v>74</v>
      </c>
      <c r="T881" t="s">
        <v>16631</v>
      </c>
      <c r="U881" t="s">
        <v>16632</v>
      </c>
      <c r="V881" t="s">
        <v>16633</v>
      </c>
      <c r="W881" t="s">
        <v>16634</v>
      </c>
      <c r="X881" t="s">
        <v>16635</v>
      </c>
      <c r="Y881" t="s">
        <v>16636</v>
      </c>
      <c r="Z881" t="s">
        <v>16637</v>
      </c>
      <c r="AA881" t="s">
        <v>16638</v>
      </c>
      <c r="AB881" t="s">
        <v>16639</v>
      </c>
      <c r="AC881" t="s">
        <v>16640</v>
      </c>
      <c r="AD881" t="s">
        <v>16641</v>
      </c>
      <c r="AE881" t="s">
        <v>16642</v>
      </c>
      <c r="AF881" t="s">
        <v>74</v>
      </c>
      <c r="AG881">
        <v>87</v>
      </c>
      <c r="AH881">
        <v>87</v>
      </c>
      <c r="AI881">
        <v>101</v>
      </c>
      <c r="AJ881">
        <v>12</v>
      </c>
      <c r="AK881">
        <v>167</v>
      </c>
      <c r="AL881" t="s">
        <v>196</v>
      </c>
      <c r="AM881" t="s">
        <v>93</v>
      </c>
      <c r="AN881" t="s">
        <v>197</v>
      </c>
      <c r="AO881" t="s">
        <v>913</v>
      </c>
      <c r="AP881" t="s">
        <v>914</v>
      </c>
      <c r="AQ881" t="s">
        <v>74</v>
      </c>
      <c r="AR881" t="s">
        <v>915</v>
      </c>
      <c r="AS881" t="s">
        <v>916</v>
      </c>
      <c r="AT881" t="s">
        <v>16605</v>
      </c>
      <c r="AU881">
        <v>2016</v>
      </c>
      <c r="AV881">
        <v>444</v>
      </c>
      <c r="AW881" t="s">
        <v>74</v>
      </c>
      <c r="AX881" t="s">
        <v>74</v>
      </c>
      <c r="AY881" t="s">
        <v>74</v>
      </c>
      <c r="AZ881" t="s">
        <v>74</v>
      </c>
      <c r="BA881" t="s">
        <v>74</v>
      </c>
      <c r="BB881">
        <v>75</v>
      </c>
      <c r="BC881">
        <v>87</v>
      </c>
      <c r="BD881" t="s">
        <v>74</v>
      </c>
      <c r="BE881" t="s">
        <v>16643</v>
      </c>
      <c r="BF881" t="str">
        <f>HYPERLINK("http://dx.doi.org/10.1016/j.epsl.2016.03.028","http://dx.doi.org/10.1016/j.epsl.2016.03.028")</f>
        <v>http://dx.doi.org/10.1016/j.epsl.2016.03.028</v>
      </c>
      <c r="BG881" t="s">
        <v>74</v>
      </c>
      <c r="BH881" t="s">
        <v>74</v>
      </c>
      <c r="BI881">
        <v>13</v>
      </c>
      <c r="BJ881" t="s">
        <v>155</v>
      </c>
      <c r="BK881" t="s">
        <v>156</v>
      </c>
      <c r="BL881" t="s">
        <v>155</v>
      </c>
      <c r="BM881" t="s">
        <v>16626</v>
      </c>
      <c r="BN881" t="s">
        <v>74</v>
      </c>
      <c r="BO881" t="s">
        <v>8268</v>
      </c>
      <c r="BP881" t="s">
        <v>74</v>
      </c>
      <c r="BQ881" t="s">
        <v>74</v>
      </c>
      <c r="BR881" t="s">
        <v>105</v>
      </c>
      <c r="BS881" t="s">
        <v>16644</v>
      </c>
      <c r="BT881" t="str">
        <f>HYPERLINK("https%3A%2F%2Fwww.webofscience.com%2Fwos%2Fwoscc%2Ffull-record%2FWOS:000375818800008","View Full Record in Web of Science")</f>
        <v>View Full Record in Web of Science</v>
      </c>
    </row>
    <row r="882" spans="1:72" x14ac:dyDescent="0.15">
      <c r="A882" t="s">
        <v>72</v>
      </c>
      <c r="B882" t="s">
        <v>16645</v>
      </c>
      <c r="C882" t="s">
        <v>74</v>
      </c>
      <c r="D882" t="s">
        <v>74</v>
      </c>
      <c r="E882" t="s">
        <v>74</v>
      </c>
      <c r="F882" t="s">
        <v>16646</v>
      </c>
      <c r="G882" t="s">
        <v>74</v>
      </c>
      <c r="H882" t="s">
        <v>74</v>
      </c>
      <c r="I882" t="s">
        <v>16647</v>
      </c>
      <c r="J882" t="s">
        <v>876</v>
      </c>
      <c r="K882" t="s">
        <v>74</v>
      </c>
      <c r="L882" t="s">
        <v>74</v>
      </c>
      <c r="M882" t="s">
        <v>78</v>
      </c>
      <c r="N882" t="s">
        <v>79</v>
      </c>
      <c r="O882" t="s">
        <v>74</v>
      </c>
      <c r="P882" t="s">
        <v>74</v>
      </c>
      <c r="Q882" t="s">
        <v>74</v>
      </c>
      <c r="R882" t="s">
        <v>74</v>
      </c>
      <c r="S882" t="s">
        <v>74</v>
      </c>
      <c r="T882" t="s">
        <v>16648</v>
      </c>
      <c r="U882" t="s">
        <v>16649</v>
      </c>
      <c r="V882" t="s">
        <v>16650</v>
      </c>
      <c r="W882" t="s">
        <v>16651</v>
      </c>
      <c r="X882" t="s">
        <v>16652</v>
      </c>
      <c r="Y882" t="s">
        <v>16653</v>
      </c>
      <c r="Z882" t="s">
        <v>16654</v>
      </c>
      <c r="AA882" t="s">
        <v>16655</v>
      </c>
      <c r="AB882" t="s">
        <v>16656</v>
      </c>
      <c r="AC882" t="s">
        <v>16657</v>
      </c>
      <c r="AD882" t="s">
        <v>16658</v>
      </c>
      <c r="AE882" t="s">
        <v>16659</v>
      </c>
      <c r="AF882" t="s">
        <v>74</v>
      </c>
      <c r="AG882">
        <v>72</v>
      </c>
      <c r="AH882">
        <v>17</v>
      </c>
      <c r="AI882">
        <v>20</v>
      </c>
      <c r="AJ882">
        <v>4</v>
      </c>
      <c r="AK882">
        <v>121</v>
      </c>
      <c r="AL882" t="s">
        <v>303</v>
      </c>
      <c r="AM882" t="s">
        <v>304</v>
      </c>
      <c r="AN882" t="s">
        <v>305</v>
      </c>
      <c r="AO882" t="s">
        <v>889</v>
      </c>
      <c r="AP882" t="s">
        <v>890</v>
      </c>
      <c r="AQ882" t="s">
        <v>74</v>
      </c>
      <c r="AR882" t="s">
        <v>891</v>
      </c>
      <c r="AS882" t="s">
        <v>892</v>
      </c>
      <c r="AT882" t="s">
        <v>16605</v>
      </c>
      <c r="AU882">
        <v>2016</v>
      </c>
      <c r="AV882">
        <v>183</v>
      </c>
      <c r="AW882" t="s">
        <v>74</v>
      </c>
      <c r="AX882" t="s">
        <v>74</v>
      </c>
      <c r="AY882" t="s">
        <v>74</v>
      </c>
      <c r="AZ882" t="s">
        <v>74</v>
      </c>
      <c r="BA882" t="s">
        <v>74</v>
      </c>
      <c r="BB882">
        <v>63</v>
      </c>
      <c r="BC882">
        <v>78</v>
      </c>
      <c r="BD882" t="s">
        <v>74</v>
      </c>
      <c r="BE882" t="s">
        <v>16660</v>
      </c>
      <c r="BF882" t="str">
        <f>HYPERLINK("http://dx.doi.org/10.1016/j.gca.2016.03.023","http://dx.doi.org/10.1016/j.gca.2016.03.023")</f>
        <v>http://dx.doi.org/10.1016/j.gca.2016.03.023</v>
      </c>
      <c r="BG882" t="s">
        <v>74</v>
      </c>
      <c r="BH882" t="s">
        <v>74</v>
      </c>
      <c r="BI882">
        <v>16</v>
      </c>
      <c r="BJ882" t="s">
        <v>155</v>
      </c>
      <c r="BK882" t="s">
        <v>156</v>
      </c>
      <c r="BL882" t="s">
        <v>155</v>
      </c>
      <c r="BM882" t="s">
        <v>16661</v>
      </c>
      <c r="BN882" t="s">
        <v>74</v>
      </c>
      <c r="BO882" t="s">
        <v>74</v>
      </c>
      <c r="BP882" t="s">
        <v>74</v>
      </c>
      <c r="BQ882" t="s">
        <v>74</v>
      </c>
      <c r="BR882" t="s">
        <v>105</v>
      </c>
      <c r="BS882" t="s">
        <v>16662</v>
      </c>
      <c r="BT882" t="str">
        <f>HYPERLINK("https%3A%2F%2Fwww.webofscience.com%2Fwos%2Fwoscc%2Ffull-record%2FWOS:000376168000005","View Full Record in Web of Science")</f>
        <v>View Full Record in Web of Science</v>
      </c>
    </row>
    <row r="883" spans="1:72" x14ac:dyDescent="0.15">
      <c r="A883" t="s">
        <v>72</v>
      </c>
      <c r="B883" t="s">
        <v>16663</v>
      </c>
      <c r="C883" t="s">
        <v>74</v>
      </c>
      <c r="D883" t="s">
        <v>74</v>
      </c>
      <c r="E883" t="s">
        <v>74</v>
      </c>
      <c r="F883" t="s">
        <v>16664</v>
      </c>
      <c r="G883" t="s">
        <v>74</v>
      </c>
      <c r="H883" t="s">
        <v>74</v>
      </c>
      <c r="I883" t="s">
        <v>16665</v>
      </c>
      <c r="J883" t="s">
        <v>14473</v>
      </c>
      <c r="K883" t="s">
        <v>74</v>
      </c>
      <c r="L883" t="s">
        <v>74</v>
      </c>
      <c r="M883" t="s">
        <v>78</v>
      </c>
      <c r="N883" t="s">
        <v>79</v>
      </c>
      <c r="O883" t="s">
        <v>74</v>
      </c>
      <c r="P883" t="s">
        <v>74</v>
      </c>
      <c r="Q883" t="s">
        <v>74</v>
      </c>
      <c r="R883" t="s">
        <v>74</v>
      </c>
      <c r="S883" t="s">
        <v>74</v>
      </c>
      <c r="T883" t="s">
        <v>16666</v>
      </c>
      <c r="U883" t="s">
        <v>16667</v>
      </c>
      <c r="V883" t="s">
        <v>16668</v>
      </c>
      <c r="W883" t="s">
        <v>16669</v>
      </c>
      <c r="X883" t="s">
        <v>16670</v>
      </c>
      <c r="Y883" t="s">
        <v>16671</v>
      </c>
      <c r="Z883" t="s">
        <v>16672</v>
      </c>
      <c r="AA883" t="s">
        <v>74</v>
      </c>
      <c r="AB883" t="s">
        <v>16673</v>
      </c>
      <c r="AC883" t="s">
        <v>16674</v>
      </c>
      <c r="AD883" t="s">
        <v>16675</v>
      </c>
      <c r="AE883" t="s">
        <v>16676</v>
      </c>
      <c r="AF883" t="s">
        <v>74</v>
      </c>
      <c r="AG883">
        <v>81</v>
      </c>
      <c r="AH883">
        <v>32</v>
      </c>
      <c r="AI883">
        <v>35</v>
      </c>
      <c r="AJ883">
        <v>2</v>
      </c>
      <c r="AK883">
        <v>26</v>
      </c>
      <c r="AL883" t="s">
        <v>14508</v>
      </c>
      <c r="AM883" t="s">
        <v>2026</v>
      </c>
      <c r="AN883" t="s">
        <v>14509</v>
      </c>
      <c r="AO883" t="s">
        <v>14488</v>
      </c>
      <c r="AP883" t="s">
        <v>14489</v>
      </c>
      <c r="AQ883" t="s">
        <v>74</v>
      </c>
      <c r="AR883" t="s">
        <v>14490</v>
      </c>
      <c r="AS883" t="s">
        <v>14491</v>
      </c>
      <c r="AT883" t="s">
        <v>16605</v>
      </c>
      <c r="AU883">
        <v>2016</v>
      </c>
      <c r="AV883">
        <v>219</v>
      </c>
      <c r="AW883">
        <v>12</v>
      </c>
      <c r="AX883" t="s">
        <v>74</v>
      </c>
      <c r="AY883" t="s">
        <v>74</v>
      </c>
      <c r="AZ883" t="s">
        <v>74</v>
      </c>
      <c r="BA883" t="s">
        <v>74</v>
      </c>
      <c r="BB883">
        <v>1808</v>
      </c>
      <c r="BC883">
        <v>1819</v>
      </c>
      <c r="BD883" t="s">
        <v>74</v>
      </c>
      <c r="BE883" t="s">
        <v>16677</v>
      </c>
      <c r="BF883" t="str">
        <f>HYPERLINK("http://dx.doi.org/10.1242/jeb.137315","http://dx.doi.org/10.1242/jeb.137315")</f>
        <v>http://dx.doi.org/10.1242/jeb.137315</v>
      </c>
      <c r="BG883" t="s">
        <v>74</v>
      </c>
      <c r="BH883" t="s">
        <v>74</v>
      </c>
      <c r="BI883">
        <v>12</v>
      </c>
      <c r="BJ883" t="s">
        <v>2614</v>
      </c>
      <c r="BK883" t="s">
        <v>156</v>
      </c>
      <c r="BL883" t="s">
        <v>2615</v>
      </c>
      <c r="BM883" t="s">
        <v>16678</v>
      </c>
      <c r="BN883">
        <v>27307540</v>
      </c>
      <c r="BO883" t="s">
        <v>258</v>
      </c>
      <c r="BP883" t="s">
        <v>74</v>
      </c>
      <c r="BQ883" t="s">
        <v>74</v>
      </c>
      <c r="BR883" t="s">
        <v>105</v>
      </c>
      <c r="BS883" t="s">
        <v>16679</v>
      </c>
      <c r="BT883" t="str">
        <f>HYPERLINK("https%3A%2F%2Fwww.webofscience.com%2Fwos%2Fwoscc%2Ffull-record%2FWOS:000378097500010","View Full Record in Web of Science")</f>
        <v>View Full Record in Web of Science</v>
      </c>
    </row>
    <row r="884" spans="1:72" x14ac:dyDescent="0.15">
      <c r="A884" t="s">
        <v>72</v>
      </c>
      <c r="B884" t="s">
        <v>16680</v>
      </c>
      <c r="C884" t="s">
        <v>74</v>
      </c>
      <c r="D884" t="s">
        <v>74</v>
      </c>
      <c r="E884" t="s">
        <v>74</v>
      </c>
      <c r="F884" t="s">
        <v>16681</v>
      </c>
      <c r="G884" t="s">
        <v>74</v>
      </c>
      <c r="H884" t="s">
        <v>74</v>
      </c>
      <c r="I884" t="s">
        <v>16682</v>
      </c>
      <c r="J884" t="s">
        <v>1714</v>
      </c>
      <c r="K884" t="s">
        <v>74</v>
      </c>
      <c r="L884" t="s">
        <v>74</v>
      </c>
      <c r="M884" t="s">
        <v>78</v>
      </c>
      <c r="N884" t="s">
        <v>317</v>
      </c>
      <c r="O884" t="s">
        <v>74</v>
      </c>
      <c r="P884" t="s">
        <v>74</v>
      </c>
      <c r="Q884" t="s">
        <v>74</v>
      </c>
      <c r="R884" t="s">
        <v>74</v>
      </c>
      <c r="S884" t="s">
        <v>74</v>
      </c>
      <c r="T884" t="s">
        <v>16683</v>
      </c>
      <c r="U884" t="s">
        <v>16684</v>
      </c>
      <c r="V884" t="s">
        <v>16685</v>
      </c>
      <c r="W884" t="s">
        <v>16686</v>
      </c>
      <c r="X884" t="s">
        <v>3254</v>
      </c>
      <c r="Y884" t="s">
        <v>16687</v>
      </c>
      <c r="Z884" t="s">
        <v>11101</v>
      </c>
      <c r="AA884" t="s">
        <v>16688</v>
      </c>
      <c r="AB884" t="s">
        <v>16689</v>
      </c>
      <c r="AC884" t="s">
        <v>74</v>
      </c>
      <c r="AD884" t="s">
        <v>74</v>
      </c>
      <c r="AE884" t="s">
        <v>74</v>
      </c>
      <c r="AF884" t="s">
        <v>74</v>
      </c>
      <c r="AG884">
        <v>57</v>
      </c>
      <c r="AH884">
        <v>100</v>
      </c>
      <c r="AI884">
        <v>111</v>
      </c>
      <c r="AJ884">
        <v>3</v>
      </c>
      <c r="AK884">
        <v>233</v>
      </c>
      <c r="AL884" t="s">
        <v>303</v>
      </c>
      <c r="AM884" t="s">
        <v>304</v>
      </c>
      <c r="AN884" t="s">
        <v>305</v>
      </c>
      <c r="AO884" t="s">
        <v>1716</v>
      </c>
      <c r="AP884" t="s">
        <v>1717</v>
      </c>
      <c r="AQ884" t="s">
        <v>74</v>
      </c>
      <c r="AR884" t="s">
        <v>1718</v>
      </c>
      <c r="AS884" t="s">
        <v>1719</v>
      </c>
      <c r="AT884" t="s">
        <v>16605</v>
      </c>
      <c r="AU884">
        <v>2016</v>
      </c>
      <c r="AV884">
        <v>107</v>
      </c>
      <c r="AW884">
        <v>1</v>
      </c>
      <c r="AX884" t="s">
        <v>74</v>
      </c>
      <c r="AY884" t="s">
        <v>74</v>
      </c>
      <c r="AZ884" t="s">
        <v>74</v>
      </c>
      <c r="BA884" t="s">
        <v>74</v>
      </c>
      <c r="BB884">
        <v>286</v>
      </c>
      <c r="BC884">
        <v>291</v>
      </c>
      <c r="BD884" t="s">
        <v>74</v>
      </c>
      <c r="BE884" t="s">
        <v>16690</v>
      </c>
      <c r="BF884" t="str">
        <f>HYPERLINK("http://dx.doi.org/10.1016/j.marpolbul.2016.03.057","http://dx.doi.org/10.1016/j.marpolbul.2016.03.057")</f>
        <v>http://dx.doi.org/10.1016/j.marpolbul.2016.03.057</v>
      </c>
      <c r="BG884" t="s">
        <v>74</v>
      </c>
      <c r="BH884" t="s">
        <v>74</v>
      </c>
      <c r="BI884">
        <v>6</v>
      </c>
      <c r="BJ884" t="s">
        <v>1721</v>
      </c>
      <c r="BK884" t="s">
        <v>156</v>
      </c>
      <c r="BL884" t="s">
        <v>694</v>
      </c>
      <c r="BM884" t="s">
        <v>16691</v>
      </c>
      <c r="BN884">
        <v>27058965</v>
      </c>
      <c r="BO884" t="s">
        <v>74</v>
      </c>
      <c r="BP884" t="s">
        <v>74</v>
      </c>
      <c r="BQ884" t="s">
        <v>74</v>
      </c>
      <c r="BR884" t="s">
        <v>105</v>
      </c>
      <c r="BS884" t="s">
        <v>16692</v>
      </c>
      <c r="BT884" t="str">
        <f>HYPERLINK("https%3A%2F%2Fwww.webofscience.com%2Fwos%2Fwoscc%2Ffull-record%2FWOS:000377726700047","View Full Record in Web of Science")</f>
        <v>View Full Record in Web of Science</v>
      </c>
    </row>
    <row r="885" spans="1:72" x14ac:dyDescent="0.15">
      <c r="A885" t="s">
        <v>72</v>
      </c>
      <c r="B885" t="s">
        <v>16693</v>
      </c>
      <c r="C885" t="s">
        <v>74</v>
      </c>
      <c r="D885" t="s">
        <v>74</v>
      </c>
      <c r="E885" t="s">
        <v>74</v>
      </c>
      <c r="F885" t="s">
        <v>16694</v>
      </c>
      <c r="G885" t="s">
        <v>74</v>
      </c>
      <c r="H885" t="s">
        <v>74</v>
      </c>
      <c r="I885" t="s">
        <v>16695</v>
      </c>
      <c r="J885" t="s">
        <v>1072</v>
      </c>
      <c r="K885" t="s">
        <v>74</v>
      </c>
      <c r="L885" t="s">
        <v>74</v>
      </c>
      <c r="M885" t="s">
        <v>78</v>
      </c>
      <c r="N885" t="s">
        <v>79</v>
      </c>
      <c r="O885" t="s">
        <v>74</v>
      </c>
      <c r="P885" t="s">
        <v>74</v>
      </c>
      <c r="Q885" t="s">
        <v>74</v>
      </c>
      <c r="R885" t="s">
        <v>74</v>
      </c>
      <c r="S885" t="s">
        <v>74</v>
      </c>
      <c r="T885" t="s">
        <v>74</v>
      </c>
      <c r="U885" t="s">
        <v>16696</v>
      </c>
      <c r="V885" t="s">
        <v>16697</v>
      </c>
      <c r="W885" t="s">
        <v>16698</v>
      </c>
      <c r="X885" t="s">
        <v>16699</v>
      </c>
      <c r="Y885" t="s">
        <v>16700</v>
      </c>
      <c r="Z885" t="s">
        <v>11774</v>
      </c>
      <c r="AA885" t="s">
        <v>16701</v>
      </c>
      <c r="AB885" t="s">
        <v>16702</v>
      </c>
      <c r="AC885" t="s">
        <v>16703</v>
      </c>
      <c r="AD885" t="s">
        <v>16704</v>
      </c>
      <c r="AE885" t="s">
        <v>16705</v>
      </c>
      <c r="AF885" t="s">
        <v>74</v>
      </c>
      <c r="AG885">
        <v>34</v>
      </c>
      <c r="AH885">
        <v>11</v>
      </c>
      <c r="AI885">
        <v>15</v>
      </c>
      <c r="AJ885">
        <v>0</v>
      </c>
      <c r="AK885">
        <v>15</v>
      </c>
      <c r="AL885" t="s">
        <v>1074</v>
      </c>
      <c r="AM885" t="s">
        <v>1075</v>
      </c>
      <c r="AN885" t="s">
        <v>1076</v>
      </c>
      <c r="AO885" t="s">
        <v>1077</v>
      </c>
      <c r="AP885" t="s">
        <v>74</v>
      </c>
      <c r="AQ885" t="s">
        <v>74</v>
      </c>
      <c r="AR885" t="s">
        <v>1072</v>
      </c>
      <c r="AS885" t="s">
        <v>1078</v>
      </c>
      <c r="AT885" t="s">
        <v>16605</v>
      </c>
      <c r="AU885">
        <v>2016</v>
      </c>
      <c r="AV885">
        <v>11</v>
      </c>
      <c r="AW885">
        <v>6</v>
      </c>
      <c r="AX885" t="s">
        <v>74</v>
      </c>
      <c r="AY885" t="s">
        <v>74</v>
      </c>
      <c r="AZ885" t="s">
        <v>74</v>
      </c>
      <c r="BA885" t="s">
        <v>74</v>
      </c>
      <c r="BB885" t="s">
        <v>74</v>
      </c>
      <c r="BC885" t="s">
        <v>74</v>
      </c>
      <c r="BD885" t="s">
        <v>16706</v>
      </c>
      <c r="BE885" t="s">
        <v>16707</v>
      </c>
      <c r="BF885" t="str">
        <f>HYPERLINK("http://dx.doi.org/10.1371/journal.pone.0157394","http://dx.doi.org/10.1371/journal.pone.0157394")</f>
        <v>http://dx.doi.org/10.1371/journal.pone.0157394</v>
      </c>
      <c r="BG885" t="s">
        <v>74</v>
      </c>
      <c r="BH885" t="s">
        <v>74</v>
      </c>
      <c r="BI885">
        <v>11</v>
      </c>
      <c r="BJ885" t="s">
        <v>719</v>
      </c>
      <c r="BK885" t="s">
        <v>156</v>
      </c>
      <c r="BL885" t="s">
        <v>720</v>
      </c>
      <c r="BM885" t="s">
        <v>16708</v>
      </c>
      <c r="BN885">
        <v>27304855</v>
      </c>
      <c r="BO885" t="s">
        <v>4322</v>
      </c>
      <c r="BP885" t="s">
        <v>74</v>
      </c>
      <c r="BQ885" t="s">
        <v>74</v>
      </c>
      <c r="BR885" t="s">
        <v>105</v>
      </c>
      <c r="BS885" t="s">
        <v>16709</v>
      </c>
      <c r="BT885" t="str">
        <f>HYPERLINK("https%3A%2F%2Fwww.webofscience.com%2Fwos%2Fwoscc%2Ffull-record%2FWOS:000377824800057","View Full Record in Web of Science")</f>
        <v>View Full Record in Web of Science</v>
      </c>
    </row>
    <row r="886" spans="1:72" x14ac:dyDescent="0.15">
      <c r="A886" t="s">
        <v>72</v>
      </c>
      <c r="B886" t="s">
        <v>16710</v>
      </c>
      <c r="C886" t="s">
        <v>74</v>
      </c>
      <c r="D886" t="s">
        <v>74</v>
      </c>
      <c r="E886" t="s">
        <v>74</v>
      </c>
      <c r="F886" t="s">
        <v>16711</v>
      </c>
      <c r="G886" t="s">
        <v>74</v>
      </c>
      <c r="H886" t="s">
        <v>74</v>
      </c>
      <c r="I886" t="s">
        <v>16712</v>
      </c>
      <c r="J886" t="s">
        <v>900</v>
      </c>
      <c r="K886" t="s">
        <v>74</v>
      </c>
      <c r="L886" t="s">
        <v>74</v>
      </c>
      <c r="M886" t="s">
        <v>78</v>
      </c>
      <c r="N886" t="s">
        <v>79</v>
      </c>
      <c r="O886" t="s">
        <v>74</v>
      </c>
      <c r="P886" t="s">
        <v>74</v>
      </c>
      <c r="Q886" t="s">
        <v>74</v>
      </c>
      <c r="R886" t="s">
        <v>74</v>
      </c>
      <c r="S886" t="s">
        <v>74</v>
      </c>
      <c r="T886" t="s">
        <v>16713</v>
      </c>
      <c r="U886" t="s">
        <v>16714</v>
      </c>
      <c r="V886" t="s">
        <v>16715</v>
      </c>
      <c r="W886" t="s">
        <v>16716</v>
      </c>
      <c r="X886" t="s">
        <v>16717</v>
      </c>
      <c r="Y886" t="s">
        <v>16718</v>
      </c>
      <c r="Z886" t="s">
        <v>16719</v>
      </c>
      <c r="AA886" t="s">
        <v>16720</v>
      </c>
      <c r="AB886" t="s">
        <v>16721</v>
      </c>
      <c r="AC886" t="s">
        <v>16722</v>
      </c>
      <c r="AD886" t="s">
        <v>16723</v>
      </c>
      <c r="AE886" t="s">
        <v>16724</v>
      </c>
      <c r="AF886" t="s">
        <v>74</v>
      </c>
      <c r="AG886">
        <v>65</v>
      </c>
      <c r="AH886">
        <v>23</v>
      </c>
      <c r="AI886">
        <v>26</v>
      </c>
      <c r="AJ886">
        <v>3</v>
      </c>
      <c r="AK886">
        <v>50</v>
      </c>
      <c r="AL886" t="s">
        <v>196</v>
      </c>
      <c r="AM886" t="s">
        <v>93</v>
      </c>
      <c r="AN886" t="s">
        <v>197</v>
      </c>
      <c r="AO886" t="s">
        <v>913</v>
      </c>
      <c r="AP886" t="s">
        <v>914</v>
      </c>
      <c r="AQ886" t="s">
        <v>74</v>
      </c>
      <c r="AR886" t="s">
        <v>915</v>
      </c>
      <c r="AS886" t="s">
        <v>916</v>
      </c>
      <c r="AT886" t="s">
        <v>16605</v>
      </c>
      <c r="AU886">
        <v>2016</v>
      </c>
      <c r="AV886">
        <v>444</v>
      </c>
      <c r="AW886" t="s">
        <v>74</v>
      </c>
      <c r="AX886" t="s">
        <v>74</v>
      </c>
      <c r="AY886" t="s">
        <v>74</v>
      </c>
      <c r="AZ886" t="s">
        <v>74</v>
      </c>
      <c r="BA886" t="s">
        <v>74</v>
      </c>
      <c r="BB886">
        <v>34</v>
      </c>
      <c r="BC886">
        <v>44</v>
      </c>
      <c r="BD886" t="s">
        <v>74</v>
      </c>
      <c r="BE886" t="s">
        <v>16725</v>
      </c>
      <c r="BF886" t="str">
        <f>HYPERLINK("http://dx.doi.org/10.1016/j.epsl.2016.03.035","http://dx.doi.org/10.1016/j.epsl.2016.03.035")</f>
        <v>http://dx.doi.org/10.1016/j.epsl.2016.03.035</v>
      </c>
      <c r="BG886" t="s">
        <v>74</v>
      </c>
      <c r="BH886" t="s">
        <v>74</v>
      </c>
      <c r="BI886">
        <v>11</v>
      </c>
      <c r="BJ886" t="s">
        <v>155</v>
      </c>
      <c r="BK886" t="s">
        <v>156</v>
      </c>
      <c r="BL886" t="s">
        <v>155</v>
      </c>
      <c r="BM886" t="s">
        <v>16626</v>
      </c>
      <c r="BN886" t="s">
        <v>74</v>
      </c>
      <c r="BO886" t="s">
        <v>104</v>
      </c>
      <c r="BP886" t="s">
        <v>74</v>
      </c>
      <c r="BQ886" t="s">
        <v>74</v>
      </c>
      <c r="BR886" t="s">
        <v>105</v>
      </c>
      <c r="BS886" t="s">
        <v>16726</v>
      </c>
      <c r="BT886" t="str">
        <f>HYPERLINK("https%3A%2F%2Fwww.webofscience.com%2Fwos%2Fwoscc%2Ffull-record%2FWOS:000375818800004","View Full Record in Web of Science")</f>
        <v>View Full Record in Web of Science</v>
      </c>
    </row>
    <row r="887" spans="1:72" x14ac:dyDescent="0.15">
      <c r="A887" t="s">
        <v>72</v>
      </c>
      <c r="B887" t="s">
        <v>16727</v>
      </c>
      <c r="C887" t="s">
        <v>74</v>
      </c>
      <c r="D887" t="s">
        <v>74</v>
      </c>
      <c r="E887" t="s">
        <v>74</v>
      </c>
      <c r="F887" t="s">
        <v>16728</v>
      </c>
      <c r="G887" t="s">
        <v>74</v>
      </c>
      <c r="H887" t="s">
        <v>74</v>
      </c>
      <c r="I887" t="s">
        <v>16729</v>
      </c>
      <c r="J887" t="s">
        <v>1586</v>
      </c>
      <c r="K887" t="s">
        <v>74</v>
      </c>
      <c r="L887" t="s">
        <v>74</v>
      </c>
      <c r="M887" t="s">
        <v>78</v>
      </c>
      <c r="N887" t="s">
        <v>79</v>
      </c>
      <c r="O887" t="s">
        <v>74</v>
      </c>
      <c r="P887" t="s">
        <v>74</v>
      </c>
      <c r="Q887" t="s">
        <v>74</v>
      </c>
      <c r="R887" t="s">
        <v>74</v>
      </c>
      <c r="S887" t="s">
        <v>74</v>
      </c>
      <c r="T887" t="s">
        <v>16730</v>
      </c>
      <c r="U887" t="s">
        <v>16731</v>
      </c>
      <c r="V887" t="s">
        <v>16732</v>
      </c>
      <c r="W887" t="s">
        <v>16733</v>
      </c>
      <c r="X887" t="s">
        <v>16734</v>
      </c>
      <c r="Y887" t="s">
        <v>16735</v>
      </c>
      <c r="Z887" t="s">
        <v>16736</v>
      </c>
      <c r="AA887" t="s">
        <v>74</v>
      </c>
      <c r="AB887" t="s">
        <v>74</v>
      </c>
      <c r="AC887" t="s">
        <v>16737</v>
      </c>
      <c r="AD887" t="s">
        <v>16738</v>
      </c>
      <c r="AE887" t="s">
        <v>16739</v>
      </c>
      <c r="AF887" t="s">
        <v>74</v>
      </c>
      <c r="AG887">
        <v>55</v>
      </c>
      <c r="AH887">
        <v>78</v>
      </c>
      <c r="AI887">
        <v>82</v>
      </c>
      <c r="AJ887">
        <v>1</v>
      </c>
      <c r="AK887">
        <v>55</v>
      </c>
      <c r="AL887" t="s">
        <v>1599</v>
      </c>
      <c r="AM887" t="s">
        <v>123</v>
      </c>
      <c r="AN887" t="s">
        <v>1600</v>
      </c>
      <c r="AO887" t="s">
        <v>1601</v>
      </c>
      <c r="AP887" t="s">
        <v>74</v>
      </c>
      <c r="AQ887" t="s">
        <v>74</v>
      </c>
      <c r="AR887" t="s">
        <v>1602</v>
      </c>
      <c r="AS887" t="s">
        <v>1603</v>
      </c>
      <c r="AT887" t="s">
        <v>16740</v>
      </c>
      <c r="AU887">
        <v>2016</v>
      </c>
      <c r="AV887">
        <v>113</v>
      </c>
      <c r="AW887">
        <v>24</v>
      </c>
      <c r="AX887" t="s">
        <v>74</v>
      </c>
      <c r="AY887" t="s">
        <v>74</v>
      </c>
      <c r="AZ887" t="s">
        <v>74</v>
      </c>
      <c r="BA887" t="s">
        <v>74</v>
      </c>
      <c r="BB887" t="s">
        <v>16741</v>
      </c>
      <c r="BC887" t="s">
        <v>16742</v>
      </c>
      <c r="BD887" t="s">
        <v>74</v>
      </c>
      <c r="BE887" t="s">
        <v>16743</v>
      </c>
      <c r="BF887" t="str">
        <f>HYPERLINK("http://dx.doi.org/10.1073/pnas.1603030113","http://dx.doi.org/10.1073/pnas.1603030113")</f>
        <v>http://dx.doi.org/10.1073/pnas.1603030113</v>
      </c>
      <c r="BG887" t="s">
        <v>74</v>
      </c>
      <c r="BH887" t="s">
        <v>74</v>
      </c>
      <c r="BI887">
        <v>10</v>
      </c>
      <c r="BJ887" t="s">
        <v>719</v>
      </c>
      <c r="BK887" t="s">
        <v>156</v>
      </c>
      <c r="BL887" t="s">
        <v>720</v>
      </c>
      <c r="BM887" t="s">
        <v>16744</v>
      </c>
      <c r="BN887">
        <v>27247410</v>
      </c>
      <c r="BO887" t="s">
        <v>1142</v>
      </c>
      <c r="BP887" t="s">
        <v>74</v>
      </c>
      <c r="BQ887" t="s">
        <v>74</v>
      </c>
      <c r="BR887" t="s">
        <v>105</v>
      </c>
      <c r="BS887" t="s">
        <v>16745</v>
      </c>
      <c r="BT887" t="str">
        <f>HYPERLINK("https%3A%2F%2Fwww.webofscience.com%2Fwos%2Fwoscc%2Ffull-record%2FWOS:000377948800005","View Full Record in Web of Science")</f>
        <v>View Full Record in Web of Science</v>
      </c>
    </row>
    <row r="888" spans="1:72" x14ac:dyDescent="0.15">
      <c r="A888" t="s">
        <v>72</v>
      </c>
      <c r="B888" t="s">
        <v>16746</v>
      </c>
      <c r="C888" t="s">
        <v>74</v>
      </c>
      <c r="D888" t="s">
        <v>74</v>
      </c>
      <c r="E888" t="s">
        <v>74</v>
      </c>
      <c r="F888" t="s">
        <v>16747</v>
      </c>
      <c r="G888" t="s">
        <v>74</v>
      </c>
      <c r="H888" t="s">
        <v>74</v>
      </c>
      <c r="I888" t="s">
        <v>16748</v>
      </c>
      <c r="J888" t="s">
        <v>16749</v>
      </c>
      <c r="K888" t="s">
        <v>74</v>
      </c>
      <c r="L888" t="s">
        <v>74</v>
      </c>
      <c r="M888" t="s">
        <v>78</v>
      </c>
      <c r="N888" t="s">
        <v>79</v>
      </c>
      <c r="O888" t="s">
        <v>74</v>
      </c>
      <c r="P888" t="s">
        <v>74</v>
      </c>
      <c r="Q888" t="s">
        <v>74</v>
      </c>
      <c r="R888" t="s">
        <v>74</v>
      </c>
      <c r="S888" t="s">
        <v>74</v>
      </c>
      <c r="T888" t="s">
        <v>74</v>
      </c>
      <c r="U888" t="s">
        <v>16750</v>
      </c>
      <c r="V888" t="s">
        <v>16751</v>
      </c>
      <c r="W888" t="s">
        <v>16752</v>
      </c>
      <c r="X888" t="s">
        <v>16753</v>
      </c>
      <c r="Y888" t="s">
        <v>16754</v>
      </c>
      <c r="Z888" t="s">
        <v>16755</v>
      </c>
      <c r="AA888" t="s">
        <v>16756</v>
      </c>
      <c r="AB888" t="s">
        <v>16757</v>
      </c>
      <c r="AC888" t="s">
        <v>16758</v>
      </c>
      <c r="AD888" t="s">
        <v>16759</v>
      </c>
      <c r="AE888" t="s">
        <v>16760</v>
      </c>
      <c r="AF888" t="s">
        <v>74</v>
      </c>
      <c r="AG888">
        <v>59</v>
      </c>
      <c r="AH888">
        <v>15</v>
      </c>
      <c r="AI888">
        <v>15</v>
      </c>
      <c r="AJ888">
        <v>0</v>
      </c>
      <c r="AK888">
        <v>7</v>
      </c>
      <c r="AL888" t="s">
        <v>1255</v>
      </c>
      <c r="AM888" t="s">
        <v>1256</v>
      </c>
      <c r="AN888" t="s">
        <v>4643</v>
      </c>
      <c r="AO888" t="s">
        <v>74</v>
      </c>
      <c r="AP888" t="s">
        <v>16761</v>
      </c>
      <c r="AQ888" t="s">
        <v>74</v>
      </c>
      <c r="AR888" t="s">
        <v>16762</v>
      </c>
      <c r="AS888" t="s">
        <v>8932</v>
      </c>
      <c r="AT888" t="s">
        <v>16740</v>
      </c>
      <c r="AU888">
        <v>2016</v>
      </c>
      <c r="AV888">
        <v>4</v>
      </c>
      <c r="AW888" t="s">
        <v>74</v>
      </c>
      <c r="AX888" t="s">
        <v>74</v>
      </c>
      <c r="AY888" t="s">
        <v>74</v>
      </c>
      <c r="AZ888" t="s">
        <v>74</v>
      </c>
      <c r="BA888" t="s">
        <v>74</v>
      </c>
      <c r="BB888" t="s">
        <v>74</v>
      </c>
      <c r="BC888" t="s">
        <v>74</v>
      </c>
      <c r="BD888">
        <v>66</v>
      </c>
      <c r="BE888" t="s">
        <v>16763</v>
      </c>
      <c r="BF888" t="str">
        <f>HYPERLINK("http://dx.doi.org/10.3389/feart.2016.00066","http://dx.doi.org/10.3389/feart.2016.00066")</f>
        <v>http://dx.doi.org/10.3389/feart.2016.00066</v>
      </c>
      <c r="BG888" t="s">
        <v>74</v>
      </c>
      <c r="BH888" t="s">
        <v>74</v>
      </c>
      <c r="BI888">
        <v>13</v>
      </c>
      <c r="BJ888" t="s">
        <v>352</v>
      </c>
      <c r="BK888" t="s">
        <v>156</v>
      </c>
      <c r="BL888" t="s">
        <v>177</v>
      </c>
      <c r="BM888" t="s">
        <v>16764</v>
      </c>
      <c r="BN888" t="s">
        <v>74</v>
      </c>
      <c r="BO888" t="s">
        <v>3908</v>
      </c>
      <c r="BP888" t="s">
        <v>74</v>
      </c>
      <c r="BQ888" t="s">
        <v>74</v>
      </c>
      <c r="BR888" t="s">
        <v>105</v>
      </c>
      <c r="BS888" t="s">
        <v>16765</v>
      </c>
      <c r="BT888" t="str">
        <f>HYPERLINK("https%3A%2F%2Fwww.webofscience.com%2Fwos%2Fwoscc%2Ffull-record%2FWOS:000393143300001","View Full Record in Web of Science")</f>
        <v>View Full Record in Web of Science</v>
      </c>
    </row>
    <row r="889" spans="1:72" x14ac:dyDescent="0.15">
      <c r="A889" t="s">
        <v>72</v>
      </c>
      <c r="B889" t="s">
        <v>16766</v>
      </c>
      <c r="C889" t="s">
        <v>74</v>
      </c>
      <c r="D889" t="s">
        <v>74</v>
      </c>
      <c r="E889" t="s">
        <v>74</v>
      </c>
      <c r="F889" t="s">
        <v>16767</v>
      </c>
      <c r="G889" t="s">
        <v>74</v>
      </c>
      <c r="H889" t="s">
        <v>74</v>
      </c>
      <c r="I889" t="s">
        <v>16768</v>
      </c>
      <c r="J889" t="s">
        <v>2078</v>
      </c>
      <c r="K889" t="s">
        <v>74</v>
      </c>
      <c r="L889" t="s">
        <v>74</v>
      </c>
      <c r="M889" t="s">
        <v>78</v>
      </c>
      <c r="N889" t="s">
        <v>1073</v>
      </c>
      <c r="O889" t="s">
        <v>74</v>
      </c>
      <c r="P889" t="s">
        <v>74</v>
      </c>
      <c r="Q889" t="s">
        <v>74</v>
      </c>
      <c r="R889" t="s">
        <v>74</v>
      </c>
      <c r="S889" t="s">
        <v>74</v>
      </c>
      <c r="T889" t="s">
        <v>74</v>
      </c>
      <c r="U889" t="s">
        <v>74</v>
      </c>
      <c r="V889" t="s">
        <v>74</v>
      </c>
      <c r="W889" t="s">
        <v>74</v>
      </c>
      <c r="X889" t="s">
        <v>74</v>
      </c>
      <c r="Y889" t="s">
        <v>74</v>
      </c>
      <c r="Z889" t="s">
        <v>74</v>
      </c>
      <c r="AA889" t="s">
        <v>16769</v>
      </c>
      <c r="AB889" t="s">
        <v>16770</v>
      </c>
      <c r="AC889" t="s">
        <v>74</v>
      </c>
      <c r="AD889" t="s">
        <v>74</v>
      </c>
      <c r="AE889" t="s">
        <v>74</v>
      </c>
      <c r="AF889" t="s">
        <v>74</v>
      </c>
      <c r="AG889">
        <v>1</v>
      </c>
      <c r="AH889">
        <v>1</v>
      </c>
      <c r="AI889">
        <v>1</v>
      </c>
      <c r="AJ889">
        <v>4</v>
      </c>
      <c r="AK889">
        <v>14</v>
      </c>
      <c r="AL889" t="s">
        <v>574</v>
      </c>
      <c r="AM889" t="s">
        <v>575</v>
      </c>
      <c r="AN889" t="s">
        <v>576</v>
      </c>
      <c r="AO889" t="s">
        <v>2090</v>
      </c>
      <c r="AP889" t="s">
        <v>74</v>
      </c>
      <c r="AQ889" t="s">
        <v>74</v>
      </c>
      <c r="AR889" t="s">
        <v>2091</v>
      </c>
      <c r="AS889" t="s">
        <v>2092</v>
      </c>
      <c r="AT889" t="s">
        <v>16771</v>
      </c>
      <c r="AU889">
        <v>2016</v>
      </c>
      <c r="AV889">
        <v>6</v>
      </c>
      <c r="AW889" t="s">
        <v>74</v>
      </c>
      <c r="AX889" t="s">
        <v>74</v>
      </c>
      <c r="AY889" t="s">
        <v>74</v>
      </c>
      <c r="AZ889" t="s">
        <v>74</v>
      </c>
      <c r="BA889" t="s">
        <v>74</v>
      </c>
      <c r="BB889" t="s">
        <v>74</v>
      </c>
      <c r="BC889" t="s">
        <v>74</v>
      </c>
      <c r="BD889">
        <v>27162</v>
      </c>
      <c r="BE889" t="s">
        <v>16772</v>
      </c>
      <c r="BF889" t="str">
        <f>HYPERLINK("http://dx.doi.org/10.1038/srep27162","http://dx.doi.org/10.1038/srep27162")</f>
        <v>http://dx.doi.org/10.1038/srep27162</v>
      </c>
      <c r="BG889" t="s">
        <v>74</v>
      </c>
      <c r="BH889" t="s">
        <v>74</v>
      </c>
      <c r="BI889">
        <v>1</v>
      </c>
      <c r="BJ889" t="s">
        <v>719</v>
      </c>
      <c r="BK889" t="s">
        <v>156</v>
      </c>
      <c r="BL889" t="s">
        <v>720</v>
      </c>
      <c r="BM889" t="s">
        <v>16773</v>
      </c>
      <c r="BN889">
        <v>27282120</v>
      </c>
      <c r="BO889" t="s">
        <v>3908</v>
      </c>
      <c r="BP889" t="s">
        <v>74</v>
      </c>
      <c r="BQ889" t="s">
        <v>74</v>
      </c>
      <c r="BR889" t="s">
        <v>105</v>
      </c>
      <c r="BS889" t="s">
        <v>16774</v>
      </c>
      <c r="BT889" t="str">
        <f>HYPERLINK("https%3A%2F%2Fwww.webofscience.com%2Fwos%2Fwoscc%2Ffull-record%2FWOS:000377681200001","View Full Record in Web of Science")</f>
        <v>View Full Record in Web of Science</v>
      </c>
    </row>
    <row r="890" spans="1:72" x14ac:dyDescent="0.15">
      <c r="A890" t="s">
        <v>72</v>
      </c>
      <c r="B890" t="s">
        <v>16775</v>
      </c>
      <c r="C890" t="s">
        <v>74</v>
      </c>
      <c r="D890" t="s">
        <v>74</v>
      </c>
      <c r="E890" t="s">
        <v>74</v>
      </c>
      <c r="F890" t="s">
        <v>16776</v>
      </c>
      <c r="G890" t="s">
        <v>74</v>
      </c>
      <c r="H890" t="s">
        <v>74</v>
      </c>
      <c r="I890" t="s">
        <v>16777</v>
      </c>
      <c r="J890" t="s">
        <v>2078</v>
      </c>
      <c r="K890" t="s">
        <v>74</v>
      </c>
      <c r="L890" t="s">
        <v>74</v>
      </c>
      <c r="M890" t="s">
        <v>78</v>
      </c>
      <c r="N890" t="s">
        <v>79</v>
      </c>
      <c r="O890" t="s">
        <v>74</v>
      </c>
      <c r="P890" t="s">
        <v>74</v>
      </c>
      <c r="Q890" t="s">
        <v>74</v>
      </c>
      <c r="R890" t="s">
        <v>74</v>
      </c>
      <c r="S890" t="s">
        <v>74</v>
      </c>
      <c r="T890" t="s">
        <v>74</v>
      </c>
      <c r="U890" t="s">
        <v>16778</v>
      </c>
      <c r="V890" t="s">
        <v>16779</v>
      </c>
      <c r="W890" t="s">
        <v>16780</v>
      </c>
      <c r="X890" t="s">
        <v>16781</v>
      </c>
      <c r="Y890" t="s">
        <v>16782</v>
      </c>
      <c r="Z890" t="s">
        <v>16783</v>
      </c>
      <c r="AA890" t="s">
        <v>16784</v>
      </c>
      <c r="AB890" t="s">
        <v>16785</v>
      </c>
      <c r="AC890" t="s">
        <v>16786</v>
      </c>
      <c r="AD890" t="s">
        <v>16787</v>
      </c>
      <c r="AE890" t="s">
        <v>16788</v>
      </c>
      <c r="AF890" t="s">
        <v>74</v>
      </c>
      <c r="AG890">
        <v>56</v>
      </c>
      <c r="AH890">
        <v>30</v>
      </c>
      <c r="AI890">
        <v>33</v>
      </c>
      <c r="AJ890">
        <v>5</v>
      </c>
      <c r="AK890">
        <v>34</v>
      </c>
      <c r="AL890" t="s">
        <v>574</v>
      </c>
      <c r="AM890" t="s">
        <v>575</v>
      </c>
      <c r="AN890" t="s">
        <v>576</v>
      </c>
      <c r="AO890" t="s">
        <v>2090</v>
      </c>
      <c r="AP890" t="s">
        <v>74</v>
      </c>
      <c r="AQ890" t="s">
        <v>74</v>
      </c>
      <c r="AR890" t="s">
        <v>2091</v>
      </c>
      <c r="AS890" t="s">
        <v>2092</v>
      </c>
      <c r="AT890" t="s">
        <v>16771</v>
      </c>
      <c r="AU890">
        <v>2016</v>
      </c>
      <c r="AV890">
        <v>6</v>
      </c>
      <c r="AW890" t="s">
        <v>74</v>
      </c>
      <c r="AX890" t="s">
        <v>74</v>
      </c>
      <c r="AY890" t="s">
        <v>74</v>
      </c>
      <c r="AZ890" t="s">
        <v>74</v>
      </c>
      <c r="BA890" t="s">
        <v>74</v>
      </c>
      <c r="BB890" t="s">
        <v>74</v>
      </c>
      <c r="BC890" t="s">
        <v>74</v>
      </c>
      <c r="BD890">
        <v>27723</v>
      </c>
      <c r="BE890" t="s">
        <v>16789</v>
      </c>
      <c r="BF890" t="str">
        <f>HYPERLINK("http://dx.doi.org/10.1038/srep27723","http://dx.doi.org/10.1038/srep27723")</f>
        <v>http://dx.doi.org/10.1038/srep27723</v>
      </c>
      <c r="BG890" t="s">
        <v>74</v>
      </c>
      <c r="BH890" t="s">
        <v>74</v>
      </c>
      <c r="BI890">
        <v>7</v>
      </c>
      <c r="BJ890" t="s">
        <v>719</v>
      </c>
      <c r="BK890" t="s">
        <v>156</v>
      </c>
      <c r="BL890" t="s">
        <v>720</v>
      </c>
      <c r="BM890" t="s">
        <v>16790</v>
      </c>
      <c r="BN890">
        <v>27283832</v>
      </c>
      <c r="BO890" t="s">
        <v>133</v>
      </c>
      <c r="BP890" t="s">
        <v>74</v>
      </c>
      <c r="BQ890" t="s">
        <v>74</v>
      </c>
      <c r="BR890" t="s">
        <v>105</v>
      </c>
      <c r="BS890" t="s">
        <v>16791</v>
      </c>
      <c r="BT890" t="str">
        <f>HYPERLINK("https%3A%2F%2Fwww.webofscience.com%2Fwos%2Fwoscc%2Ffull-record%2FWOS:000377693600001","View Full Record in Web of Science")</f>
        <v>View Full Record in Web of Science</v>
      </c>
    </row>
    <row r="891" spans="1:72" x14ac:dyDescent="0.15">
      <c r="A891" t="s">
        <v>72</v>
      </c>
      <c r="B891" t="s">
        <v>16792</v>
      </c>
      <c r="C891" t="s">
        <v>74</v>
      </c>
      <c r="D891" t="s">
        <v>74</v>
      </c>
      <c r="E891" t="s">
        <v>74</v>
      </c>
      <c r="F891" t="s">
        <v>16793</v>
      </c>
      <c r="G891" t="s">
        <v>74</v>
      </c>
      <c r="H891" t="s">
        <v>74</v>
      </c>
      <c r="I891" t="s">
        <v>16794</v>
      </c>
      <c r="J891" t="s">
        <v>12875</v>
      </c>
      <c r="K891" t="s">
        <v>74</v>
      </c>
      <c r="L891" t="s">
        <v>74</v>
      </c>
      <c r="M891" t="s">
        <v>78</v>
      </c>
      <c r="N891" t="s">
        <v>79</v>
      </c>
      <c r="O891" t="s">
        <v>74</v>
      </c>
      <c r="P891" t="s">
        <v>74</v>
      </c>
      <c r="Q891" t="s">
        <v>74</v>
      </c>
      <c r="R891" t="s">
        <v>74</v>
      </c>
      <c r="S891" t="s">
        <v>74</v>
      </c>
      <c r="T891" t="s">
        <v>16795</v>
      </c>
      <c r="U891" t="s">
        <v>16796</v>
      </c>
      <c r="V891" t="s">
        <v>16797</v>
      </c>
      <c r="W891" t="s">
        <v>16798</v>
      </c>
      <c r="X891" t="s">
        <v>16799</v>
      </c>
      <c r="Y891" t="s">
        <v>16800</v>
      </c>
      <c r="Z891" t="s">
        <v>16801</v>
      </c>
      <c r="AA891" t="s">
        <v>74</v>
      </c>
      <c r="AB891" t="s">
        <v>1751</v>
      </c>
      <c r="AC891" t="s">
        <v>16802</v>
      </c>
      <c r="AD891" t="s">
        <v>16803</v>
      </c>
      <c r="AE891" t="s">
        <v>12885</v>
      </c>
      <c r="AF891" t="s">
        <v>74</v>
      </c>
      <c r="AG891">
        <v>13</v>
      </c>
      <c r="AH891">
        <v>9</v>
      </c>
      <c r="AI891">
        <v>9</v>
      </c>
      <c r="AJ891">
        <v>0</v>
      </c>
      <c r="AK891">
        <v>20</v>
      </c>
      <c r="AL891" t="s">
        <v>92</v>
      </c>
      <c r="AM891" t="s">
        <v>93</v>
      </c>
      <c r="AN891" t="s">
        <v>94</v>
      </c>
      <c r="AO891" t="s">
        <v>12886</v>
      </c>
      <c r="AP891" t="s">
        <v>12887</v>
      </c>
      <c r="AQ891" t="s">
        <v>74</v>
      </c>
      <c r="AR891" t="s">
        <v>12888</v>
      </c>
      <c r="AS891" t="s">
        <v>12889</v>
      </c>
      <c r="AT891" t="s">
        <v>16771</v>
      </c>
      <c r="AU891">
        <v>2016</v>
      </c>
      <c r="AV891">
        <v>227</v>
      </c>
      <c r="AW891" t="s">
        <v>74</v>
      </c>
      <c r="AX891" t="s">
        <v>74</v>
      </c>
      <c r="AY891" t="s">
        <v>74</v>
      </c>
      <c r="AZ891" t="s">
        <v>74</v>
      </c>
      <c r="BA891" t="s">
        <v>74</v>
      </c>
      <c r="BB891">
        <v>19</v>
      </c>
      <c r="BC891">
        <v>20</v>
      </c>
      <c r="BD891" t="s">
        <v>74</v>
      </c>
      <c r="BE891" t="s">
        <v>16804</v>
      </c>
      <c r="BF891" t="str">
        <f>HYPERLINK("http://dx.doi.org/10.1016/j.jbiotec.2016.04.011","http://dx.doi.org/10.1016/j.jbiotec.2016.04.011")</f>
        <v>http://dx.doi.org/10.1016/j.jbiotec.2016.04.011</v>
      </c>
      <c r="BG891" t="s">
        <v>74</v>
      </c>
      <c r="BH891" t="s">
        <v>74</v>
      </c>
      <c r="BI891">
        <v>2</v>
      </c>
      <c r="BJ891" t="s">
        <v>12891</v>
      </c>
      <c r="BK891" t="s">
        <v>156</v>
      </c>
      <c r="BL891" t="s">
        <v>12891</v>
      </c>
      <c r="BM891" t="s">
        <v>16805</v>
      </c>
      <c r="BN891">
        <v>27063139</v>
      </c>
      <c r="BO891" t="s">
        <v>74</v>
      </c>
      <c r="BP891" t="s">
        <v>74</v>
      </c>
      <c r="BQ891" t="s">
        <v>74</v>
      </c>
      <c r="BR891" t="s">
        <v>105</v>
      </c>
      <c r="BS891" t="s">
        <v>16806</v>
      </c>
      <c r="BT891" t="str">
        <f>HYPERLINK("https%3A%2F%2Fwww.webofscience.com%2Fwos%2Fwoscc%2Ffull-record%2FWOS:000375121800004","View Full Record in Web of Science")</f>
        <v>View Full Record in Web of Science</v>
      </c>
    </row>
    <row r="892" spans="1:72" x14ac:dyDescent="0.15">
      <c r="A892" t="s">
        <v>72</v>
      </c>
      <c r="B892" t="s">
        <v>16807</v>
      </c>
      <c r="C892" t="s">
        <v>74</v>
      </c>
      <c r="D892" t="s">
        <v>74</v>
      </c>
      <c r="E892" t="s">
        <v>74</v>
      </c>
      <c r="F892" t="s">
        <v>16808</v>
      </c>
      <c r="G892" t="s">
        <v>74</v>
      </c>
      <c r="H892" t="s">
        <v>74</v>
      </c>
      <c r="I892" t="s">
        <v>16809</v>
      </c>
      <c r="J892" t="s">
        <v>12875</v>
      </c>
      <c r="K892" t="s">
        <v>74</v>
      </c>
      <c r="L892" t="s">
        <v>74</v>
      </c>
      <c r="M892" t="s">
        <v>78</v>
      </c>
      <c r="N892" t="s">
        <v>79</v>
      </c>
      <c r="O892" t="s">
        <v>74</v>
      </c>
      <c r="P892" t="s">
        <v>74</v>
      </c>
      <c r="Q892" t="s">
        <v>74</v>
      </c>
      <c r="R892" t="s">
        <v>74</v>
      </c>
      <c r="S892" t="s">
        <v>74</v>
      </c>
      <c r="T892" t="s">
        <v>16810</v>
      </c>
      <c r="U892" t="s">
        <v>16811</v>
      </c>
      <c r="V892" t="s">
        <v>16812</v>
      </c>
      <c r="W892" t="s">
        <v>16813</v>
      </c>
      <c r="X892" t="s">
        <v>16799</v>
      </c>
      <c r="Y892" t="s">
        <v>16814</v>
      </c>
      <c r="Z892" t="s">
        <v>16801</v>
      </c>
      <c r="AA892" t="s">
        <v>74</v>
      </c>
      <c r="AB892" t="s">
        <v>1751</v>
      </c>
      <c r="AC892" t="s">
        <v>12883</v>
      </c>
      <c r="AD892" t="s">
        <v>12884</v>
      </c>
      <c r="AE892" t="s">
        <v>12885</v>
      </c>
      <c r="AF892" t="s">
        <v>74</v>
      </c>
      <c r="AG892">
        <v>6</v>
      </c>
      <c r="AH892">
        <v>7</v>
      </c>
      <c r="AI892">
        <v>8</v>
      </c>
      <c r="AJ892">
        <v>1</v>
      </c>
      <c r="AK892">
        <v>12</v>
      </c>
      <c r="AL892" t="s">
        <v>196</v>
      </c>
      <c r="AM892" t="s">
        <v>93</v>
      </c>
      <c r="AN892" t="s">
        <v>197</v>
      </c>
      <c r="AO892" t="s">
        <v>12886</v>
      </c>
      <c r="AP892" t="s">
        <v>12887</v>
      </c>
      <c r="AQ892" t="s">
        <v>74</v>
      </c>
      <c r="AR892" t="s">
        <v>12888</v>
      </c>
      <c r="AS892" t="s">
        <v>12889</v>
      </c>
      <c r="AT892" t="s">
        <v>16771</v>
      </c>
      <c r="AU892">
        <v>2016</v>
      </c>
      <c r="AV892">
        <v>227</v>
      </c>
      <c r="AW892" t="s">
        <v>74</v>
      </c>
      <c r="AX892" t="s">
        <v>74</v>
      </c>
      <c r="AY892" t="s">
        <v>74</v>
      </c>
      <c r="AZ892" t="s">
        <v>74</v>
      </c>
      <c r="BA892" t="s">
        <v>74</v>
      </c>
      <c r="BB892">
        <v>23</v>
      </c>
      <c r="BC892">
        <v>24</v>
      </c>
      <c r="BD892" t="s">
        <v>74</v>
      </c>
      <c r="BE892" t="s">
        <v>16815</v>
      </c>
      <c r="BF892" t="str">
        <f>HYPERLINK("http://dx.doi.org/10.1016/j.jbiotec.2016.04.018","http://dx.doi.org/10.1016/j.jbiotec.2016.04.018")</f>
        <v>http://dx.doi.org/10.1016/j.jbiotec.2016.04.018</v>
      </c>
      <c r="BG892" t="s">
        <v>74</v>
      </c>
      <c r="BH892" t="s">
        <v>74</v>
      </c>
      <c r="BI892">
        <v>2</v>
      </c>
      <c r="BJ892" t="s">
        <v>12891</v>
      </c>
      <c r="BK892" t="s">
        <v>156</v>
      </c>
      <c r="BL892" t="s">
        <v>12891</v>
      </c>
      <c r="BM892" t="s">
        <v>16805</v>
      </c>
      <c r="BN892">
        <v>27080447</v>
      </c>
      <c r="BO892" t="s">
        <v>74</v>
      </c>
      <c r="BP892" t="s">
        <v>74</v>
      </c>
      <c r="BQ892" t="s">
        <v>74</v>
      </c>
      <c r="BR892" t="s">
        <v>105</v>
      </c>
      <c r="BS892" t="s">
        <v>16816</v>
      </c>
      <c r="BT892" t="str">
        <f>HYPERLINK("https%3A%2F%2Fwww.webofscience.com%2Fwos%2Fwoscc%2Ffull-record%2FWOS:000375121800006","View Full Record in Web of Science")</f>
        <v>View Full Record in Web of Science</v>
      </c>
    </row>
    <row r="893" spans="1:72" x14ac:dyDescent="0.15">
      <c r="A893" t="s">
        <v>72</v>
      </c>
      <c r="B893" t="s">
        <v>16817</v>
      </c>
      <c r="C893" t="s">
        <v>74</v>
      </c>
      <c r="D893" t="s">
        <v>74</v>
      </c>
      <c r="E893" t="s">
        <v>74</v>
      </c>
      <c r="F893" t="s">
        <v>16818</v>
      </c>
      <c r="G893" t="s">
        <v>74</v>
      </c>
      <c r="H893" t="s">
        <v>74</v>
      </c>
      <c r="I893" t="s">
        <v>16819</v>
      </c>
      <c r="J893" t="s">
        <v>1560</v>
      </c>
      <c r="K893" t="s">
        <v>74</v>
      </c>
      <c r="L893" t="s">
        <v>74</v>
      </c>
      <c r="M893" t="s">
        <v>78</v>
      </c>
      <c r="N893" t="s">
        <v>79</v>
      </c>
      <c r="O893" t="s">
        <v>74</v>
      </c>
      <c r="P893" t="s">
        <v>74</v>
      </c>
      <c r="Q893" t="s">
        <v>74</v>
      </c>
      <c r="R893" t="s">
        <v>74</v>
      </c>
      <c r="S893" t="s">
        <v>74</v>
      </c>
      <c r="T893" t="s">
        <v>16820</v>
      </c>
      <c r="U893" t="s">
        <v>16821</v>
      </c>
      <c r="V893" t="s">
        <v>16822</v>
      </c>
      <c r="W893" t="s">
        <v>16823</v>
      </c>
      <c r="X893" t="s">
        <v>16824</v>
      </c>
      <c r="Y893" t="s">
        <v>16825</v>
      </c>
      <c r="Z893" t="s">
        <v>16826</v>
      </c>
      <c r="AA893" t="s">
        <v>74</v>
      </c>
      <c r="AB893" t="s">
        <v>74</v>
      </c>
      <c r="AC893" t="s">
        <v>74</v>
      </c>
      <c r="AD893" t="s">
        <v>74</v>
      </c>
      <c r="AE893" t="s">
        <v>74</v>
      </c>
      <c r="AF893" t="s">
        <v>74</v>
      </c>
      <c r="AG893">
        <v>39</v>
      </c>
      <c r="AH893">
        <v>2</v>
      </c>
      <c r="AI893">
        <v>3</v>
      </c>
      <c r="AJ893">
        <v>0</v>
      </c>
      <c r="AK893">
        <v>4</v>
      </c>
      <c r="AL893" t="s">
        <v>1572</v>
      </c>
      <c r="AM893" t="s">
        <v>1573</v>
      </c>
      <c r="AN893" t="s">
        <v>1574</v>
      </c>
      <c r="AO893" t="s">
        <v>1575</v>
      </c>
      <c r="AP893" t="s">
        <v>1576</v>
      </c>
      <c r="AQ893" t="s">
        <v>74</v>
      </c>
      <c r="AR893" t="s">
        <v>1560</v>
      </c>
      <c r="AS893" t="s">
        <v>1577</v>
      </c>
      <c r="AT893" t="s">
        <v>16827</v>
      </c>
      <c r="AU893">
        <v>2016</v>
      </c>
      <c r="AV893">
        <v>265</v>
      </c>
      <c r="AW893">
        <v>1</v>
      </c>
      <c r="AX893" t="s">
        <v>74</v>
      </c>
      <c r="AY893" t="s">
        <v>74</v>
      </c>
      <c r="AZ893" t="s">
        <v>74</v>
      </c>
      <c r="BA893" t="s">
        <v>74</v>
      </c>
      <c r="BB893">
        <v>50</v>
      </c>
      <c r="BC893">
        <v>58</v>
      </c>
      <c r="BD893" t="s">
        <v>74</v>
      </c>
      <c r="BE893" t="s">
        <v>16828</v>
      </c>
      <c r="BF893" t="str">
        <f>HYPERLINK("http://dx.doi.org/10.11646/phytotaxa.265.1.4","http://dx.doi.org/10.11646/phytotaxa.265.1.4")</f>
        <v>http://dx.doi.org/10.11646/phytotaxa.265.1.4</v>
      </c>
      <c r="BG893" t="s">
        <v>74</v>
      </c>
      <c r="BH893" t="s">
        <v>74</v>
      </c>
      <c r="BI893">
        <v>9</v>
      </c>
      <c r="BJ893" t="s">
        <v>1580</v>
      </c>
      <c r="BK893" t="s">
        <v>156</v>
      </c>
      <c r="BL893" t="s">
        <v>1580</v>
      </c>
      <c r="BM893" t="s">
        <v>16829</v>
      </c>
      <c r="BN893" t="s">
        <v>74</v>
      </c>
      <c r="BO893" t="s">
        <v>74</v>
      </c>
      <c r="BP893" t="s">
        <v>74</v>
      </c>
      <c r="BQ893" t="s">
        <v>74</v>
      </c>
      <c r="BR893" t="s">
        <v>105</v>
      </c>
      <c r="BS893" t="s">
        <v>16830</v>
      </c>
      <c r="BT893" t="str">
        <f>HYPERLINK("https%3A%2F%2Fwww.webofscience.com%2Fwos%2Fwoscc%2Ffull-record%2FWOS:000381910500004","View Full Record in Web of Science")</f>
        <v>View Full Record in Web of Science</v>
      </c>
    </row>
    <row r="894" spans="1:72" x14ac:dyDescent="0.15">
      <c r="A894" t="s">
        <v>72</v>
      </c>
      <c r="B894" t="s">
        <v>16831</v>
      </c>
      <c r="C894" t="s">
        <v>74</v>
      </c>
      <c r="D894" t="s">
        <v>74</v>
      </c>
      <c r="E894" t="s">
        <v>74</v>
      </c>
      <c r="F894" t="s">
        <v>16832</v>
      </c>
      <c r="G894" t="s">
        <v>74</v>
      </c>
      <c r="H894" t="s">
        <v>74</v>
      </c>
      <c r="I894" t="s">
        <v>16833</v>
      </c>
      <c r="J894" t="s">
        <v>16206</v>
      </c>
      <c r="K894" t="s">
        <v>74</v>
      </c>
      <c r="L894" t="s">
        <v>74</v>
      </c>
      <c r="M894" t="s">
        <v>78</v>
      </c>
      <c r="N894" t="s">
        <v>79</v>
      </c>
      <c r="O894" t="s">
        <v>74</v>
      </c>
      <c r="P894" t="s">
        <v>74</v>
      </c>
      <c r="Q894" t="s">
        <v>74</v>
      </c>
      <c r="R894" t="s">
        <v>74</v>
      </c>
      <c r="S894" t="s">
        <v>74</v>
      </c>
      <c r="T894" t="s">
        <v>16834</v>
      </c>
      <c r="U894" t="s">
        <v>16835</v>
      </c>
      <c r="V894" t="s">
        <v>16836</v>
      </c>
      <c r="W894" t="s">
        <v>16837</v>
      </c>
      <c r="X894" t="s">
        <v>16838</v>
      </c>
      <c r="Y894" t="s">
        <v>16839</v>
      </c>
      <c r="Z894" t="s">
        <v>16840</v>
      </c>
      <c r="AA894" t="s">
        <v>16841</v>
      </c>
      <c r="AB894" t="s">
        <v>16842</v>
      </c>
      <c r="AC894" t="s">
        <v>16843</v>
      </c>
      <c r="AD894" t="s">
        <v>16844</v>
      </c>
      <c r="AE894" t="s">
        <v>16845</v>
      </c>
      <c r="AF894" t="s">
        <v>74</v>
      </c>
      <c r="AG894">
        <v>160</v>
      </c>
      <c r="AH894">
        <v>27</v>
      </c>
      <c r="AI894">
        <v>28</v>
      </c>
      <c r="AJ894">
        <v>0</v>
      </c>
      <c r="AK894">
        <v>21</v>
      </c>
      <c r="AL894" t="s">
        <v>303</v>
      </c>
      <c r="AM894" t="s">
        <v>304</v>
      </c>
      <c r="AN894" t="s">
        <v>305</v>
      </c>
      <c r="AO894" t="s">
        <v>16222</v>
      </c>
      <c r="AP894" t="s">
        <v>16223</v>
      </c>
      <c r="AQ894" t="s">
        <v>74</v>
      </c>
      <c r="AR894" t="s">
        <v>16224</v>
      </c>
      <c r="AS894" t="s">
        <v>16225</v>
      </c>
      <c r="AT894" t="s">
        <v>16846</v>
      </c>
      <c r="AU894">
        <v>2016</v>
      </c>
      <c r="AV894">
        <v>404</v>
      </c>
      <c r="AW894" t="s">
        <v>74</v>
      </c>
      <c r="AX894" t="s">
        <v>13527</v>
      </c>
      <c r="AY894" t="s">
        <v>74</v>
      </c>
      <c r="AZ894" t="s">
        <v>74</v>
      </c>
      <c r="BA894" t="s">
        <v>74</v>
      </c>
      <c r="BB894">
        <v>121</v>
      </c>
      <c r="BC894">
        <v>135</v>
      </c>
      <c r="BD894" t="s">
        <v>74</v>
      </c>
      <c r="BE894" t="s">
        <v>16847</v>
      </c>
      <c r="BF894" t="str">
        <f>HYPERLINK("http://dx.doi.org/10.1016/j.quaint.2015.10.017","http://dx.doi.org/10.1016/j.quaint.2015.10.017")</f>
        <v>http://dx.doi.org/10.1016/j.quaint.2015.10.017</v>
      </c>
      <c r="BG894" t="s">
        <v>74</v>
      </c>
      <c r="BH894" t="s">
        <v>74</v>
      </c>
      <c r="BI894">
        <v>15</v>
      </c>
      <c r="BJ894" t="s">
        <v>203</v>
      </c>
      <c r="BK894" t="s">
        <v>156</v>
      </c>
      <c r="BL894" t="s">
        <v>204</v>
      </c>
      <c r="BM894" t="s">
        <v>16848</v>
      </c>
      <c r="BN894" t="s">
        <v>74</v>
      </c>
      <c r="BO894" t="s">
        <v>74</v>
      </c>
      <c r="BP894" t="s">
        <v>74</v>
      </c>
      <c r="BQ894" t="s">
        <v>74</v>
      </c>
      <c r="BR894" t="s">
        <v>105</v>
      </c>
      <c r="BS894" t="s">
        <v>16849</v>
      </c>
      <c r="BT894" t="str">
        <f>HYPERLINK("https%3A%2F%2Fwww.webofscience.com%2Fwos%2Fwoscc%2Ffull-record%2FWOS:000376403500011","View Full Record in Web of Science")</f>
        <v>View Full Record in Web of Science</v>
      </c>
    </row>
    <row r="895" spans="1:72" x14ac:dyDescent="0.15">
      <c r="A895" t="s">
        <v>72</v>
      </c>
      <c r="B895" t="s">
        <v>16850</v>
      </c>
      <c r="C895" t="s">
        <v>74</v>
      </c>
      <c r="D895" t="s">
        <v>74</v>
      </c>
      <c r="E895" t="s">
        <v>74</v>
      </c>
      <c r="F895" t="s">
        <v>16851</v>
      </c>
      <c r="G895" t="s">
        <v>74</v>
      </c>
      <c r="H895" t="s">
        <v>74</v>
      </c>
      <c r="I895" t="s">
        <v>16852</v>
      </c>
      <c r="J895" t="s">
        <v>16853</v>
      </c>
      <c r="K895" t="s">
        <v>74</v>
      </c>
      <c r="L895" t="s">
        <v>74</v>
      </c>
      <c r="M895" t="s">
        <v>78</v>
      </c>
      <c r="N895" t="s">
        <v>1715</v>
      </c>
      <c r="O895" t="s">
        <v>74</v>
      </c>
      <c r="P895" t="s">
        <v>74</v>
      </c>
      <c r="Q895" t="s">
        <v>74</v>
      </c>
      <c r="R895" t="s">
        <v>74</v>
      </c>
      <c r="S895" t="s">
        <v>74</v>
      </c>
      <c r="T895" t="s">
        <v>74</v>
      </c>
      <c r="U895" t="s">
        <v>74</v>
      </c>
      <c r="V895" t="s">
        <v>74</v>
      </c>
      <c r="W895" t="s">
        <v>74</v>
      </c>
      <c r="X895" t="s">
        <v>74</v>
      </c>
      <c r="Y895" t="s">
        <v>74</v>
      </c>
      <c r="Z895" t="s">
        <v>74</v>
      </c>
      <c r="AA895" t="s">
        <v>74</v>
      </c>
      <c r="AB895" t="s">
        <v>74</v>
      </c>
      <c r="AC895" t="s">
        <v>74</v>
      </c>
      <c r="AD895" t="s">
        <v>74</v>
      </c>
      <c r="AE895" t="s">
        <v>74</v>
      </c>
      <c r="AF895" t="s">
        <v>74</v>
      </c>
      <c r="AG895">
        <v>0</v>
      </c>
      <c r="AH895">
        <v>0</v>
      </c>
      <c r="AI895">
        <v>0</v>
      </c>
      <c r="AJ895">
        <v>0</v>
      </c>
      <c r="AK895">
        <v>8</v>
      </c>
      <c r="AL895" t="s">
        <v>2175</v>
      </c>
      <c r="AM895" t="s">
        <v>123</v>
      </c>
      <c r="AN895" t="s">
        <v>2176</v>
      </c>
      <c r="AO895" t="s">
        <v>16854</v>
      </c>
      <c r="AP895" t="s">
        <v>16855</v>
      </c>
      <c r="AQ895" t="s">
        <v>74</v>
      </c>
      <c r="AR895" t="s">
        <v>16856</v>
      </c>
      <c r="AS895" t="s">
        <v>16857</v>
      </c>
      <c r="AT895" t="s">
        <v>16858</v>
      </c>
      <c r="AU895">
        <v>2016</v>
      </c>
      <c r="AV895">
        <v>94</v>
      </c>
      <c r="AW895">
        <v>27</v>
      </c>
      <c r="AX895" t="s">
        <v>74</v>
      </c>
      <c r="AY895" t="s">
        <v>74</v>
      </c>
      <c r="AZ895" t="s">
        <v>74</v>
      </c>
      <c r="BA895" t="s">
        <v>74</v>
      </c>
      <c r="BB895">
        <v>7</v>
      </c>
      <c r="BC895">
        <v>7</v>
      </c>
      <c r="BD895" t="s">
        <v>74</v>
      </c>
      <c r="BE895" t="s">
        <v>74</v>
      </c>
      <c r="BF895" t="s">
        <v>74</v>
      </c>
      <c r="BG895" t="s">
        <v>74</v>
      </c>
      <c r="BH895" t="s">
        <v>74</v>
      </c>
      <c r="BI895">
        <v>1</v>
      </c>
      <c r="BJ895" t="s">
        <v>16859</v>
      </c>
      <c r="BK895" t="s">
        <v>156</v>
      </c>
      <c r="BL895" t="s">
        <v>16860</v>
      </c>
      <c r="BM895" t="s">
        <v>16861</v>
      </c>
      <c r="BN895" t="s">
        <v>74</v>
      </c>
      <c r="BO895" t="s">
        <v>74</v>
      </c>
      <c r="BP895" t="s">
        <v>74</v>
      </c>
      <c r="BQ895" t="s">
        <v>74</v>
      </c>
      <c r="BR895" t="s">
        <v>105</v>
      </c>
      <c r="BS895" t="s">
        <v>16862</v>
      </c>
      <c r="BT895" t="str">
        <f>HYPERLINK("https%3A%2F%2Fwww.webofscience.com%2Fwos%2Fwoscc%2Ffull-record%2FWOS:000379107200005","View Full Record in Web of Science")</f>
        <v>View Full Record in Web of Science</v>
      </c>
    </row>
    <row r="896" spans="1:72" x14ac:dyDescent="0.15">
      <c r="A896" t="s">
        <v>72</v>
      </c>
      <c r="B896" t="s">
        <v>16863</v>
      </c>
      <c r="C896" t="s">
        <v>74</v>
      </c>
      <c r="D896" t="s">
        <v>74</v>
      </c>
      <c r="E896" t="s">
        <v>74</v>
      </c>
      <c r="F896" t="s">
        <v>16864</v>
      </c>
      <c r="G896" t="s">
        <v>74</v>
      </c>
      <c r="H896" t="s">
        <v>74</v>
      </c>
      <c r="I896" t="s">
        <v>16865</v>
      </c>
      <c r="J896" t="s">
        <v>16866</v>
      </c>
      <c r="K896" t="s">
        <v>74</v>
      </c>
      <c r="L896" t="s">
        <v>74</v>
      </c>
      <c r="M896" t="s">
        <v>78</v>
      </c>
      <c r="N896" t="s">
        <v>79</v>
      </c>
      <c r="O896" t="s">
        <v>74</v>
      </c>
      <c r="P896" t="s">
        <v>74</v>
      </c>
      <c r="Q896" t="s">
        <v>74</v>
      </c>
      <c r="R896" t="s">
        <v>74</v>
      </c>
      <c r="S896" t="s">
        <v>74</v>
      </c>
      <c r="T896" t="s">
        <v>74</v>
      </c>
      <c r="U896" t="s">
        <v>16867</v>
      </c>
      <c r="V896" t="s">
        <v>16868</v>
      </c>
      <c r="W896" t="s">
        <v>16869</v>
      </c>
      <c r="X896" t="s">
        <v>16870</v>
      </c>
      <c r="Y896" t="s">
        <v>16871</v>
      </c>
      <c r="Z896" t="s">
        <v>16872</v>
      </c>
      <c r="AA896" t="s">
        <v>16873</v>
      </c>
      <c r="AB896" t="s">
        <v>16874</v>
      </c>
      <c r="AC896" t="s">
        <v>16875</v>
      </c>
      <c r="AD896" t="s">
        <v>16876</v>
      </c>
      <c r="AE896" t="s">
        <v>16877</v>
      </c>
      <c r="AF896" t="s">
        <v>74</v>
      </c>
      <c r="AG896">
        <v>13</v>
      </c>
      <c r="AH896">
        <v>38</v>
      </c>
      <c r="AI896">
        <v>52</v>
      </c>
      <c r="AJ896">
        <v>0</v>
      </c>
      <c r="AK896">
        <v>33</v>
      </c>
      <c r="AL896" t="s">
        <v>2175</v>
      </c>
      <c r="AM896" t="s">
        <v>123</v>
      </c>
      <c r="AN896" t="s">
        <v>2176</v>
      </c>
      <c r="AO896" t="s">
        <v>16878</v>
      </c>
      <c r="AP896" t="s">
        <v>16879</v>
      </c>
      <c r="AQ896" t="s">
        <v>74</v>
      </c>
      <c r="AR896" t="s">
        <v>16880</v>
      </c>
      <c r="AS896" t="s">
        <v>16881</v>
      </c>
      <c r="AT896" t="s">
        <v>16882</v>
      </c>
      <c r="AU896">
        <v>2016</v>
      </c>
      <c r="AV896">
        <v>18</v>
      </c>
      <c r="AW896">
        <v>11</v>
      </c>
      <c r="AX896" t="s">
        <v>74</v>
      </c>
      <c r="AY896" t="s">
        <v>74</v>
      </c>
      <c r="AZ896" t="s">
        <v>74</v>
      </c>
      <c r="BA896" t="s">
        <v>74</v>
      </c>
      <c r="BB896">
        <v>2596</v>
      </c>
      <c r="BC896">
        <v>2599</v>
      </c>
      <c r="BD896" t="s">
        <v>74</v>
      </c>
      <c r="BE896" t="s">
        <v>16883</v>
      </c>
      <c r="BF896" t="str">
        <f>HYPERLINK("http://dx.doi.org/10.1021/acs.orglett.6b00979","http://dx.doi.org/10.1021/acs.orglett.6b00979")</f>
        <v>http://dx.doi.org/10.1021/acs.orglett.6b00979</v>
      </c>
      <c r="BG896" t="s">
        <v>74</v>
      </c>
      <c r="BH896" t="s">
        <v>74</v>
      </c>
      <c r="BI896">
        <v>4</v>
      </c>
      <c r="BJ896" t="s">
        <v>16884</v>
      </c>
      <c r="BK896" t="s">
        <v>14229</v>
      </c>
      <c r="BL896" t="s">
        <v>5587</v>
      </c>
      <c r="BM896" t="s">
        <v>16885</v>
      </c>
      <c r="BN896">
        <v>27175857</v>
      </c>
      <c r="BO896" t="s">
        <v>3229</v>
      </c>
      <c r="BP896" t="s">
        <v>74</v>
      </c>
      <c r="BQ896" t="s">
        <v>74</v>
      </c>
      <c r="BR896" t="s">
        <v>105</v>
      </c>
      <c r="BS896" t="s">
        <v>16886</v>
      </c>
      <c r="BT896" t="str">
        <f>HYPERLINK("https%3A%2F%2Fwww.webofscience.com%2Fwos%2Fwoscc%2Ffull-record%2FWOS:000377319000020","View Full Record in Web of Science")</f>
        <v>View Full Record in Web of Science</v>
      </c>
    </row>
    <row r="897" spans="1:72" x14ac:dyDescent="0.15">
      <c r="A897" t="s">
        <v>72</v>
      </c>
      <c r="B897" t="s">
        <v>16887</v>
      </c>
      <c r="C897" t="s">
        <v>74</v>
      </c>
      <c r="D897" t="s">
        <v>74</v>
      </c>
      <c r="E897" t="s">
        <v>74</v>
      </c>
      <c r="F897" t="s">
        <v>16888</v>
      </c>
      <c r="G897" t="s">
        <v>74</v>
      </c>
      <c r="H897" t="s">
        <v>74</v>
      </c>
      <c r="I897" t="s">
        <v>16889</v>
      </c>
      <c r="J897" t="s">
        <v>4498</v>
      </c>
      <c r="K897" t="s">
        <v>74</v>
      </c>
      <c r="L897" t="s">
        <v>74</v>
      </c>
      <c r="M897" t="s">
        <v>78</v>
      </c>
      <c r="N897" t="s">
        <v>317</v>
      </c>
      <c r="O897" t="s">
        <v>74</v>
      </c>
      <c r="P897" t="s">
        <v>74</v>
      </c>
      <c r="Q897" t="s">
        <v>74</v>
      </c>
      <c r="R897" t="s">
        <v>74</v>
      </c>
      <c r="S897" t="s">
        <v>74</v>
      </c>
      <c r="T897" t="s">
        <v>16890</v>
      </c>
      <c r="U897" t="s">
        <v>16891</v>
      </c>
      <c r="V897" t="s">
        <v>16892</v>
      </c>
      <c r="W897" t="s">
        <v>16893</v>
      </c>
      <c r="X897" t="s">
        <v>16894</v>
      </c>
      <c r="Y897" t="s">
        <v>16895</v>
      </c>
      <c r="Z897" t="s">
        <v>16896</v>
      </c>
      <c r="AA897" t="s">
        <v>16897</v>
      </c>
      <c r="AB897" t="s">
        <v>16898</v>
      </c>
      <c r="AC897" t="s">
        <v>16899</v>
      </c>
      <c r="AD897" t="s">
        <v>16899</v>
      </c>
      <c r="AE897" t="s">
        <v>16900</v>
      </c>
      <c r="AF897" t="s">
        <v>74</v>
      </c>
      <c r="AG897">
        <v>130</v>
      </c>
      <c r="AH897">
        <v>21</v>
      </c>
      <c r="AI897">
        <v>24</v>
      </c>
      <c r="AJ897">
        <v>0</v>
      </c>
      <c r="AK897">
        <v>20</v>
      </c>
      <c r="AL897" t="s">
        <v>1572</v>
      </c>
      <c r="AM897" t="s">
        <v>1573</v>
      </c>
      <c r="AN897" t="s">
        <v>9263</v>
      </c>
      <c r="AO897" t="s">
        <v>4511</v>
      </c>
      <c r="AP897" t="s">
        <v>4512</v>
      </c>
      <c r="AQ897" t="s">
        <v>74</v>
      </c>
      <c r="AR897" t="s">
        <v>4498</v>
      </c>
      <c r="AS897" t="s">
        <v>4513</v>
      </c>
      <c r="AT897" t="s">
        <v>16882</v>
      </c>
      <c r="AU897">
        <v>2016</v>
      </c>
      <c r="AV897">
        <v>4119</v>
      </c>
      <c r="AW897">
        <v>1</v>
      </c>
      <c r="AX897" t="s">
        <v>74</v>
      </c>
      <c r="AY897" t="s">
        <v>74</v>
      </c>
      <c r="AZ897" t="s">
        <v>74</v>
      </c>
      <c r="BA897" t="s">
        <v>74</v>
      </c>
      <c r="BB897">
        <v>1</v>
      </c>
      <c r="BC897">
        <v>72</v>
      </c>
      <c r="BD897" t="s">
        <v>74</v>
      </c>
      <c r="BE897" t="s">
        <v>16901</v>
      </c>
      <c r="BF897" t="str">
        <f>HYPERLINK("http://dx.doi.org/10.11646/zootaxa.4119.1.1","http://dx.doi.org/10.11646/zootaxa.4119.1.1")</f>
        <v>http://dx.doi.org/10.11646/zootaxa.4119.1.1</v>
      </c>
      <c r="BG897" t="s">
        <v>74</v>
      </c>
      <c r="BH897" t="s">
        <v>74</v>
      </c>
      <c r="BI897">
        <v>72</v>
      </c>
      <c r="BJ897" t="s">
        <v>3306</v>
      </c>
      <c r="BK897" t="s">
        <v>156</v>
      </c>
      <c r="BL897" t="s">
        <v>3306</v>
      </c>
      <c r="BM897" t="s">
        <v>16902</v>
      </c>
      <c r="BN897">
        <v>27395199</v>
      </c>
      <c r="BO897" t="s">
        <v>74</v>
      </c>
      <c r="BP897" t="s">
        <v>74</v>
      </c>
      <c r="BQ897" t="s">
        <v>74</v>
      </c>
      <c r="BR897" t="s">
        <v>105</v>
      </c>
      <c r="BS897" t="s">
        <v>16903</v>
      </c>
      <c r="BT897" t="str">
        <f>HYPERLINK("https%3A%2F%2Fwww.webofscience.com%2Fwos%2Fwoscc%2Ffull-record%2FWOS:000376881200001","View Full Record in Web of Science")</f>
        <v>View Full Record in Web of Science</v>
      </c>
    </row>
    <row r="898" spans="1:72" x14ac:dyDescent="0.15">
      <c r="A898" t="s">
        <v>72</v>
      </c>
      <c r="B898" t="s">
        <v>16904</v>
      </c>
      <c r="C898" t="s">
        <v>74</v>
      </c>
      <c r="D898" t="s">
        <v>74</v>
      </c>
      <c r="E898" t="s">
        <v>74</v>
      </c>
      <c r="F898" t="s">
        <v>16905</v>
      </c>
      <c r="G898" t="s">
        <v>74</v>
      </c>
      <c r="H898" t="s">
        <v>74</v>
      </c>
      <c r="I898" t="s">
        <v>16906</v>
      </c>
      <c r="J898" t="s">
        <v>2078</v>
      </c>
      <c r="K898" t="s">
        <v>74</v>
      </c>
      <c r="L898" t="s">
        <v>74</v>
      </c>
      <c r="M898" t="s">
        <v>78</v>
      </c>
      <c r="N898" t="s">
        <v>79</v>
      </c>
      <c r="O898" t="s">
        <v>74</v>
      </c>
      <c r="P898" t="s">
        <v>74</v>
      </c>
      <c r="Q898" t="s">
        <v>74</v>
      </c>
      <c r="R898" t="s">
        <v>74</v>
      </c>
      <c r="S898" t="s">
        <v>74</v>
      </c>
      <c r="T898" t="s">
        <v>74</v>
      </c>
      <c r="U898" t="s">
        <v>16907</v>
      </c>
      <c r="V898" t="s">
        <v>16908</v>
      </c>
      <c r="W898" t="s">
        <v>16909</v>
      </c>
      <c r="X898" t="s">
        <v>16910</v>
      </c>
      <c r="Y898" t="s">
        <v>16911</v>
      </c>
      <c r="Z898" t="s">
        <v>16912</v>
      </c>
      <c r="AA898" t="s">
        <v>16913</v>
      </c>
      <c r="AB898" t="s">
        <v>16914</v>
      </c>
      <c r="AC898" t="s">
        <v>16915</v>
      </c>
      <c r="AD898" t="s">
        <v>16916</v>
      </c>
      <c r="AE898" t="s">
        <v>16917</v>
      </c>
      <c r="AF898" t="s">
        <v>74</v>
      </c>
      <c r="AG898">
        <v>65</v>
      </c>
      <c r="AH898">
        <v>47</v>
      </c>
      <c r="AI898">
        <v>49</v>
      </c>
      <c r="AJ898">
        <v>0</v>
      </c>
      <c r="AK898">
        <v>44</v>
      </c>
      <c r="AL898" t="s">
        <v>574</v>
      </c>
      <c r="AM898" t="s">
        <v>575</v>
      </c>
      <c r="AN898" t="s">
        <v>576</v>
      </c>
      <c r="AO898" t="s">
        <v>2090</v>
      </c>
      <c r="AP898" t="s">
        <v>74</v>
      </c>
      <c r="AQ898" t="s">
        <v>74</v>
      </c>
      <c r="AR898" t="s">
        <v>2091</v>
      </c>
      <c r="AS898" t="s">
        <v>2092</v>
      </c>
      <c r="AT898" t="s">
        <v>16918</v>
      </c>
      <c r="AU898">
        <v>2016</v>
      </c>
      <c r="AV898">
        <v>6</v>
      </c>
      <c r="AW898" t="s">
        <v>74</v>
      </c>
      <c r="AX898" t="s">
        <v>74</v>
      </c>
      <c r="AY898" t="s">
        <v>74</v>
      </c>
      <c r="AZ898" t="s">
        <v>74</v>
      </c>
      <c r="BA898" t="s">
        <v>74</v>
      </c>
      <c r="BB898" t="s">
        <v>74</v>
      </c>
      <c r="BC898" t="s">
        <v>74</v>
      </c>
      <c r="BD898">
        <v>27234</v>
      </c>
      <c r="BE898" t="s">
        <v>16919</v>
      </c>
      <c r="BF898" t="str">
        <f>HYPERLINK("http://dx.doi.org/10.1038/srep27234","http://dx.doi.org/10.1038/srep27234")</f>
        <v>http://dx.doi.org/10.1038/srep27234</v>
      </c>
      <c r="BG898" t="s">
        <v>74</v>
      </c>
      <c r="BH898" t="s">
        <v>74</v>
      </c>
      <c r="BI898">
        <v>12</v>
      </c>
      <c r="BJ898" t="s">
        <v>719</v>
      </c>
      <c r="BK898" t="s">
        <v>156</v>
      </c>
      <c r="BL898" t="s">
        <v>720</v>
      </c>
      <c r="BM898" t="s">
        <v>16920</v>
      </c>
      <c r="BN898">
        <v>27250339</v>
      </c>
      <c r="BO898" t="s">
        <v>12173</v>
      </c>
      <c r="BP898" t="s">
        <v>74</v>
      </c>
      <c r="BQ898" t="s">
        <v>74</v>
      </c>
      <c r="BR898" t="s">
        <v>105</v>
      </c>
      <c r="BS898" t="s">
        <v>16921</v>
      </c>
      <c r="BT898" t="str">
        <f>HYPERLINK("https%3A%2F%2Fwww.webofscience.com%2Fwos%2Fwoscc%2Ffull-record%2FWOS:000376859600001","View Full Record in Web of Science")</f>
        <v>View Full Record in Web of Science</v>
      </c>
    </row>
    <row r="899" spans="1:72" x14ac:dyDescent="0.15">
      <c r="A899" t="s">
        <v>72</v>
      </c>
      <c r="B899" t="s">
        <v>16922</v>
      </c>
      <c r="C899" t="s">
        <v>74</v>
      </c>
      <c r="D899" t="s">
        <v>74</v>
      </c>
      <c r="E899" t="s">
        <v>74</v>
      </c>
      <c r="F899" t="s">
        <v>16923</v>
      </c>
      <c r="G899" t="s">
        <v>74</v>
      </c>
      <c r="H899" t="s">
        <v>74</v>
      </c>
      <c r="I899" t="s">
        <v>16924</v>
      </c>
      <c r="J899" t="s">
        <v>2078</v>
      </c>
      <c r="K899" t="s">
        <v>74</v>
      </c>
      <c r="L899" t="s">
        <v>74</v>
      </c>
      <c r="M899" t="s">
        <v>78</v>
      </c>
      <c r="N899" t="s">
        <v>79</v>
      </c>
      <c r="O899" t="s">
        <v>74</v>
      </c>
      <c r="P899" t="s">
        <v>74</v>
      </c>
      <c r="Q899" t="s">
        <v>74</v>
      </c>
      <c r="R899" t="s">
        <v>74</v>
      </c>
      <c r="S899" t="s">
        <v>74</v>
      </c>
      <c r="T899" t="s">
        <v>74</v>
      </c>
      <c r="U899" t="s">
        <v>16925</v>
      </c>
      <c r="V899" t="s">
        <v>16926</v>
      </c>
      <c r="W899" t="s">
        <v>16927</v>
      </c>
      <c r="X899" t="s">
        <v>16928</v>
      </c>
      <c r="Y899" t="s">
        <v>16929</v>
      </c>
      <c r="Z899" t="s">
        <v>16930</v>
      </c>
      <c r="AA899" t="s">
        <v>16931</v>
      </c>
      <c r="AB899" t="s">
        <v>74</v>
      </c>
      <c r="AC899" t="s">
        <v>16932</v>
      </c>
      <c r="AD899" t="s">
        <v>16933</v>
      </c>
      <c r="AE899" t="s">
        <v>16934</v>
      </c>
      <c r="AF899" t="s">
        <v>74</v>
      </c>
      <c r="AG899">
        <v>60</v>
      </c>
      <c r="AH899">
        <v>9</v>
      </c>
      <c r="AI899">
        <v>16</v>
      </c>
      <c r="AJ899">
        <v>3</v>
      </c>
      <c r="AK899">
        <v>34</v>
      </c>
      <c r="AL899" t="s">
        <v>574</v>
      </c>
      <c r="AM899" t="s">
        <v>575</v>
      </c>
      <c r="AN899" t="s">
        <v>576</v>
      </c>
      <c r="AO899" t="s">
        <v>2090</v>
      </c>
      <c r="AP899" t="s">
        <v>74</v>
      </c>
      <c r="AQ899" t="s">
        <v>74</v>
      </c>
      <c r="AR899" t="s">
        <v>2091</v>
      </c>
      <c r="AS899" t="s">
        <v>2092</v>
      </c>
      <c r="AT899" t="s">
        <v>16918</v>
      </c>
      <c r="AU899">
        <v>2016</v>
      </c>
      <c r="AV899">
        <v>6</v>
      </c>
      <c r="AW899" t="s">
        <v>74</v>
      </c>
      <c r="AX899" t="s">
        <v>74</v>
      </c>
      <c r="AY899" t="s">
        <v>74</v>
      </c>
      <c r="AZ899" t="s">
        <v>74</v>
      </c>
      <c r="BA899" t="s">
        <v>74</v>
      </c>
      <c r="BB899" t="s">
        <v>74</v>
      </c>
      <c r="BC899" t="s">
        <v>74</v>
      </c>
      <c r="BD899">
        <v>27069</v>
      </c>
      <c r="BE899" t="s">
        <v>16935</v>
      </c>
      <c r="BF899" t="str">
        <f>HYPERLINK("http://dx.doi.org/10.1038/srep27069","http://dx.doi.org/10.1038/srep27069")</f>
        <v>http://dx.doi.org/10.1038/srep27069</v>
      </c>
      <c r="BG899" t="s">
        <v>74</v>
      </c>
      <c r="BH899" t="s">
        <v>74</v>
      </c>
      <c r="BI899">
        <v>13</v>
      </c>
      <c r="BJ899" t="s">
        <v>719</v>
      </c>
      <c r="BK899" t="s">
        <v>156</v>
      </c>
      <c r="BL899" t="s">
        <v>720</v>
      </c>
      <c r="BM899" t="s">
        <v>16936</v>
      </c>
      <c r="BN899">
        <v>27252085</v>
      </c>
      <c r="BO899" t="s">
        <v>133</v>
      </c>
      <c r="BP899" t="s">
        <v>74</v>
      </c>
      <c r="BQ899" t="s">
        <v>74</v>
      </c>
      <c r="BR899" t="s">
        <v>105</v>
      </c>
      <c r="BS899" t="s">
        <v>16937</v>
      </c>
      <c r="BT899" t="str">
        <f>HYPERLINK("https%3A%2F%2Fwww.webofscience.com%2Fwos%2Fwoscc%2Ffull-record%2FWOS:000376851000001","View Full Record in Web of Science")</f>
        <v>View Full Record in Web of Science</v>
      </c>
    </row>
    <row r="900" spans="1:72" x14ac:dyDescent="0.15">
      <c r="A900" t="s">
        <v>72</v>
      </c>
      <c r="B900" t="s">
        <v>16938</v>
      </c>
      <c r="C900" t="s">
        <v>74</v>
      </c>
      <c r="D900" t="s">
        <v>74</v>
      </c>
      <c r="E900" t="s">
        <v>74</v>
      </c>
      <c r="F900" t="s">
        <v>16939</v>
      </c>
      <c r="G900" t="s">
        <v>74</v>
      </c>
      <c r="H900" t="s">
        <v>74</v>
      </c>
      <c r="I900" t="s">
        <v>16940</v>
      </c>
      <c r="J900" t="s">
        <v>16941</v>
      </c>
      <c r="K900" t="s">
        <v>74</v>
      </c>
      <c r="L900" t="s">
        <v>74</v>
      </c>
      <c r="M900" t="s">
        <v>78</v>
      </c>
      <c r="N900" t="s">
        <v>79</v>
      </c>
      <c r="O900" t="s">
        <v>74</v>
      </c>
      <c r="P900" t="s">
        <v>74</v>
      </c>
      <c r="Q900" t="s">
        <v>74</v>
      </c>
      <c r="R900" t="s">
        <v>74</v>
      </c>
      <c r="S900" t="s">
        <v>74</v>
      </c>
      <c r="T900" t="s">
        <v>16942</v>
      </c>
      <c r="U900" t="s">
        <v>16943</v>
      </c>
      <c r="V900" t="s">
        <v>16944</v>
      </c>
      <c r="W900" t="s">
        <v>16945</v>
      </c>
      <c r="X900" t="s">
        <v>16946</v>
      </c>
      <c r="Y900" t="s">
        <v>16947</v>
      </c>
      <c r="Z900" t="s">
        <v>16948</v>
      </c>
      <c r="AA900" t="s">
        <v>16949</v>
      </c>
      <c r="AB900" t="s">
        <v>16950</v>
      </c>
      <c r="AC900" t="s">
        <v>16951</v>
      </c>
      <c r="AD900" t="s">
        <v>16952</v>
      </c>
      <c r="AE900" t="s">
        <v>16953</v>
      </c>
      <c r="AF900" t="s">
        <v>74</v>
      </c>
      <c r="AG900">
        <v>24</v>
      </c>
      <c r="AH900">
        <v>0</v>
      </c>
      <c r="AI900">
        <v>0</v>
      </c>
      <c r="AJ900">
        <v>0</v>
      </c>
      <c r="AK900">
        <v>5</v>
      </c>
      <c r="AL900" t="s">
        <v>16954</v>
      </c>
      <c r="AM900" t="s">
        <v>16955</v>
      </c>
      <c r="AN900" t="s">
        <v>16956</v>
      </c>
      <c r="AO900" t="s">
        <v>16957</v>
      </c>
      <c r="AP900" t="s">
        <v>74</v>
      </c>
      <c r="AQ900" t="s">
        <v>74</v>
      </c>
      <c r="AR900" t="s">
        <v>16958</v>
      </c>
      <c r="AS900" t="s">
        <v>16959</v>
      </c>
      <c r="AT900" t="s">
        <v>16960</v>
      </c>
      <c r="AU900">
        <v>2016</v>
      </c>
      <c r="AV900">
        <v>24</v>
      </c>
      <c r="AW900">
        <v>2</v>
      </c>
      <c r="AX900" t="s">
        <v>74</v>
      </c>
      <c r="AY900" t="s">
        <v>74</v>
      </c>
      <c r="AZ900" t="s">
        <v>74</v>
      </c>
      <c r="BA900" t="s">
        <v>74</v>
      </c>
      <c r="BB900">
        <v>86</v>
      </c>
      <c r="BC900">
        <v>89</v>
      </c>
      <c r="BD900" t="s">
        <v>74</v>
      </c>
      <c r="BE900" t="s">
        <v>74</v>
      </c>
      <c r="BF900" t="s">
        <v>74</v>
      </c>
      <c r="BG900" t="s">
        <v>74</v>
      </c>
      <c r="BH900" t="s">
        <v>74</v>
      </c>
      <c r="BI900">
        <v>4</v>
      </c>
      <c r="BJ900" t="s">
        <v>3988</v>
      </c>
      <c r="BK900" t="s">
        <v>156</v>
      </c>
      <c r="BL900" t="s">
        <v>3306</v>
      </c>
      <c r="BM900" t="s">
        <v>16961</v>
      </c>
      <c r="BN900" t="s">
        <v>74</v>
      </c>
      <c r="BO900" t="s">
        <v>74</v>
      </c>
      <c r="BP900" t="s">
        <v>74</v>
      </c>
      <c r="BQ900" t="s">
        <v>74</v>
      </c>
      <c r="BR900" t="s">
        <v>105</v>
      </c>
      <c r="BS900" t="s">
        <v>16962</v>
      </c>
      <c r="BT900" t="str">
        <f>HYPERLINK("https%3A%2F%2Fwww.webofscience.com%2Fwos%2Fwoscc%2Ffull-record%2FWOS:000389951500004","View Full Record in Web of Science")</f>
        <v>View Full Record in Web of Science</v>
      </c>
    </row>
    <row r="901" spans="1:72" x14ac:dyDescent="0.15">
      <c r="A901" t="s">
        <v>72</v>
      </c>
      <c r="B901" t="s">
        <v>16963</v>
      </c>
      <c r="C901" t="s">
        <v>74</v>
      </c>
      <c r="D901" t="s">
        <v>74</v>
      </c>
      <c r="E901" t="s">
        <v>74</v>
      </c>
      <c r="F901" t="s">
        <v>16964</v>
      </c>
      <c r="G901" t="s">
        <v>74</v>
      </c>
      <c r="H901" t="s">
        <v>74</v>
      </c>
      <c r="I901" t="s">
        <v>16965</v>
      </c>
      <c r="J901" t="s">
        <v>16966</v>
      </c>
      <c r="K901" t="s">
        <v>74</v>
      </c>
      <c r="L901" t="s">
        <v>74</v>
      </c>
      <c r="M901" t="s">
        <v>78</v>
      </c>
      <c r="N901" t="s">
        <v>79</v>
      </c>
      <c r="O901" t="s">
        <v>74</v>
      </c>
      <c r="P901" t="s">
        <v>74</v>
      </c>
      <c r="Q901" t="s">
        <v>74</v>
      </c>
      <c r="R901" t="s">
        <v>74</v>
      </c>
      <c r="S901" t="s">
        <v>74</v>
      </c>
      <c r="T901" t="s">
        <v>16967</v>
      </c>
      <c r="U901" t="s">
        <v>16968</v>
      </c>
      <c r="V901" t="s">
        <v>16969</v>
      </c>
      <c r="W901" t="s">
        <v>16970</v>
      </c>
      <c r="X901" t="s">
        <v>16971</v>
      </c>
      <c r="Y901" t="s">
        <v>16972</v>
      </c>
      <c r="Z901" t="s">
        <v>14460</v>
      </c>
      <c r="AA901" t="s">
        <v>16973</v>
      </c>
      <c r="AB901" t="s">
        <v>16974</v>
      </c>
      <c r="AC901" t="s">
        <v>16975</v>
      </c>
      <c r="AD901" t="s">
        <v>16976</v>
      </c>
      <c r="AE901" t="s">
        <v>16977</v>
      </c>
      <c r="AF901" t="s">
        <v>74</v>
      </c>
      <c r="AG901">
        <v>70</v>
      </c>
      <c r="AH901">
        <v>30</v>
      </c>
      <c r="AI901">
        <v>32</v>
      </c>
      <c r="AJ901">
        <v>1</v>
      </c>
      <c r="AK901">
        <v>33</v>
      </c>
      <c r="AL901" t="s">
        <v>501</v>
      </c>
      <c r="AM901" t="s">
        <v>502</v>
      </c>
      <c r="AN901" t="s">
        <v>503</v>
      </c>
      <c r="AO901" t="s">
        <v>16978</v>
      </c>
      <c r="AP901" t="s">
        <v>16979</v>
      </c>
      <c r="AQ901" t="s">
        <v>74</v>
      </c>
      <c r="AR901" t="s">
        <v>16980</v>
      </c>
      <c r="AS901" t="s">
        <v>16981</v>
      </c>
      <c r="AT901" t="s">
        <v>16960</v>
      </c>
      <c r="AU901">
        <v>2016</v>
      </c>
      <c r="AV901">
        <v>52</v>
      </c>
      <c r="AW901">
        <v>3</v>
      </c>
      <c r="AX901" t="s">
        <v>74</v>
      </c>
      <c r="AY901" t="s">
        <v>74</v>
      </c>
      <c r="AZ901" t="s">
        <v>74</v>
      </c>
      <c r="BA901" t="s">
        <v>74</v>
      </c>
      <c r="BB901">
        <v>356</v>
      </c>
      <c r="BC901">
        <v>368</v>
      </c>
      <c r="BD901" t="s">
        <v>74</v>
      </c>
      <c r="BE901" t="s">
        <v>16982</v>
      </c>
      <c r="BF901" t="str">
        <f>HYPERLINK("http://dx.doi.org/10.1111/jpy.12399","http://dx.doi.org/10.1111/jpy.12399")</f>
        <v>http://dx.doi.org/10.1111/jpy.12399</v>
      </c>
      <c r="BG901" t="s">
        <v>74</v>
      </c>
      <c r="BH901" t="s">
        <v>74</v>
      </c>
      <c r="BI901">
        <v>13</v>
      </c>
      <c r="BJ901" t="s">
        <v>2936</v>
      </c>
      <c r="BK901" t="s">
        <v>156</v>
      </c>
      <c r="BL901" t="s">
        <v>2936</v>
      </c>
      <c r="BM901" t="s">
        <v>16983</v>
      </c>
      <c r="BN901">
        <v>27273529</v>
      </c>
      <c r="BO901" t="s">
        <v>74</v>
      </c>
      <c r="BP901" t="s">
        <v>74</v>
      </c>
      <c r="BQ901" t="s">
        <v>74</v>
      </c>
      <c r="BR901" t="s">
        <v>105</v>
      </c>
      <c r="BS901" t="s">
        <v>16984</v>
      </c>
      <c r="BT901" t="str">
        <f>HYPERLINK("https%3A%2F%2Fwww.webofscience.com%2Fwos%2Fwoscc%2Ffull-record%2FWOS:000383590800004","View Full Record in Web of Science")</f>
        <v>View Full Record in Web of Science</v>
      </c>
    </row>
    <row r="902" spans="1:72" x14ac:dyDescent="0.15">
      <c r="A902" t="s">
        <v>72</v>
      </c>
      <c r="B902" t="s">
        <v>16985</v>
      </c>
      <c r="C902" t="s">
        <v>74</v>
      </c>
      <c r="D902" t="s">
        <v>74</v>
      </c>
      <c r="E902" t="s">
        <v>74</v>
      </c>
      <c r="F902" t="s">
        <v>16986</v>
      </c>
      <c r="G902" t="s">
        <v>74</v>
      </c>
      <c r="H902" t="s">
        <v>74</v>
      </c>
      <c r="I902" t="s">
        <v>16987</v>
      </c>
      <c r="J902" t="s">
        <v>10236</v>
      </c>
      <c r="K902" t="s">
        <v>74</v>
      </c>
      <c r="L902" t="s">
        <v>74</v>
      </c>
      <c r="M902" t="s">
        <v>78</v>
      </c>
      <c r="N902" t="s">
        <v>79</v>
      </c>
      <c r="O902" t="s">
        <v>74</v>
      </c>
      <c r="P902" t="s">
        <v>74</v>
      </c>
      <c r="Q902" t="s">
        <v>74</v>
      </c>
      <c r="R902" t="s">
        <v>74</v>
      </c>
      <c r="S902" t="s">
        <v>74</v>
      </c>
      <c r="T902" t="s">
        <v>16988</v>
      </c>
      <c r="U902" t="s">
        <v>16989</v>
      </c>
      <c r="V902" t="s">
        <v>16990</v>
      </c>
      <c r="W902" t="s">
        <v>16991</v>
      </c>
      <c r="X902" t="s">
        <v>16992</v>
      </c>
      <c r="Y902" t="s">
        <v>16993</v>
      </c>
      <c r="Z902" t="s">
        <v>16994</v>
      </c>
      <c r="AA902" t="s">
        <v>16995</v>
      </c>
      <c r="AB902" t="s">
        <v>16996</v>
      </c>
      <c r="AC902" t="s">
        <v>16997</v>
      </c>
      <c r="AD902" t="s">
        <v>16998</v>
      </c>
      <c r="AE902" t="s">
        <v>16999</v>
      </c>
      <c r="AF902" t="s">
        <v>74</v>
      </c>
      <c r="AG902">
        <v>111</v>
      </c>
      <c r="AH902">
        <v>27</v>
      </c>
      <c r="AI902">
        <v>30</v>
      </c>
      <c r="AJ902">
        <v>6</v>
      </c>
      <c r="AK902">
        <v>23</v>
      </c>
      <c r="AL902" t="s">
        <v>713</v>
      </c>
      <c r="AM902" t="s">
        <v>250</v>
      </c>
      <c r="AN902" t="s">
        <v>714</v>
      </c>
      <c r="AO902" t="s">
        <v>10248</v>
      </c>
      <c r="AP902" t="s">
        <v>10249</v>
      </c>
      <c r="AQ902" t="s">
        <v>74</v>
      </c>
      <c r="AR902" t="s">
        <v>10250</v>
      </c>
      <c r="AS902" t="s">
        <v>10251</v>
      </c>
      <c r="AT902" t="s">
        <v>17000</v>
      </c>
      <c r="AU902">
        <v>2016</v>
      </c>
      <c r="AV902">
        <v>13</v>
      </c>
      <c r="AW902">
        <v>119</v>
      </c>
      <c r="AX902" t="s">
        <v>74</v>
      </c>
      <c r="AY902" t="s">
        <v>74</v>
      </c>
      <c r="AZ902" t="s">
        <v>74</v>
      </c>
      <c r="BA902" t="s">
        <v>74</v>
      </c>
      <c r="BB902" t="s">
        <v>74</v>
      </c>
      <c r="BC902" t="s">
        <v>74</v>
      </c>
      <c r="BD902">
        <v>20160196</v>
      </c>
      <c r="BE902" t="s">
        <v>17001</v>
      </c>
      <c r="BF902" t="str">
        <f>HYPERLINK("http://dx.doi.org/10.1098/rsif.2016.0196","http://dx.doi.org/10.1098/rsif.2016.0196")</f>
        <v>http://dx.doi.org/10.1098/rsif.2016.0196</v>
      </c>
      <c r="BG902" t="s">
        <v>74</v>
      </c>
      <c r="BH902" t="s">
        <v>74</v>
      </c>
      <c r="BI902">
        <v>13</v>
      </c>
      <c r="BJ902" t="s">
        <v>719</v>
      </c>
      <c r="BK902" t="s">
        <v>156</v>
      </c>
      <c r="BL902" t="s">
        <v>720</v>
      </c>
      <c r="BM902" t="s">
        <v>17002</v>
      </c>
      <c r="BN902">
        <v>27278360</v>
      </c>
      <c r="BO902" t="s">
        <v>1142</v>
      </c>
      <c r="BP902" t="s">
        <v>74</v>
      </c>
      <c r="BQ902" t="s">
        <v>74</v>
      </c>
      <c r="BR902" t="s">
        <v>105</v>
      </c>
      <c r="BS902" t="s">
        <v>17003</v>
      </c>
      <c r="BT902" t="str">
        <f>HYPERLINK("https%3A%2F%2Fwww.webofscience.com%2Fwos%2Fwoscc%2Ffull-record%2FWOS:000386722200009","View Full Record in Web of Science")</f>
        <v>View Full Record in Web of Science</v>
      </c>
    </row>
    <row r="903" spans="1:72" x14ac:dyDescent="0.15">
      <c r="A903" t="s">
        <v>72</v>
      </c>
      <c r="B903" t="s">
        <v>17004</v>
      </c>
      <c r="C903" t="s">
        <v>74</v>
      </c>
      <c r="D903" t="s">
        <v>74</v>
      </c>
      <c r="E903" t="s">
        <v>74</v>
      </c>
      <c r="F903" t="s">
        <v>17005</v>
      </c>
      <c r="G903" t="s">
        <v>74</v>
      </c>
      <c r="H903" t="s">
        <v>74</v>
      </c>
      <c r="I903" t="s">
        <v>17006</v>
      </c>
      <c r="J903" t="s">
        <v>17007</v>
      </c>
      <c r="K903" t="s">
        <v>74</v>
      </c>
      <c r="L903" t="s">
        <v>74</v>
      </c>
      <c r="M903" t="s">
        <v>78</v>
      </c>
      <c r="N903" t="s">
        <v>79</v>
      </c>
      <c r="O903" t="s">
        <v>74</v>
      </c>
      <c r="P903" t="s">
        <v>74</v>
      </c>
      <c r="Q903" t="s">
        <v>74</v>
      </c>
      <c r="R903" t="s">
        <v>74</v>
      </c>
      <c r="S903" t="s">
        <v>74</v>
      </c>
      <c r="T903" t="s">
        <v>17008</v>
      </c>
      <c r="U903" t="s">
        <v>17009</v>
      </c>
      <c r="V903" t="s">
        <v>17010</v>
      </c>
      <c r="W903" t="s">
        <v>17011</v>
      </c>
      <c r="X903" t="s">
        <v>17012</v>
      </c>
      <c r="Y903" t="s">
        <v>17013</v>
      </c>
      <c r="Z903" t="s">
        <v>17014</v>
      </c>
      <c r="AA903" t="s">
        <v>74</v>
      </c>
      <c r="AB903" t="s">
        <v>74</v>
      </c>
      <c r="AC903" t="s">
        <v>17015</v>
      </c>
      <c r="AD903" t="s">
        <v>17016</v>
      </c>
      <c r="AE903" t="s">
        <v>17017</v>
      </c>
      <c r="AF903" t="s">
        <v>74</v>
      </c>
      <c r="AG903">
        <v>82</v>
      </c>
      <c r="AH903">
        <v>15</v>
      </c>
      <c r="AI903">
        <v>15</v>
      </c>
      <c r="AJ903">
        <v>3</v>
      </c>
      <c r="AK903">
        <v>16</v>
      </c>
      <c r="AL903" t="s">
        <v>17018</v>
      </c>
      <c r="AM903" t="s">
        <v>17019</v>
      </c>
      <c r="AN903" t="s">
        <v>17020</v>
      </c>
      <c r="AO903" t="s">
        <v>17021</v>
      </c>
      <c r="AP903" t="s">
        <v>17022</v>
      </c>
      <c r="AQ903" t="s">
        <v>74</v>
      </c>
      <c r="AR903" t="s">
        <v>17023</v>
      </c>
      <c r="AS903" t="s">
        <v>17024</v>
      </c>
      <c r="AT903" t="s">
        <v>16960</v>
      </c>
      <c r="AU903">
        <v>2016</v>
      </c>
      <c r="AV903">
        <v>111</v>
      </c>
      <c r="AW903">
        <v>3</v>
      </c>
      <c r="AX903" t="s">
        <v>74</v>
      </c>
      <c r="AY903" t="s">
        <v>74</v>
      </c>
      <c r="AZ903" t="s">
        <v>74</v>
      </c>
      <c r="BA903" t="s">
        <v>74</v>
      </c>
      <c r="BB903">
        <v>226</v>
      </c>
      <c r="BC903">
        <v>240</v>
      </c>
      <c r="BD903" t="s">
        <v>74</v>
      </c>
      <c r="BE903" t="s">
        <v>17025</v>
      </c>
      <c r="BF903" t="str">
        <f>HYPERLINK("http://dx.doi.org/10.2465/jmps.150709","http://dx.doi.org/10.2465/jmps.150709")</f>
        <v>http://dx.doi.org/10.2465/jmps.150709</v>
      </c>
      <c r="BG903" t="s">
        <v>74</v>
      </c>
      <c r="BH903" t="s">
        <v>74</v>
      </c>
      <c r="BI903">
        <v>15</v>
      </c>
      <c r="BJ903" t="s">
        <v>17026</v>
      </c>
      <c r="BK903" t="s">
        <v>156</v>
      </c>
      <c r="BL903" t="s">
        <v>17026</v>
      </c>
      <c r="BM903" t="s">
        <v>17027</v>
      </c>
      <c r="BN903" t="s">
        <v>74</v>
      </c>
      <c r="BO903" t="s">
        <v>777</v>
      </c>
      <c r="BP903" t="s">
        <v>74</v>
      </c>
      <c r="BQ903" t="s">
        <v>74</v>
      </c>
      <c r="BR903" t="s">
        <v>105</v>
      </c>
      <c r="BS903" t="s">
        <v>17028</v>
      </c>
      <c r="BT903" t="str">
        <f>HYPERLINK("https%3A%2F%2Fwww.webofscience.com%2Fwos%2Fwoscc%2Ffull-record%2FWOS:000385267300007","View Full Record in Web of Science")</f>
        <v>View Full Record in Web of Science</v>
      </c>
    </row>
    <row r="904" spans="1:72" x14ac:dyDescent="0.15">
      <c r="A904" t="s">
        <v>72</v>
      </c>
      <c r="B904" t="s">
        <v>17029</v>
      </c>
      <c r="C904" t="s">
        <v>74</v>
      </c>
      <c r="D904" t="s">
        <v>74</v>
      </c>
      <c r="E904" t="s">
        <v>74</v>
      </c>
      <c r="F904" t="s">
        <v>17030</v>
      </c>
      <c r="G904" t="s">
        <v>74</v>
      </c>
      <c r="H904" t="s">
        <v>74</v>
      </c>
      <c r="I904" t="s">
        <v>17031</v>
      </c>
      <c r="J904" t="s">
        <v>17032</v>
      </c>
      <c r="K904" t="s">
        <v>74</v>
      </c>
      <c r="L904" t="s">
        <v>74</v>
      </c>
      <c r="M904" t="s">
        <v>78</v>
      </c>
      <c r="N904" t="s">
        <v>2730</v>
      </c>
      <c r="O904" t="s">
        <v>17033</v>
      </c>
      <c r="P904" t="s">
        <v>17034</v>
      </c>
      <c r="Q904" t="s">
        <v>17035</v>
      </c>
      <c r="R904" t="s">
        <v>74</v>
      </c>
      <c r="S904" t="s">
        <v>74</v>
      </c>
      <c r="T904" t="s">
        <v>17036</v>
      </c>
      <c r="U904" t="s">
        <v>17037</v>
      </c>
      <c r="V904" t="s">
        <v>17038</v>
      </c>
      <c r="W904" t="s">
        <v>17039</v>
      </c>
      <c r="X904" t="s">
        <v>17040</v>
      </c>
      <c r="Y904" t="s">
        <v>17041</v>
      </c>
      <c r="Z904" t="s">
        <v>17042</v>
      </c>
      <c r="AA904" t="s">
        <v>17043</v>
      </c>
      <c r="AB904" t="s">
        <v>17044</v>
      </c>
      <c r="AC904" t="s">
        <v>74</v>
      </c>
      <c r="AD904" t="s">
        <v>74</v>
      </c>
      <c r="AE904" t="s">
        <v>74</v>
      </c>
      <c r="AF904" t="s">
        <v>74</v>
      </c>
      <c r="AG904">
        <v>86</v>
      </c>
      <c r="AH904">
        <v>35</v>
      </c>
      <c r="AI904">
        <v>38</v>
      </c>
      <c r="AJ904">
        <v>3</v>
      </c>
      <c r="AK904">
        <v>67</v>
      </c>
      <c r="AL904" t="s">
        <v>644</v>
      </c>
      <c r="AM904" t="s">
        <v>740</v>
      </c>
      <c r="AN904" t="s">
        <v>741</v>
      </c>
      <c r="AO904" t="s">
        <v>17045</v>
      </c>
      <c r="AP904" t="s">
        <v>17046</v>
      </c>
      <c r="AQ904" t="s">
        <v>74</v>
      </c>
      <c r="AR904" t="s">
        <v>17047</v>
      </c>
      <c r="AS904" t="s">
        <v>17048</v>
      </c>
      <c r="AT904" t="s">
        <v>16960</v>
      </c>
      <c r="AU904">
        <v>2016</v>
      </c>
      <c r="AV904">
        <v>46</v>
      </c>
      <c r="AW904" t="s">
        <v>17049</v>
      </c>
      <c r="AX904" t="s">
        <v>74</v>
      </c>
      <c r="AY904" t="s">
        <v>74</v>
      </c>
      <c r="AZ904" t="s">
        <v>74</v>
      </c>
      <c r="BA904" t="s">
        <v>74</v>
      </c>
      <c r="BB904">
        <v>289</v>
      </c>
      <c r="BC904">
        <v>310</v>
      </c>
      <c r="BD904" t="s">
        <v>74</v>
      </c>
      <c r="BE904" t="s">
        <v>17050</v>
      </c>
      <c r="BF904" t="str">
        <f>HYPERLINK("http://dx.doi.org/10.1007/s11084-015-9467-9","http://dx.doi.org/10.1007/s11084-015-9467-9")</f>
        <v>http://dx.doi.org/10.1007/s11084-015-9467-9</v>
      </c>
      <c r="BG904" t="s">
        <v>74</v>
      </c>
      <c r="BH904" t="s">
        <v>74</v>
      </c>
      <c r="BI904">
        <v>22</v>
      </c>
      <c r="BJ904" t="s">
        <v>2614</v>
      </c>
      <c r="BK904" t="s">
        <v>2548</v>
      </c>
      <c r="BL904" t="s">
        <v>2615</v>
      </c>
      <c r="BM904" t="s">
        <v>17051</v>
      </c>
      <c r="BN904">
        <v>26530341</v>
      </c>
      <c r="BO904" t="s">
        <v>74</v>
      </c>
      <c r="BP904" t="s">
        <v>74</v>
      </c>
      <c r="BQ904" t="s">
        <v>74</v>
      </c>
      <c r="BR904" t="s">
        <v>105</v>
      </c>
      <c r="BS904" t="s">
        <v>17052</v>
      </c>
      <c r="BT904" t="str">
        <f>HYPERLINK("https%3A%2F%2Fwww.webofscience.com%2Fwos%2Fwoscc%2Ffull-record%2FWOS:000385183300011","View Full Record in Web of Science")</f>
        <v>View Full Record in Web of Science</v>
      </c>
    </row>
    <row r="905" spans="1:72" x14ac:dyDescent="0.15">
      <c r="A905" t="s">
        <v>72</v>
      </c>
      <c r="B905" t="s">
        <v>17053</v>
      </c>
      <c r="C905" t="s">
        <v>74</v>
      </c>
      <c r="D905" t="s">
        <v>74</v>
      </c>
      <c r="E905" t="s">
        <v>74</v>
      </c>
      <c r="F905" t="s">
        <v>17054</v>
      </c>
      <c r="G905" t="s">
        <v>74</v>
      </c>
      <c r="H905" t="s">
        <v>74</v>
      </c>
      <c r="I905" t="s">
        <v>17055</v>
      </c>
      <c r="J905" t="s">
        <v>17056</v>
      </c>
      <c r="K905" t="s">
        <v>74</v>
      </c>
      <c r="L905" t="s">
        <v>74</v>
      </c>
      <c r="M905" t="s">
        <v>2227</v>
      </c>
      <c r="N905" t="s">
        <v>79</v>
      </c>
      <c r="O905" t="s">
        <v>74</v>
      </c>
      <c r="P905" t="s">
        <v>74</v>
      </c>
      <c r="Q905" t="s">
        <v>74</v>
      </c>
      <c r="R905" t="s">
        <v>74</v>
      </c>
      <c r="S905" t="s">
        <v>74</v>
      </c>
      <c r="T905" t="s">
        <v>17057</v>
      </c>
      <c r="U905" t="s">
        <v>17058</v>
      </c>
      <c r="V905" t="s">
        <v>17059</v>
      </c>
      <c r="W905" t="s">
        <v>17060</v>
      </c>
      <c r="X905" t="s">
        <v>17061</v>
      </c>
      <c r="Y905" t="s">
        <v>17062</v>
      </c>
      <c r="Z905" t="s">
        <v>17063</v>
      </c>
      <c r="AA905" t="s">
        <v>17064</v>
      </c>
      <c r="AB905" t="s">
        <v>17065</v>
      </c>
      <c r="AC905" t="s">
        <v>74</v>
      </c>
      <c r="AD905" t="s">
        <v>74</v>
      </c>
      <c r="AE905" t="s">
        <v>74</v>
      </c>
      <c r="AF905" t="s">
        <v>74</v>
      </c>
      <c r="AG905">
        <v>64</v>
      </c>
      <c r="AH905">
        <v>4</v>
      </c>
      <c r="AI905">
        <v>4</v>
      </c>
      <c r="AJ905">
        <v>0</v>
      </c>
      <c r="AK905">
        <v>7</v>
      </c>
      <c r="AL905" t="s">
        <v>17066</v>
      </c>
      <c r="AM905" t="s">
        <v>17067</v>
      </c>
      <c r="AN905" t="s">
        <v>17068</v>
      </c>
      <c r="AO905" t="s">
        <v>17069</v>
      </c>
      <c r="AP905" t="s">
        <v>74</v>
      </c>
      <c r="AQ905" t="s">
        <v>74</v>
      </c>
      <c r="AR905" t="s">
        <v>17056</v>
      </c>
      <c r="AS905" t="s">
        <v>17070</v>
      </c>
      <c r="AT905" t="s">
        <v>16960</v>
      </c>
      <c r="AU905">
        <v>2016</v>
      </c>
      <c r="AV905">
        <v>80</v>
      </c>
      <c r="AW905">
        <v>1</v>
      </c>
      <c r="AX905" t="s">
        <v>74</v>
      </c>
      <c r="AY905" t="s">
        <v>74</v>
      </c>
      <c r="AZ905" t="s">
        <v>74</v>
      </c>
      <c r="BA905" t="s">
        <v>74</v>
      </c>
      <c r="BB905">
        <v>75</v>
      </c>
      <c r="BC905">
        <v>91</v>
      </c>
      <c r="BD905" t="s">
        <v>74</v>
      </c>
      <c r="BE905" t="s">
        <v>74</v>
      </c>
      <c r="BF905" t="s">
        <v>74</v>
      </c>
      <c r="BG905" t="s">
        <v>74</v>
      </c>
      <c r="BH905" t="s">
        <v>74</v>
      </c>
      <c r="BI905">
        <v>17</v>
      </c>
      <c r="BJ905" t="s">
        <v>17071</v>
      </c>
      <c r="BK905" t="s">
        <v>156</v>
      </c>
      <c r="BL905" t="s">
        <v>17071</v>
      </c>
      <c r="BM905" t="s">
        <v>17072</v>
      </c>
      <c r="BN905" t="s">
        <v>74</v>
      </c>
      <c r="BO905" t="s">
        <v>74</v>
      </c>
      <c r="BP905" t="s">
        <v>74</v>
      </c>
      <c r="BQ905" t="s">
        <v>74</v>
      </c>
      <c r="BR905" t="s">
        <v>105</v>
      </c>
      <c r="BS905" t="s">
        <v>17073</v>
      </c>
      <c r="BT905" t="str">
        <f>HYPERLINK("https%3A%2F%2Fwww.webofscience.com%2Fwos%2Fwoscc%2Ffull-record%2FWOS:000383443200009","View Full Record in Web of Science")</f>
        <v>View Full Record in Web of Science</v>
      </c>
    </row>
    <row r="906" spans="1:72" x14ac:dyDescent="0.15">
      <c r="A906" t="s">
        <v>72</v>
      </c>
      <c r="B906" t="s">
        <v>17074</v>
      </c>
      <c r="C906" t="s">
        <v>74</v>
      </c>
      <c r="D906" t="s">
        <v>74</v>
      </c>
      <c r="E906" t="s">
        <v>74</v>
      </c>
      <c r="F906" t="s">
        <v>17075</v>
      </c>
      <c r="G906" t="s">
        <v>74</v>
      </c>
      <c r="H906" t="s">
        <v>74</v>
      </c>
      <c r="I906" t="s">
        <v>17076</v>
      </c>
      <c r="J906" t="s">
        <v>2357</v>
      </c>
      <c r="K906" t="s">
        <v>74</v>
      </c>
      <c r="L906" t="s">
        <v>74</v>
      </c>
      <c r="M906" t="s">
        <v>78</v>
      </c>
      <c r="N906" t="s">
        <v>79</v>
      </c>
      <c r="O906" t="s">
        <v>74</v>
      </c>
      <c r="P906" t="s">
        <v>74</v>
      </c>
      <c r="Q906" t="s">
        <v>74</v>
      </c>
      <c r="R906" t="s">
        <v>74</v>
      </c>
      <c r="S906" t="s">
        <v>74</v>
      </c>
      <c r="T906" t="s">
        <v>74</v>
      </c>
      <c r="U906" t="s">
        <v>17077</v>
      </c>
      <c r="V906" t="s">
        <v>17078</v>
      </c>
      <c r="W906" t="s">
        <v>17079</v>
      </c>
      <c r="X906" t="s">
        <v>17080</v>
      </c>
      <c r="Y906" t="s">
        <v>17081</v>
      </c>
      <c r="Z906" t="s">
        <v>17082</v>
      </c>
      <c r="AA906" t="s">
        <v>17083</v>
      </c>
      <c r="AB906" t="s">
        <v>17084</v>
      </c>
      <c r="AC906" t="s">
        <v>17085</v>
      </c>
      <c r="AD906" t="s">
        <v>17086</v>
      </c>
      <c r="AE906" t="s">
        <v>17087</v>
      </c>
      <c r="AF906" t="s">
        <v>74</v>
      </c>
      <c r="AG906">
        <v>91</v>
      </c>
      <c r="AH906">
        <v>21</v>
      </c>
      <c r="AI906">
        <v>21</v>
      </c>
      <c r="AJ906">
        <v>0</v>
      </c>
      <c r="AK906">
        <v>18</v>
      </c>
      <c r="AL906" t="s">
        <v>149</v>
      </c>
      <c r="AM906" t="s">
        <v>123</v>
      </c>
      <c r="AN906" t="s">
        <v>150</v>
      </c>
      <c r="AO906" t="s">
        <v>2370</v>
      </c>
      <c r="AP906" t="s">
        <v>2371</v>
      </c>
      <c r="AQ906" t="s">
        <v>74</v>
      </c>
      <c r="AR906" t="s">
        <v>2372</v>
      </c>
      <c r="AS906" t="s">
        <v>2373</v>
      </c>
      <c r="AT906" t="s">
        <v>16960</v>
      </c>
      <c r="AU906">
        <v>2016</v>
      </c>
      <c r="AV906">
        <v>121</v>
      </c>
      <c r="AW906">
        <v>6</v>
      </c>
      <c r="AX906" t="s">
        <v>74</v>
      </c>
      <c r="AY906" t="s">
        <v>74</v>
      </c>
      <c r="AZ906" t="s">
        <v>74</v>
      </c>
      <c r="BA906" t="s">
        <v>74</v>
      </c>
      <c r="BB906">
        <v>4056</v>
      </c>
      <c r="BC906">
        <v>4076</v>
      </c>
      <c r="BD906" t="s">
        <v>74</v>
      </c>
      <c r="BE906" t="s">
        <v>17088</v>
      </c>
      <c r="BF906" t="str">
        <f>HYPERLINK("http://dx.doi.org/10.1002/2015JC011572","http://dx.doi.org/10.1002/2015JC011572")</f>
        <v>http://dx.doi.org/10.1002/2015JC011572</v>
      </c>
      <c r="BG906" t="s">
        <v>74</v>
      </c>
      <c r="BH906" t="s">
        <v>74</v>
      </c>
      <c r="BI906">
        <v>21</v>
      </c>
      <c r="BJ906" t="s">
        <v>405</v>
      </c>
      <c r="BK906" t="s">
        <v>156</v>
      </c>
      <c r="BL906" t="s">
        <v>405</v>
      </c>
      <c r="BM906" t="s">
        <v>17089</v>
      </c>
      <c r="BN906" t="s">
        <v>74</v>
      </c>
      <c r="BO906" t="s">
        <v>258</v>
      </c>
      <c r="BP906" t="s">
        <v>74</v>
      </c>
      <c r="BQ906" t="s">
        <v>74</v>
      </c>
      <c r="BR906" t="s">
        <v>105</v>
      </c>
      <c r="BS906" t="s">
        <v>17090</v>
      </c>
      <c r="BT906" t="str">
        <f>HYPERLINK("https%3A%2F%2Fwww.webofscience.com%2Fwos%2Fwoscc%2Ffull-record%2FWOS:000383467800023","View Full Record in Web of Science")</f>
        <v>View Full Record in Web of Science</v>
      </c>
    </row>
    <row r="907" spans="1:72" x14ac:dyDescent="0.15">
      <c r="A907" t="s">
        <v>72</v>
      </c>
      <c r="B907" t="s">
        <v>17091</v>
      </c>
      <c r="C907" t="s">
        <v>74</v>
      </c>
      <c r="D907" t="s">
        <v>74</v>
      </c>
      <c r="E907" t="s">
        <v>74</v>
      </c>
      <c r="F907" t="s">
        <v>17092</v>
      </c>
      <c r="G907" t="s">
        <v>74</v>
      </c>
      <c r="H907" t="s">
        <v>74</v>
      </c>
      <c r="I907" t="s">
        <v>17093</v>
      </c>
      <c r="J907" t="s">
        <v>2357</v>
      </c>
      <c r="K907" t="s">
        <v>74</v>
      </c>
      <c r="L907" t="s">
        <v>74</v>
      </c>
      <c r="M907" t="s">
        <v>78</v>
      </c>
      <c r="N907" t="s">
        <v>79</v>
      </c>
      <c r="O907" t="s">
        <v>74</v>
      </c>
      <c r="P907" t="s">
        <v>74</v>
      </c>
      <c r="Q907" t="s">
        <v>74</v>
      </c>
      <c r="R907" t="s">
        <v>74</v>
      </c>
      <c r="S907" t="s">
        <v>74</v>
      </c>
      <c r="T907" t="s">
        <v>74</v>
      </c>
      <c r="U907" t="s">
        <v>17094</v>
      </c>
      <c r="V907" t="s">
        <v>17095</v>
      </c>
      <c r="W907" t="s">
        <v>17096</v>
      </c>
      <c r="X907" t="s">
        <v>17097</v>
      </c>
      <c r="Y907" t="s">
        <v>17098</v>
      </c>
      <c r="Z907" t="s">
        <v>17099</v>
      </c>
      <c r="AA907" t="s">
        <v>17100</v>
      </c>
      <c r="AB907" t="s">
        <v>17101</v>
      </c>
      <c r="AC907" t="s">
        <v>17102</v>
      </c>
      <c r="AD907" t="s">
        <v>17103</v>
      </c>
      <c r="AE907" t="s">
        <v>17104</v>
      </c>
      <c r="AF907" t="s">
        <v>74</v>
      </c>
      <c r="AG907">
        <v>46</v>
      </c>
      <c r="AH907">
        <v>10</v>
      </c>
      <c r="AI907">
        <v>11</v>
      </c>
      <c r="AJ907">
        <v>3</v>
      </c>
      <c r="AK907">
        <v>10</v>
      </c>
      <c r="AL907" t="s">
        <v>149</v>
      </c>
      <c r="AM907" t="s">
        <v>123</v>
      </c>
      <c r="AN907" t="s">
        <v>150</v>
      </c>
      <c r="AO907" t="s">
        <v>2370</v>
      </c>
      <c r="AP907" t="s">
        <v>2371</v>
      </c>
      <c r="AQ907" t="s">
        <v>74</v>
      </c>
      <c r="AR907" t="s">
        <v>2372</v>
      </c>
      <c r="AS907" t="s">
        <v>2373</v>
      </c>
      <c r="AT907" t="s">
        <v>16960</v>
      </c>
      <c r="AU907">
        <v>2016</v>
      </c>
      <c r="AV907">
        <v>121</v>
      </c>
      <c r="AW907">
        <v>6</v>
      </c>
      <c r="AX907" t="s">
        <v>74</v>
      </c>
      <c r="AY907" t="s">
        <v>74</v>
      </c>
      <c r="AZ907" t="s">
        <v>74</v>
      </c>
      <c r="BA907" t="s">
        <v>74</v>
      </c>
      <c r="BB907">
        <v>4282</v>
      </c>
      <c r="BC907">
        <v>4302</v>
      </c>
      <c r="BD907" t="s">
        <v>74</v>
      </c>
      <c r="BE907" t="s">
        <v>17105</v>
      </c>
      <c r="BF907" t="str">
        <f>HYPERLINK("http://dx.doi.org/10.1002/2016JC011682","http://dx.doi.org/10.1002/2016JC011682")</f>
        <v>http://dx.doi.org/10.1002/2016JC011682</v>
      </c>
      <c r="BG907" t="s">
        <v>74</v>
      </c>
      <c r="BH907" t="s">
        <v>74</v>
      </c>
      <c r="BI907">
        <v>21</v>
      </c>
      <c r="BJ907" t="s">
        <v>405</v>
      </c>
      <c r="BK907" t="s">
        <v>156</v>
      </c>
      <c r="BL907" t="s">
        <v>405</v>
      </c>
      <c r="BM907" t="s">
        <v>17089</v>
      </c>
      <c r="BN907" t="s">
        <v>74</v>
      </c>
      <c r="BO907" t="s">
        <v>329</v>
      </c>
      <c r="BP907" t="s">
        <v>74</v>
      </c>
      <c r="BQ907" t="s">
        <v>74</v>
      </c>
      <c r="BR907" t="s">
        <v>105</v>
      </c>
      <c r="BS907" t="s">
        <v>17106</v>
      </c>
      <c r="BT907" t="str">
        <f>HYPERLINK("https%3A%2F%2Fwww.webofscience.com%2Fwos%2Fwoscc%2Ffull-record%2FWOS:000383467800035","View Full Record in Web of Science")</f>
        <v>View Full Record in Web of Science</v>
      </c>
    </row>
    <row r="908" spans="1:72" x14ac:dyDescent="0.15">
      <c r="A908" t="s">
        <v>72</v>
      </c>
      <c r="B908" t="s">
        <v>17107</v>
      </c>
      <c r="C908" t="s">
        <v>74</v>
      </c>
      <c r="D908" t="s">
        <v>74</v>
      </c>
      <c r="E908" t="s">
        <v>74</v>
      </c>
      <c r="F908" t="s">
        <v>17108</v>
      </c>
      <c r="G908" t="s">
        <v>74</v>
      </c>
      <c r="H908" t="s">
        <v>74</v>
      </c>
      <c r="I908" t="s">
        <v>17109</v>
      </c>
      <c r="J908" t="s">
        <v>2292</v>
      </c>
      <c r="K908" t="s">
        <v>74</v>
      </c>
      <c r="L908" t="s">
        <v>74</v>
      </c>
      <c r="M908" t="s">
        <v>78</v>
      </c>
      <c r="N908" t="s">
        <v>79</v>
      </c>
      <c r="O908" t="s">
        <v>74</v>
      </c>
      <c r="P908" t="s">
        <v>74</v>
      </c>
      <c r="Q908" t="s">
        <v>74</v>
      </c>
      <c r="R908" t="s">
        <v>74</v>
      </c>
      <c r="S908" t="s">
        <v>74</v>
      </c>
      <c r="T908" t="s">
        <v>74</v>
      </c>
      <c r="U908" t="s">
        <v>17110</v>
      </c>
      <c r="V908" t="s">
        <v>17111</v>
      </c>
      <c r="W908" t="s">
        <v>17112</v>
      </c>
      <c r="X908" t="s">
        <v>17113</v>
      </c>
      <c r="Y908" t="s">
        <v>17114</v>
      </c>
      <c r="Z908" t="s">
        <v>17115</v>
      </c>
      <c r="AA908" t="s">
        <v>17116</v>
      </c>
      <c r="AB908" t="s">
        <v>17117</v>
      </c>
      <c r="AC908" t="s">
        <v>17118</v>
      </c>
      <c r="AD908" t="s">
        <v>17119</v>
      </c>
      <c r="AE908" t="s">
        <v>17120</v>
      </c>
      <c r="AF908" t="s">
        <v>74</v>
      </c>
      <c r="AG908">
        <v>62</v>
      </c>
      <c r="AH908">
        <v>8</v>
      </c>
      <c r="AI908">
        <v>9</v>
      </c>
      <c r="AJ908">
        <v>0</v>
      </c>
      <c r="AK908">
        <v>7</v>
      </c>
      <c r="AL908" t="s">
        <v>149</v>
      </c>
      <c r="AM908" t="s">
        <v>123</v>
      </c>
      <c r="AN908" t="s">
        <v>150</v>
      </c>
      <c r="AO908" t="s">
        <v>2303</v>
      </c>
      <c r="AP908" t="s">
        <v>2304</v>
      </c>
      <c r="AQ908" t="s">
        <v>74</v>
      </c>
      <c r="AR908" t="s">
        <v>2305</v>
      </c>
      <c r="AS908" t="s">
        <v>2306</v>
      </c>
      <c r="AT908" t="s">
        <v>16960</v>
      </c>
      <c r="AU908">
        <v>2016</v>
      </c>
      <c r="AV908">
        <v>121</v>
      </c>
      <c r="AW908">
        <v>6</v>
      </c>
      <c r="AX908" t="s">
        <v>74</v>
      </c>
      <c r="AY908" t="s">
        <v>74</v>
      </c>
      <c r="AZ908" t="s">
        <v>74</v>
      </c>
      <c r="BA908" t="s">
        <v>74</v>
      </c>
      <c r="BB908">
        <v>5626</v>
      </c>
      <c r="BC908">
        <v>5638</v>
      </c>
      <c r="BD908" t="s">
        <v>74</v>
      </c>
      <c r="BE908" t="s">
        <v>17121</v>
      </c>
      <c r="BF908" t="str">
        <f>HYPERLINK("http://dx.doi.org/10.1002/2015JA022171","http://dx.doi.org/10.1002/2015JA022171")</f>
        <v>http://dx.doi.org/10.1002/2015JA022171</v>
      </c>
      <c r="BG908" t="s">
        <v>74</v>
      </c>
      <c r="BH908" t="s">
        <v>74</v>
      </c>
      <c r="BI908">
        <v>13</v>
      </c>
      <c r="BJ908" t="s">
        <v>748</v>
      </c>
      <c r="BK908" t="s">
        <v>156</v>
      </c>
      <c r="BL908" t="s">
        <v>748</v>
      </c>
      <c r="BM908" t="s">
        <v>17122</v>
      </c>
      <c r="BN908" t="s">
        <v>74</v>
      </c>
      <c r="BO908" t="s">
        <v>74</v>
      </c>
      <c r="BP908" t="s">
        <v>74</v>
      </c>
      <c r="BQ908" t="s">
        <v>74</v>
      </c>
      <c r="BR908" t="s">
        <v>105</v>
      </c>
      <c r="BS908" t="s">
        <v>17123</v>
      </c>
      <c r="BT908" t="str">
        <f>HYPERLINK("https%3A%2F%2Fwww.webofscience.com%2Fwos%2Fwoscc%2Ffull-record%2FWOS:000383421100048","View Full Record in Web of Science")</f>
        <v>View Full Record in Web of Science</v>
      </c>
    </row>
    <row r="909" spans="1:72" x14ac:dyDescent="0.15">
      <c r="A909" t="s">
        <v>72</v>
      </c>
      <c r="B909" t="s">
        <v>17124</v>
      </c>
      <c r="C909" t="s">
        <v>74</v>
      </c>
      <c r="D909" t="s">
        <v>74</v>
      </c>
      <c r="E909" t="s">
        <v>74</v>
      </c>
      <c r="F909" t="s">
        <v>17125</v>
      </c>
      <c r="G909" t="s">
        <v>74</v>
      </c>
      <c r="H909" t="s">
        <v>74</v>
      </c>
      <c r="I909" t="s">
        <v>17126</v>
      </c>
      <c r="J909" t="s">
        <v>2292</v>
      </c>
      <c r="K909" t="s">
        <v>74</v>
      </c>
      <c r="L909" t="s">
        <v>74</v>
      </c>
      <c r="M909" t="s">
        <v>78</v>
      </c>
      <c r="N909" t="s">
        <v>79</v>
      </c>
      <c r="O909" t="s">
        <v>74</v>
      </c>
      <c r="P909" t="s">
        <v>74</v>
      </c>
      <c r="Q909" t="s">
        <v>74</v>
      </c>
      <c r="R909" t="s">
        <v>74</v>
      </c>
      <c r="S909" t="s">
        <v>74</v>
      </c>
      <c r="T909" t="s">
        <v>74</v>
      </c>
      <c r="U909" t="s">
        <v>17127</v>
      </c>
      <c r="V909" t="s">
        <v>17128</v>
      </c>
      <c r="W909" t="s">
        <v>17129</v>
      </c>
      <c r="X909" t="s">
        <v>17130</v>
      </c>
      <c r="Y909" t="s">
        <v>17131</v>
      </c>
      <c r="Z909" t="s">
        <v>17132</v>
      </c>
      <c r="AA909" t="s">
        <v>17133</v>
      </c>
      <c r="AB909" t="s">
        <v>17134</v>
      </c>
      <c r="AC909" t="s">
        <v>17135</v>
      </c>
      <c r="AD909" t="s">
        <v>17136</v>
      </c>
      <c r="AE909" t="s">
        <v>17137</v>
      </c>
      <c r="AF909" t="s">
        <v>74</v>
      </c>
      <c r="AG909">
        <v>89</v>
      </c>
      <c r="AH909">
        <v>13</v>
      </c>
      <c r="AI909">
        <v>14</v>
      </c>
      <c r="AJ909">
        <v>2</v>
      </c>
      <c r="AK909">
        <v>8</v>
      </c>
      <c r="AL909" t="s">
        <v>149</v>
      </c>
      <c r="AM909" t="s">
        <v>123</v>
      </c>
      <c r="AN909" t="s">
        <v>150</v>
      </c>
      <c r="AO909" t="s">
        <v>2303</v>
      </c>
      <c r="AP909" t="s">
        <v>2304</v>
      </c>
      <c r="AQ909" t="s">
        <v>74</v>
      </c>
      <c r="AR909" t="s">
        <v>2305</v>
      </c>
      <c r="AS909" t="s">
        <v>2306</v>
      </c>
      <c r="AT909" t="s">
        <v>16960</v>
      </c>
      <c r="AU909">
        <v>2016</v>
      </c>
      <c r="AV909">
        <v>121</v>
      </c>
      <c r="AW909">
        <v>6</v>
      </c>
      <c r="AX909" t="s">
        <v>74</v>
      </c>
      <c r="AY909" t="s">
        <v>74</v>
      </c>
      <c r="AZ909" t="s">
        <v>74</v>
      </c>
      <c r="BA909" t="s">
        <v>74</v>
      </c>
      <c r="BB909">
        <v>5723</v>
      </c>
      <c r="BC909">
        <v>5736</v>
      </c>
      <c r="BD909" t="s">
        <v>74</v>
      </c>
      <c r="BE909" t="s">
        <v>17138</v>
      </c>
      <c r="BF909" t="str">
        <f>HYPERLINK("http://dx.doi.org/10.1002/2016JA022708","http://dx.doi.org/10.1002/2016JA022708")</f>
        <v>http://dx.doi.org/10.1002/2016JA022708</v>
      </c>
      <c r="BG909" t="s">
        <v>74</v>
      </c>
      <c r="BH909" t="s">
        <v>74</v>
      </c>
      <c r="BI909">
        <v>14</v>
      </c>
      <c r="BJ909" t="s">
        <v>748</v>
      </c>
      <c r="BK909" t="s">
        <v>156</v>
      </c>
      <c r="BL909" t="s">
        <v>748</v>
      </c>
      <c r="BM909" t="s">
        <v>17122</v>
      </c>
      <c r="BN909" t="s">
        <v>74</v>
      </c>
      <c r="BO909" t="s">
        <v>17139</v>
      </c>
      <c r="BP909" t="s">
        <v>74</v>
      </c>
      <c r="BQ909" t="s">
        <v>74</v>
      </c>
      <c r="BR909" t="s">
        <v>105</v>
      </c>
      <c r="BS909" t="s">
        <v>17140</v>
      </c>
      <c r="BT909" t="str">
        <f>HYPERLINK("https%3A%2F%2Fwww.webofscience.com%2Fwos%2Fwoscc%2Ffull-record%2FWOS:000383421100055","View Full Record in Web of Science")</f>
        <v>View Full Record in Web of Science</v>
      </c>
    </row>
    <row r="910" spans="1:72" x14ac:dyDescent="0.15">
      <c r="A910" t="s">
        <v>72</v>
      </c>
      <c r="B910" t="s">
        <v>17141</v>
      </c>
      <c r="C910" t="s">
        <v>74</v>
      </c>
      <c r="D910" t="s">
        <v>74</v>
      </c>
      <c r="E910" t="s">
        <v>74</v>
      </c>
      <c r="F910" t="s">
        <v>17142</v>
      </c>
      <c r="G910" t="s">
        <v>74</v>
      </c>
      <c r="H910" t="s">
        <v>74</v>
      </c>
      <c r="I910" t="s">
        <v>17143</v>
      </c>
      <c r="J910" t="s">
        <v>7086</v>
      </c>
      <c r="K910" t="s">
        <v>74</v>
      </c>
      <c r="L910" t="s">
        <v>74</v>
      </c>
      <c r="M910" t="s">
        <v>78</v>
      </c>
      <c r="N910" t="s">
        <v>79</v>
      </c>
      <c r="O910" t="s">
        <v>74</v>
      </c>
      <c r="P910" t="s">
        <v>74</v>
      </c>
      <c r="Q910" t="s">
        <v>74</v>
      </c>
      <c r="R910" t="s">
        <v>74</v>
      </c>
      <c r="S910" t="s">
        <v>74</v>
      </c>
      <c r="T910" t="s">
        <v>17144</v>
      </c>
      <c r="U910" t="s">
        <v>17145</v>
      </c>
      <c r="V910" t="s">
        <v>17146</v>
      </c>
      <c r="W910" t="s">
        <v>17147</v>
      </c>
      <c r="X910" t="s">
        <v>17148</v>
      </c>
      <c r="Y910" t="s">
        <v>17149</v>
      </c>
      <c r="Z910" t="s">
        <v>17150</v>
      </c>
      <c r="AA910" t="s">
        <v>74</v>
      </c>
      <c r="AB910" t="s">
        <v>74</v>
      </c>
      <c r="AC910" t="s">
        <v>17151</v>
      </c>
      <c r="AD910" t="s">
        <v>17152</v>
      </c>
      <c r="AE910" t="s">
        <v>17153</v>
      </c>
      <c r="AF910" t="s">
        <v>74</v>
      </c>
      <c r="AG910">
        <v>48</v>
      </c>
      <c r="AH910">
        <v>11</v>
      </c>
      <c r="AI910">
        <v>11</v>
      </c>
      <c r="AJ910">
        <v>0</v>
      </c>
      <c r="AK910">
        <v>3</v>
      </c>
      <c r="AL910" t="s">
        <v>92</v>
      </c>
      <c r="AM910" t="s">
        <v>93</v>
      </c>
      <c r="AN910" t="s">
        <v>94</v>
      </c>
      <c r="AO910" t="s">
        <v>7099</v>
      </c>
      <c r="AP910" t="s">
        <v>7100</v>
      </c>
      <c r="AQ910" t="s">
        <v>74</v>
      </c>
      <c r="AR910" t="s">
        <v>7101</v>
      </c>
      <c r="AS910" t="s">
        <v>7102</v>
      </c>
      <c r="AT910" t="s">
        <v>16960</v>
      </c>
      <c r="AU910">
        <v>2016</v>
      </c>
      <c r="AV910">
        <v>126</v>
      </c>
      <c r="AW910" t="s">
        <v>74</v>
      </c>
      <c r="AX910" t="s">
        <v>74</v>
      </c>
      <c r="AY910" t="s">
        <v>74</v>
      </c>
      <c r="AZ910" t="s">
        <v>74</v>
      </c>
      <c r="BA910" t="s">
        <v>74</v>
      </c>
      <c r="BB910">
        <v>65</v>
      </c>
      <c r="BC910">
        <v>84</v>
      </c>
      <c r="BD910" t="s">
        <v>74</v>
      </c>
      <c r="BE910" t="s">
        <v>17154</v>
      </c>
      <c r="BF910" t="str">
        <f>HYPERLINK("http://dx.doi.org/10.1016/j.marmicro.2016.06.003","http://dx.doi.org/10.1016/j.marmicro.2016.06.003")</f>
        <v>http://dx.doi.org/10.1016/j.marmicro.2016.06.003</v>
      </c>
      <c r="BG910" t="s">
        <v>74</v>
      </c>
      <c r="BH910" t="s">
        <v>74</v>
      </c>
      <c r="BI910">
        <v>20</v>
      </c>
      <c r="BJ910" t="s">
        <v>7104</v>
      </c>
      <c r="BK910" t="s">
        <v>156</v>
      </c>
      <c r="BL910" t="s">
        <v>7104</v>
      </c>
      <c r="BM910" t="s">
        <v>17155</v>
      </c>
      <c r="BN910" t="s">
        <v>74</v>
      </c>
      <c r="BO910" t="s">
        <v>74</v>
      </c>
      <c r="BP910" t="s">
        <v>74</v>
      </c>
      <c r="BQ910" t="s">
        <v>74</v>
      </c>
      <c r="BR910" t="s">
        <v>105</v>
      </c>
      <c r="BS910" t="s">
        <v>17156</v>
      </c>
      <c r="BT910" t="str">
        <f>HYPERLINK("https%3A%2F%2Fwww.webofscience.com%2Fwos%2Fwoscc%2Ffull-record%2FWOS:000381324100006","View Full Record in Web of Science")</f>
        <v>View Full Record in Web of Science</v>
      </c>
    </row>
    <row r="911" spans="1:72" x14ac:dyDescent="0.15">
      <c r="A911" t="s">
        <v>72</v>
      </c>
      <c r="B911" t="s">
        <v>17157</v>
      </c>
      <c r="C911" t="s">
        <v>74</v>
      </c>
      <c r="D911" t="s">
        <v>74</v>
      </c>
      <c r="E911" t="s">
        <v>74</v>
      </c>
      <c r="F911" t="s">
        <v>17158</v>
      </c>
      <c r="G911" t="s">
        <v>74</v>
      </c>
      <c r="H911" t="s">
        <v>74</v>
      </c>
      <c r="I911" t="s">
        <v>17159</v>
      </c>
      <c r="J911" t="s">
        <v>17160</v>
      </c>
      <c r="K911" t="s">
        <v>74</v>
      </c>
      <c r="L911" t="s">
        <v>74</v>
      </c>
      <c r="M911" t="s">
        <v>2227</v>
      </c>
      <c r="N911" t="s">
        <v>79</v>
      </c>
      <c r="O911" t="s">
        <v>74</v>
      </c>
      <c r="P911" t="s">
        <v>74</v>
      </c>
      <c r="Q911" t="s">
        <v>74</v>
      </c>
      <c r="R911" t="s">
        <v>74</v>
      </c>
      <c r="S911" t="s">
        <v>74</v>
      </c>
      <c r="T911" t="s">
        <v>17161</v>
      </c>
      <c r="U911" t="s">
        <v>74</v>
      </c>
      <c r="V911" t="s">
        <v>17162</v>
      </c>
      <c r="W911" t="s">
        <v>17163</v>
      </c>
      <c r="X911" t="s">
        <v>17164</v>
      </c>
      <c r="Y911" t="s">
        <v>17165</v>
      </c>
      <c r="Z911" t="s">
        <v>17166</v>
      </c>
      <c r="AA911" t="s">
        <v>17167</v>
      </c>
      <c r="AB911" t="s">
        <v>17168</v>
      </c>
      <c r="AC911" t="s">
        <v>74</v>
      </c>
      <c r="AD911" t="s">
        <v>74</v>
      </c>
      <c r="AE911" t="s">
        <v>74</v>
      </c>
      <c r="AF911" t="s">
        <v>74</v>
      </c>
      <c r="AG911">
        <v>17</v>
      </c>
      <c r="AH911">
        <v>0</v>
      </c>
      <c r="AI911">
        <v>0</v>
      </c>
      <c r="AJ911">
        <v>0</v>
      </c>
      <c r="AK911">
        <v>8</v>
      </c>
      <c r="AL911" t="s">
        <v>17169</v>
      </c>
      <c r="AM911" t="s">
        <v>17067</v>
      </c>
      <c r="AN911" t="s">
        <v>17170</v>
      </c>
      <c r="AO911" t="s">
        <v>17171</v>
      </c>
      <c r="AP911" t="s">
        <v>74</v>
      </c>
      <c r="AQ911" t="s">
        <v>74</v>
      </c>
      <c r="AR911" t="s">
        <v>17172</v>
      </c>
      <c r="AS911" t="s">
        <v>17173</v>
      </c>
      <c r="AT911" t="s">
        <v>16960</v>
      </c>
      <c r="AU911">
        <v>2016</v>
      </c>
      <c r="AV911">
        <v>6</v>
      </c>
      <c r="AW911">
        <v>1</v>
      </c>
      <c r="AX911" t="s">
        <v>74</v>
      </c>
      <c r="AY911" t="s">
        <v>74</v>
      </c>
      <c r="AZ911" t="s">
        <v>74</v>
      </c>
      <c r="BA911" t="s">
        <v>74</v>
      </c>
      <c r="BB911">
        <v>61</v>
      </c>
      <c r="BC911">
        <v>71</v>
      </c>
      <c r="BD911" t="s">
        <v>74</v>
      </c>
      <c r="BE911" t="s">
        <v>74</v>
      </c>
      <c r="BF911" t="s">
        <v>74</v>
      </c>
      <c r="BG911" t="s">
        <v>74</v>
      </c>
      <c r="BH911" t="s">
        <v>74</v>
      </c>
      <c r="BI911">
        <v>11</v>
      </c>
      <c r="BJ911" t="s">
        <v>17174</v>
      </c>
      <c r="BK911" t="s">
        <v>131</v>
      </c>
      <c r="BL911" t="s">
        <v>803</v>
      </c>
      <c r="BM911" t="s">
        <v>17175</v>
      </c>
      <c r="BN911" t="s">
        <v>74</v>
      </c>
      <c r="BO911" t="s">
        <v>74</v>
      </c>
      <c r="BP911" t="s">
        <v>74</v>
      </c>
      <c r="BQ911" t="s">
        <v>74</v>
      </c>
      <c r="BR911" t="s">
        <v>105</v>
      </c>
      <c r="BS911" t="s">
        <v>17176</v>
      </c>
      <c r="BT911" t="str">
        <f>HYPERLINK("https%3A%2F%2Fwww.webofscience.com%2Fwos%2Fwoscc%2Ffull-record%2FWOS:000382671700007","View Full Record in Web of Science")</f>
        <v>View Full Record in Web of Science</v>
      </c>
    </row>
    <row r="912" spans="1:72" x14ac:dyDescent="0.15">
      <c r="A912" t="s">
        <v>72</v>
      </c>
      <c r="B912" t="s">
        <v>17177</v>
      </c>
      <c r="C912" t="s">
        <v>74</v>
      </c>
      <c r="D912" t="s">
        <v>74</v>
      </c>
      <c r="E912" t="s">
        <v>74</v>
      </c>
      <c r="F912" t="s">
        <v>17178</v>
      </c>
      <c r="G912" t="s">
        <v>74</v>
      </c>
      <c r="H912" t="s">
        <v>74</v>
      </c>
      <c r="I912" t="s">
        <v>17179</v>
      </c>
      <c r="J912" t="s">
        <v>3100</v>
      </c>
      <c r="K912" t="s">
        <v>74</v>
      </c>
      <c r="L912" t="s">
        <v>74</v>
      </c>
      <c r="M912" t="s">
        <v>78</v>
      </c>
      <c r="N912" t="s">
        <v>79</v>
      </c>
      <c r="O912" t="s">
        <v>74</v>
      </c>
      <c r="P912" t="s">
        <v>74</v>
      </c>
      <c r="Q912" t="s">
        <v>74</v>
      </c>
      <c r="R912" t="s">
        <v>74</v>
      </c>
      <c r="S912" t="s">
        <v>74</v>
      </c>
      <c r="T912" t="s">
        <v>17180</v>
      </c>
      <c r="U912" t="s">
        <v>17181</v>
      </c>
      <c r="V912" t="s">
        <v>17182</v>
      </c>
      <c r="W912" t="s">
        <v>17183</v>
      </c>
      <c r="X912" t="s">
        <v>12902</v>
      </c>
      <c r="Y912" t="s">
        <v>17184</v>
      </c>
      <c r="Z912" t="s">
        <v>17185</v>
      </c>
      <c r="AA912" t="s">
        <v>74</v>
      </c>
      <c r="AB912" t="s">
        <v>17186</v>
      </c>
      <c r="AC912" t="s">
        <v>17187</v>
      </c>
      <c r="AD912" t="s">
        <v>17188</v>
      </c>
      <c r="AE912" t="s">
        <v>17189</v>
      </c>
      <c r="AF912" t="s">
        <v>74</v>
      </c>
      <c r="AG912">
        <v>49</v>
      </c>
      <c r="AH912">
        <v>3</v>
      </c>
      <c r="AI912">
        <v>4</v>
      </c>
      <c r="AJ912">
        <v>1</v>
      </c>
      <c r="AK912">
        <v>16</v>
      </c>
      <c r="AL912" t="s">
        <v>644</v>
      </c>
      <c r="AM912" t="s">
        <v>594</v>
      </c>
      <c r="AN912" t="s">
        <v>645</v>
      </c>
      <c r="AO912" t="s">
        <v>3113</v>
      </c>
      <c r="AP912" t="s">
        <v>3114</v>
      </c>
      <c r="AQ912" t="s">
        <v>74</v>
      </c>
      <c r="AR912" t="s">
        <v>3115</v>
      </c>
      <c r="AS912" t="s">
        <v>3116</v>
      </c>
      <c r="AT912" t="s">
        <v>16960</v>
      </c>
      <c r="AU912">
        <v>2016</v>
      </c>
      <c r="AV912">
        <v>46</v>
      </c>
      <c r="AW912" t="s">
        <v>773</v>
      </c>
      <c r="AX912" t="s">
        <v>74</v>
      </c>
      <c r="AY912" t="s">
        <v>74</v>
      </c>
      <c r="AZ912" t="s">
        <v>74</v>
      </c>
      <c r="BA912" t="s">
        <v>74</v>
      </c>
      <c r="BB912">
        <v>3657</v>
      </c>
      <c r="BC912">
        <v>3667</v>
      </c>
      <c r="BD912" t="s">
        <v>74</v>
      </c>
      <c r="BE912" t="s">
        <v>17190</v>
      </c>
      <c r="BF912" t="str">
        <f>HYPERLINK("http://dx.doi.org/10.1007/s00382-015-2794-8","http://dx.doi.org/10.1007/s00382-015-2794-8")</f>
        <v>http://dx.doi.org/10.1007/s00382-015-2794-8</v>
      </c>
      <c r="BG912" t="s">
        <v>74</v>
      </c>
      <c r="BH912" t="s">
        <v>74</v>
      </c>
      <c r="BI912">
        <v>11</v>
      </c>
      <c r="BJ912" t="s">
        <v>2482</v>
      </c>
      <c r="BK912" t="s">
        <v>156</v>
      </c>
      <c r="BL912" t="s">
        <v>2482</v>
      </c>
      <c r="BM912" t="s">
        <v>17191</v>
      </c>
      <c r="BN912" t="s">
        <v>74</v>
      </c>
      <c r="BO912" t="s">
        <v>74</v>
      </c>
      <c r="BP912" t="s">
        <v>74</v>
      </c>
      <c r="BQ912" t="s">
        <v>74</v>
      </c>
      <c r="BR912" t="s">
        <v>105</v>
      </c>
      <c r="BS912" t="s">
        <v>17192</v>
      </c>
      <c r="BT912" t="str">
        <f>HYPERLINK("https%3A%2F%2Fwww.webofscience.com%2Fwos%2Fwoscc%2Ffull-record%2FWOS:000381108600017","View Full Record in Web of Science")</f>
        <v>View Full Record in Web of Science</v>
      </c>
    </row>
    <row r="913" spans="1:72" x14ac:dyDescent="0.15">
      <c r="A913" t="s">
        <v>72</v>
      </c>
      <c r="B913" t="s">
        <v>17193</v>
      </c>
      <c r="C913" t="s">
        <v>74</v>
      </c>
      <c r="D913" t="s">
        <v>74</v>
      </c>
      <c r="E913" t="s">
        <v>74</v>
      </c>
      <c r="F913" t="s">
        <v>17194</v>
      </c>
      <c r="G913" t="s">
        <v>74</v>
      </c>
      <c r="H913" t="s">
        <v>74</v>
      </c>
      <c r="I913" t="s">
        <v>17195</v>
      </c>
      <c r="J913" t="s">
        <v>17196</v>
      </c>
      <c r="K913" t="s">
        <v>74</v>
      </c>
      <c r="L913" t="s">
        <v>74</v>
      </c>
      <c r="M913" t="s">
        <v>78</v>
      </c>
      <c r="N913" t="s">
        <v>79</v>
      </c>
      <c r="O913" t="s">
        <v>74</v>
      </c>
      <c r="P913" t="s">
        <v>74</v>
      </c>
      <c r="Q913" t="s">
        <v>74</v>
      </c>
      <c r="R913" t="s">
        <v>74</v>
      </c>
      <c r="S913" t="s">
        <v>74</v>
      </c>
      <c r="T913" t="s">
        <v>74</v>
      </c>
      <c r="U913" t="s">
        <v>17197</v>
      </c>
      <c r="V913" t="s">
        <v>17198</v>
      </c>
      <c r="W913" t="s">
        <v>17199</v>
      </c>
      <c r="X913" t="s">
        <v>7538</v>
      </c>
      <c r="Y913" t="s">
        <v>17200</v>
      </c>
      <c r="Z913" t="s">
        <v>17201</v>
      </c>
      <c r="AA913" t="s">
        <v>74</v>
      </c>
      <c r="AB913" t="s">
        <v>17202</v>
      </c>
      <c r="AC913" t="s">
        <v>17203</v>
      </c>
      <c r="AD913" t="s">
        <v>17204</v>
      </c>
      <c r="AE913" t="s">
        <v>17205</v>
      </c>
      <c r="AF913" t="s">
        <v>74</v>
      </c>
      <c r="AG913">
        <v>139</v>
      </c>
      <c r="AH913">
        <v>3</v>
      </c>
      <c r="AI913">
        <v>4</v>
      </c>
      <c r="AJ913">
        <v>0</v>
      </c>
      <c r="AK913">
        <v>8</v>
      </c>
      <c r="AL913" t="s">
        <v>2501</v>
      </c>
      <c r="AM913" t="s">
        <v>304</v>
      </c>
      <c r="AN913" t="s">
        <v>2502</v>
      </c>
      <c r="AO913" t="s">
        <v>17206</v>
      </c>
      <c r="AP913" t="s">
        <v>17207</v>
      </c>
      <c r="AQ913" t="s">
        <v>74</v>
      </c>
      <c r="AR913" t="s">
        <v>17208</v>
      </c>
      <c r="AS913" t="s">
        <v>17209</v>
      </c>
      <c r="AT913" t="s">
        <v>17210</v>
      </c>
      <c r="AU913">
        <v>2016</v>
      </c>
      <c r="AV913">
        <v>21</v>
      </c>
      <c r="AW913">
        <v>2</v>
      </c>
      <c r="AX913" t="s">
        <v>74</v>
      </c>
      <c r="AY913" t="s">
        <v>74</v>
      </c>
      <c r="AZ913" t="s">
        <v>74</v>
      </c>
      <c r="BA913" t="s">
        <v>74</v>
      </c>
      <c r="BB913">
        <v>305</v>
      </c>
      <c r="BC913">
        <v>337</v>
      </c>
      <c r="BD913" t="s">
        <v>74</v>
      </c>
      <c r="BE913" t="s">
        <v>17211</v>
      </c>
      <c r="BF913" t="str">
        <f>HYPERLINK("http://dx.doi.org/10.1093/jcsl/krv013","http://dx.doi.org/10.1093/jcsl/krv013")</f>
        <v>http://dx.doi.org/10.1093/jcsl/krv013</v>
      </c>
      <c r="BG913" t="s">
        <v>74</v>
      </c>
      <c r="BH913" t="s">
        <v>74</v>
      </c>
      <c r="BI913">
        <v>33</v>
      </c>
      <c r="BJ913" t="s">
        <v>17212</v>
      </c>
      <c r="BK913" t="s">
        <v>131</v>
      </c>
      <c r="BL913" t="s">
        <v>17213</v>
      </c>
      <c r="BM913" t="s">
        <v>17214</v>
      </c>
      <c r="BN913" t="s">
        <v>74</v>
      </c>
      <c r="BO913" t="s">
        <v>74</v>
      </c>
      <c r="BP913" t="s">
        <v>74</v>
      </c>
      <c r="BQ913" t="s">
        <v>74</v>
      </c>
      <c r="BR913" t="s">
        <v>105</v>
      </c>
      <c r="BS913" t="s">
        <v>17215</v>
      </c>
      <c r="BT913" t="str">
        <f>HYPERLINK("https%3A%2F%2Fwww.webofscience.com%2Fwos%2Fwoscc%2Ffull-record%2FWOS:000381627600006","View Full Record in Web of Science")</f>
        <v>View Full Record in Web of Science</v>
      </c>
    </row>
    <row r="914" spans="1:72" x14ac:dyDescent="0.15">
      <c r="A914" t="s">
        <v>72</v>
      </c>
      <c r="B914" t="s">
        <v>17216</v>
      </c>
      <c r="C914" t="s">
        <v>74</v>
      </c>
      <c r="D914" t="s">
        <v>74</v>
      </c>
      <c r="E914" t="s">
        <v>74</v>
      </c>
      <c r="F914" t="s">
        <v>17217</v>
      </c>
      <c r="G914" t="s">
        <v>74</v>
      </c>
      <c r="H914" t="s">
        <v>74</v>
      </c>
      <c r="I914" t="s">
        <v>17218</v>
      </c>
      <c r="J914" t="s">
        <v>8290</v>
      </c>
      <c r="K914" t="s">
        <v>74</v>
      </c>
      <c r="L914" t="s">
        <v>74</v>
      </c>
      <c r="M914" t="s">
        <v>78</v>
      </c>
      <c r="N914" t="s">
        <v>79</v>
      </c>
      <c r="O914" t="s">
        <v>74</v>
      </c>
      <c r="P914" t="s">
        <v>74</v>
      </c>
      <c r="Q914" t="s">
        <v>74</v>
      </c>
      <c r="R914" t="s">
        <v>74</v>
      </c>
      <c r="S914" t="s">
        <v>74</v>
      </c>
      <c r="T914" t="s">
        <v>74</v>
      </c>
      <c r="U914" t="s">
        <v>17219</v>
      </c>
      <c r="V914" t="s">
        <v>17220</v>
      </c>
      <c r="W914" t="s">
        <v>17221</v>
      </c>
      <c r="X914" t="s">
        <v>17222</v>
      </c>
      <c r="Y914" t="s">
        <v>17223</v>
      </c>
      <c r="Z914" t="s">
        <v>17224</v>
      </c>
      <c r="AA914" t="s">
        <v>74</v>
      </c>
      <c r="AB914" t="s">
        <v>17225</v>
      </c>
      <c r="AC914" t="s">
        <v>74</v>
      </c>
      <c r="AD914" t="s">
        <v>74</v>
      </c>
      <c r="AE914" t="s">
        <v>74</v>
      </c>
      <c r="AF914" t="s">
        <v>74</v>
      </c>
      <c r="AG914">
        <v>106</v>
      </c>
      <c r="AH914">
        <v>30</v>
      </c>
      <c r="AI914">
        <v>32</v>
      </c>
      <c r="AJ914">
        <v>0</v>
      </c>
      <c r="AK914">
        <v>21</v>
      </c>
      <c r="AL914" t="s">
        <v>149</v>
      </c>
      <c r="AM914" t="s">
        <v>123</v>
      </c>
      <c r="AN914" t="s">
        <v>150</v>
      </c>
      <c r="AO914" t="s">
        <v>8303</v>
      </c>
      <c r="AP914" t="s">
        <v>8304</v>
      </c>
      <c r="AQ914" t="s">
        <v>74</v>
      </c>
      <c r="AR914" t="s">
        <v>8305</v>
      </c>
      <c r="AS914" t="s">
        <v>8306</v>
      </c>
      <c r="AT914" t="s">
        <v>16960</v>
      </c>
      <c r="AU914">
        <v>2016</v>
      </c>
      <c r="AV914">
        <v>121</v>
      </c>
      <c r="AW914">
        <v>6</v>
      </c>
      <c r="AX914" t="s">
        <v>74</v>
      </c>
      <c r="AY914" t="s">
        <v>74</v>
      </c>
      <c r="AZ914" t="s">
        <v>74</v>
      </c>
      <c r="BA914" t="s">
        <v>74</v>
      </c>
      <c r="BB914">
        <v>4156</v>
      </c>
      <c r="BC914">
        <v>4179</v>
      </c>
      <c r="BD914" t="s">
        <v>74</v>
      </c>
      <c r="BE914" t="s">
        <v>17226</v>
      </c>
      <c r="BF914" t="str">
        <f>HYPERLINK("http://dx.doi.org/10.1002/2015JB012776","http://dx.doi.org/10.1002/2015JB012776")</f>
        <v>http://dx.doi.org/10.1002/2015JB012776</v>
      </c>
      <c r="BG914" t="s">
        <v>74</v>
      </c>
      <c r="BH914" t="s">
        <v>74</v>
      </c>
      <c r="BI914">
        <v>24</v>
      </c>
      <c r="BJ914" t="s">
        <v>155</v>
      </c>
      <c r="BK914" t="s">
        <v>156</v>
      </c>
      <c r="BL914" t="s">
        <v>155</v>
      </c>
      <c r="BM914" t="s">
        <v>17227</v>
      </c>
      <c r="BN914" t="s">
        <v>74</v>
      </c>
      <c r="BO914" t="s">
        <v>3487</v>
      </c>
      <c r="BP914" t="s">
        <v>74</v>
      </c>
      <c r="BQ914" t="s">
        <v>74</v>
      </c>
      <c r="BR914" t="s">
        <v>105</v>
      </c>
      <c r="BS914" t="s">
        <v>17228</v>
      </c>
      <c r="BT914" t="str">
        <f>HYPERLINK("https%3A%2F%2Fwww.webofscience.com%2Fwos%2Fwoscc%2Ffull-record%2FWOS:000381627300007","View Full Record in Web of Science")</f>
        <v>View Full Record in Web of Science</v>
      </c>
    </row>
    <row r="915" spans="1:72" x14ac:dyDescent="0.15">
      <c r="A915" t="s">
        <v>72</v>
      </c>
      <c r="B915" t="s">
        <v>17229</v>
      </c>
      <c r="C915" t="s">
        <v>74</v>
      </c>
      <c r="D915" t="s">
        <v>74</v>
      </c>
      <c r="E915" t="s">
        <v>74</v>
      </c>
      <c r="F915" t="s">
        <v>17230</v>
      </c>
      <c r="G915" t="s">
        <v>74</v>
      </c>
      <c r="H915" t="s">
        <v>74</v>
      </c>
      <c r="I915" t="s">
        <v>17231</v>
      </c>
      <c r="J915" t="s">
        <v>17232</v>
      </c>
      <c r="K915" t="s">
        <v>74</v>
      </c>
      <c r="L915" t="s">
        <v>74</v>
      </c>
      <c r="M915" t="s">
        <v>78</v>
      </c>
      <c r="N915" t="s">
        <v>79</v>
      </c>
      <c r="O915" t="s">
        <v>74</v>
      </c>
      <c r="P915" t="s">
        <v>74</v>
      </c>
      <c r="Q915" t="s">
        <v>74</v>
      </c>
      <c r="R915" t="s">
        <v>74</v>
      </c>
      <c r="S915" t="s">
        <v>74</v>
      </c>
      <c r="T915" t="s">
        <v>17233</v>
      </c>
      <c r="U915" t="s">
        <v>17234</v>
      </c>
      <c r="V915" t="s">
        <v>17235</v>
      </c>
      <c r="W915" t="s">
        <v>17236</v>
      </c>
      <c r="X915" t="s">
        <v>17237</v>
      </c>
      <c r="Y915" t="s">
        <v>17238</v>
      </c>
      <c r="Z915" t="s">
        <v>17239</v>
      </c>
      <c r="AA915" t="s">
        <v>74</v>
      </c>
      <c r="AB915" t="s">
        <v>17240</v>
      </c>
      <c r="AC915" t="s">
        <v>17241</v>
      </c>
      <c r="AD915" t="s">
        <v>17242</v>
      </c>
      <c r="AE915" t="s">
        <v>17243</v>
      </c>
      <c r="AF915" t="s">
        <v>74</v>
      </c>
      <c r="AG915">
        <v>47</v>
      </c>
      <c r="AH915">
        <v>25</v>
      </c>
      <c r="AI915">
        <v>27</v>
      </c>
      <c r="AJ915">
        <v>3</v>
      </c>
      <c r="AK915">
        <v>15</v>
      </c>
      <c r="AL915" t="s">
        <v>17244</v>
      </c>
      <c r="AM915" t="s">
        <v>17245</v>
      </c>
      <c r="AN915" t="s">
        <v>17246</v>
      </c>
      <c r="AO915" t="s">
        <v>17247</v>
      </c>
      <c r="AP915" t="s">
        <v>17248</v>
      </c>
      <c r="AQ915" t="s">
        <v>74</v>
      </c>
      <c r="AR915" t="s">
        <v>17249</v>
      </c>
      <c r="AS915" t="s">
        <v>17250</v>
      </c>
      <c r="AT915" t="s">
        <v>16960</v>
      </c>
      <c r="AU915">
        <v>2016</v>
      </c>
      <c r="AV915">
        <v>316</v>
      </c>
      <c r="AW915">
        <v>6</v>
      </c>
      <c r="AX915" t="s">
        <v>74</v>
      </c>
      <c r="AY915" t="s">
        <v>74</v>
      </c>
      <c r="AZ915" t="s">
        <v>74</v>
      </c>
      <c r="BA915" t="s">
        <v>74</v>
      </c>
      <c r="BB915">
        <v>542</v>
      </c>
      <c r="BC915">
        <v>577</v>
      </c>
      <c r="BD915" t="s">
        <v>74</v>
      </c>
      <c r="BE915" t="s">
        <v>17251</v>
      </c>
      <c r="BF915" t="str">
        <f>HYPERLINK("http://dx.doi.org/10.2475/06.2016.02","http://dx.doi.org/10.2475/06.2016.02")</f>
        <v>http://dx.doi.org/10.2475/06.2016.02</v>
      </c>
      <c r="BG915" t="s">
        <v>74</v>
      </c>
      <c r="BH915" t="s">
        <v>74</v>
      </c>
      <c r="BI915">
        <v>36</v>
      </c>
      <c r="BJ915" t="s">
        <v>352</v>
      </c>
      <c r="BK915" t="s">
        <v>156</v>
      </c>
      <c r="BL915" t="s">
        <v>177</v>
      </c>
      <c r="BM915" t="s">
        <v>17252</v>
      </c>
      <c r="BN915" t="s">
        <v>74</v>
      </c>
      <c r="BO915" t="s">
        <v>74</v>
      </c>
      <c r="BP915" t="s">
        <v>74</v>
      </c>
      <c r="BQ915" t="s">
        <v>74</v>
      </c>
      <c r="BR915" t="s">
        <v>105</v>
      </c>
      <c r="BS915" t="s">
        <v>17253</v>
      </c>
      <c r="BT915" t="str">
        <f>HYPERLINK("https%3A%2F%2Fwww.webofscience.com%2Fwos%2Fwoscc%2Ffull-record%2FWOS:000380371900002","View Full Record in Web of Science")</f>
        <v>View Full Record in Web of Science</v>
      </c>
    </row>
    <row r="916" spans="1:72" x14ac:dyDescent="0.15">
      <c r="A916" t="s">
        <v>72</v>
      </c>
      <c r="B916" t="s">
        <v>17254</v>
      </c>
      <c r="C916" t="s">
        <v>74</v>
      </c>
      <c r="D916" t="s">
        <v>74</v>
      </c>
      <c r="E916" t="s">
        <v>74</v>
      </c>
      <c r="F916" t="s">
        <v>17255</v>
      </c>
      <c r="G916" t="s">
        <v>74</v>
      </c>
      <c r="H916" t="s">
        <v>74</v>
      </c>
      <c r="I916" t="s">
        <v>17256</v>
      </c>
      <c r="J916" t="s">
        <v>138</v>
      </c>
      <c r="K916" t="s">
        <v>74</v>
      </c>
      <c r="L916" t="s">
        <v>74</v>
      </c>
      <c r="M916" t="s">
        <v>78</v>
      </c>
      <c r="N916" t="s">
        <v>79</v>
      </c>
      <c r="O916" t="s">
        <v>74</v>
      </c>
      <c r="P916" t="s">
        <v>74</v>
      </c>
      <c r="Q916" t="s">
        <v>74</v>
      </c>
      <c r="R916" t="s">
        <v>74</v>
      </c>
      <c r="S916" t="s">
        <v>74</v>
      </c>
      <c r="T916" t="s">
        <v>17257</v>
      </c>
      <c r="U916" t="s">
        <v>17258</v>
      </c>
      <c r="V916" t="s">
        <v>17259</v>
      </c>
      <c r="W916" t="s">
        <v>17260</v>
      </c>
      <c r="X916" t="s">
        <v>17261</v>
      </c>
      <c r="Y916" t="s">
        <v>17262</v>
      </c>
      <c r="Z916" t="s">
        <v>17263</v>
      </c>
      <c r="AA916" t="s">
        <v>17264</v>
      </c>
      <c r="AB916" t="s">
        <v>17265</v>
      </c>
      <c r="AC916" t="s">
        <v>17266</v>
      </c>
      <c r="AD916" t="s">
        <v>17267</v>
      </c>
      <c r="AE916" t="s">
        <v>17268</v>
      </c>
      <c r="AF916" t="s">
        <v>74</v>
      </c>
      <c r="AG916">
        <v>132</v>
      </c>
      <c r="AH916">
        <v>16</v>
      </c>
      <c r="AI916">
        <v>16</v>
      </c>
      <c r="AJ916">
        <v>0</v>
      </c>
      <c r="AK916">
        <v>29</v>
      </c>
      <c r="AL916" t="s">
        <v>149</v>
      </c>
      <c r="AM916" t="s">
        <v>123</v>
      </c>
      <c r="AN916" t="s">
        <v>150</v>
      </c>
      <c r="AO916" t="s">
        <v>151</v>
      </c>
      <c r="AP916" t="s">
        <v>74</v>
      </c>
      <c r="AQ916" t="s">
        <v>74</v>
      </c>
      <c r="AR916" t="s">
        <v>152</v>
      </c>
      <c r="AS916" t="s">
        <v>153</v>
      </c>
      <c r="AT916" t="s">
        <v>16960</v>
      </c>
      <c r="AU916">
        <v>2016</v>
      </c>
      <c r="AV916">
        <v>17</v>
      </c>
      <c r="AW916">
        <v>6</v>
      </c>
      <c r="AX916" t="s">
        <v>74</v>
      </c>
      <c r="AY916" t="s">
        <v>74</v>
      </c>
      <c r="AZ916" t="s">
        <v>74</v>
      </c>
      <c r="BA916" t="s">
        <v>74</v>
      </c>
      <c r="BB916">
        <v>2336</v>
      </c>
      <c r="BC916">
        <v>2353</v>
      </c>
      <c r="BD916" t="s">
        <v>74</v>
      </c>
      <c r="BE916" t="s">
        <v>17269</v>
      </c>
      <c r="BF916" t="str">
        <f>HYPERLINK("http://dx.doi.org/10.1002/2016GC006281","http://dx.doi.org/10.1002/2016GC006281")</f>
        <v>http://dx.doi.org/10.1002/2016GC006281</v>
      </c>
      <c r="BG916" t="s">
        <v>74</v>
      </c>
      <c r="BH916" t="s">
        <v>74</v>
      </c>
      <c r="BI916">
        <v>18</v>
      </c>
      <c r="BJ916" t="s">
        <v>155</v>
      </c>
      <c r="BK916" t="s">
        <v>156</v>
      </c>
      <c r="BL916" t="s">
        <v>155</v>
      </c>
      <c r="BM916" t="s">
        <v>17270</v>
      </c>
      <c r="BN916" t="s">
        <v>74</v>
      </c>
      <c r="BO916" t="s">
        <v>1142</v>
      </c>
      <c r="BP916" t="s">
        <v>74</v>
      </c>
      <c r="BQ916" t="s">
        <v>74</v>
      </c>
      <c r="BR916" t="s">
        <v>105</v>
      </c>
      <c r="BS916" t="s">
        <v>17271</v>
      </c>
      <c r="BT916" t="str">
        <f>HYPERLINK("https%3A%2F%2Fwww.webofscience.com%2Fwos%2Fwoscc%2Ffull-record%2FWOS:000380728300020","View Full Record in Web of Science")</f>
        <v>View Full Record in Web of Science</v>
      </c>
    </row>
    <row r="917" spans="1:72" x14ac:dyDescent="0.15">
      <c r="A917" t="s">
        <v>72</v>
      </c>
      <c r="B917" t="s">
        <v>17272</v>
      </c>
      <c r="C917" t="s">
        <v>74</v>
      </c>
      <c r="D917" t="s">
        <v>74</v>
      </c>
      <c r="E917" t="s">
        <v>74</v>
      </c>
      <c r="F917" t="s">
        <v>17273</v>
      </c>
      <c r="G917" t="s">
        <v>74</v>
      </c>
      <c r="H917" t="s">
        <v>74</v>
      </c>
      <c r="I917" t="s">
        <v>17274</v>
      </c>
      <c r="J917" t="s">
        <v>2554</v>
      </c>
      <c r="K917" t="s">
        <v>74</v>
      </c>
      <c r="L917" t="s">
        <v>74</v>
      </c>
      <c r="M917" t="s">
        <v>78</v>
      </c>
      <c r="N917" t="s">
        <v>79</v>
      </c>
      <c r="O917" t="s">
        <v>74</v>
      </c>
      <c r="P917" t="s">
        <v>74</v>
      </c>
      <c r="Q917" t="s">
        <v>74</v>
      </c>
      <c r="R917" t="s">
        <v>74</v>
      </c>
      <c r="S917" t="s">
        <v>74</v>
      </c>
      <c r="T917" t="s">
        <v>17275</v>
      </c>
      <c r="U917" t="s">
        <v>17276</v>
      </c>
      <c r="V917" t="s">
        <v>17277</v>
      </c>
      <c r="W917" t="s">
        <v>17278</v>
      </c>
      <c r="X917" t="s">
        <v>17279</v>
      </c>
      <c r="Y917" t="s">
        <v>17280</v>
      </c>
      <c r="Z917" t="s">
        <v>17281</v>
      </c>
      <c r="AA917" t="s">
        <v>17282</v>
      </c>
      <c r="AB917" t="s">
        <v>15694</v>
      </c>
      <c r="AC917" t="s">
        <v>17283</v>
      </c>
      <c r="AD917" t="s">
        <v>17284</v>
      </c>
      <c r="AE917" t="s">
        <v>17285</v>
      </c>
      <c r="AF917" t="s">
        <v>74</v>
      </c>
      <c r="AG917">
        <v>43</v>
      </c>
      <c r="AH917">
        <v>20</v>
      </c>
      <c r="AI917">
        <v>23</v>
      </c>
      <c r="AJ917">
        <v>5</v>
      </c>
      <c r="AK917">
        <v>38</v>
      </c>
      <c r="AL917" t="s">
        <v>2566</v>
      </c>
      <c r="AM917" t="s">
        <v>2567</v>
      </c>
      <c r="AN917" t="s">
        <v>17286</v>
      </c>
      <c r="AO917" t="s">
        <v>2569</v>
      </c>
      <c r="AP917" t="s">
        <v>74</v>
      </c>
      <c r="AQ917" t="s">
        <v>74</v>
      </c>
      <c r="AR917" t="s">
        <v>2570</v>
      </c>
      <c r="AS917" t="s">
        <v>2571</v>
      </c>
      <c r="AT917" t="s">
        <v>16960</v>
      </c>
      <c r="AU917">
        <v>2016</v>
      </c>
      <c r="AV917">
        <v>8</v>
      </c>
      <c r="AW917">
        <v>6</v>
      </c>
      <c r="AX917" t="s">
        <v>74</v>
      </c>
      <c r="AY917" t="s">
        <v>74</v>
      </c>
      <c r="AZ917" t="s">
        <v>74</v>
      </c>
      <c r="BA917" t="s">
        <v>74</v>
      </c>
      <c r="BB917" t="s">
        <v>74</v>
      </c>
      <c r="BC917" t="s">
        <v>74</v>
      </c>
      <c r="BD917">
        <v>450</v>
      </c>
      <c r="BE917" t="s">
        <v>17287</v>
      </c>
      <c r="BF917" t="str">
        <f>HYPERLINK("http://dx.doi.org/10.3390/rs8060450","http://dx.doi.org/10.3390/rs8060450")</f>
        <v>http://dx.doi.org/10.3390/rs8060450</v>
      </c>
      <c r="BG917" t="s">
        <v>74</v>
      </c>
      <c r="BH917" t="s">
        <v>74</v>
      </c>
      <c r="BI917">
        <v>20</v>
      </c>
      <c r="BJ917" t="s">
        <v>2573</v>
      </c>
      <c r="BK917" t="s">
        <v>156</v>
      </c>
      <c r="BL917" t="s">
        <v>2574</v>
      </c>
      <c r="BM917" t="s">
        <v>17288</v>
      </c>
      <c r="BN917" t="s">
        <v>74</v>
      </c>
      <c r="BO917" t="s">
        <v>1339</v>
      </c>
      <c r="BP917" t="s">
        <v>74</v>
      </c>
      <c r="BQ917" t="s">
        <v>74</v>
      </c>
      <c r="BR917" t="s">
        <v>105</v>
      </c>
      <c r="BS917" t="s">
        <v>17289</v>
      </c>
      <c r="BT917" t="str">
        <f>HYPERLINK("https%3A%2F%2Fwww.webofscience.com%2Fwos%2Fwoscc%2Ffull-record%2FWOS:000379985300010","View Full Record in Web of Science")</f>
        <v>View Full Record in Web of Science</v>
      </c>
    </row>
    <row r="918" spans="1:72" x14ac:dyDescent="0.15">
      <c r="A918" t="s">
        <v>72</v>
      </c>
      <c r="B918" t="s">
        <v>17290</v>
      </c>
      <c r="C918" t="s">
        <v>74</v>
      </c>
      <c r="D918" t="s">
        <v>74</v>
      </c>
      <c r="E918" t="s">
        <v>74</v>
      </c>
      <c r="F918" t="s">
        <v>17291</v>
      </c>
      <c r="G918" t="s">
        <v>74</v>
      </c>
      <c r="H918" t="s">
        <v>74</v>
      </c>
      <c r="I918" t="s">
        <v>17292</v>
      </c>
      <c r="J918" t="s">
        <v>17293</v>
      </c>
      <c r="K918" t="s">
        <v>74</v>
      </c>
      <c r="L918" t="s">
        <v>74</v>
      </c>
      <c r="M918" t="s">
        <v>78</v>
      </c>
      <c r="N918" t="s">
        <v>2730</v>
      </c>
      <c r="O918" t="s">
        <v>17294</v>
      </c>
      <c r="P918" t="s">
        <v>17295</v>
      </c>
      <c r="Q918" t="s">
        <v>17296</v>
      </c>
      <c r="R918" t="s">
        <v>74</v>
      </c>
      <c r="S918" t="s">
        <v>74</v>
      </c>
      <c r="T918" t="s">
        <v>17297</v>
      </c>
      <c r="U918" t="s">
        <v>17298</v>
      </c>
      <c r="V918" t="s">
        <v>17299</v>
      </c>
      <c r="W918" t="s">
        <v>17300</v>
      </c>
      <c r="X918" t="s">
        <v>17301</v>
      </c>
      <c r="Y918" t="s">
        <v>17302</v>
      </c>
      <c r="Z918" t="s">
        <v>17303</v>
      </c>
      <c r="AA918" t="s">
        <v>17304</v>
      </c>
      <c r="AB918" t="s">
        <v>17305</v>
      </c>
      <c r="AC918" t="s">
        <v>74</v>
      </c>
      <c r="AD918" t="s">
        <v>74</v>
      </c>
      <c r="AE918" t="s">
        <v>74</v>
      </c>
      <c r="AF918" t="s">
        <v>74</v>
      </c>
      <c r="AG918">
        <v>52</v>
      </c>
      <c r="AH918">
        <v>14</v>
      </c>
      <c r="AI918">
        <v>14</v>
      </c>
      <c r="AJ918">
        <v>2</v>
      </c>
      <c r="AK918">
        <v>41</v>
      </c>
      <c r="AL918" t="s">
        <v>2769</v>
      </c>
      <c r="AM918" t="s">
        <v>2770</v>
      </c>
      <c r="AN918" t="s">
        <v>2771</v>
      </c>
      <c r="AO918" t="s">
        <v>17306</v>
      </c>
      <c r="AP918" t="s">
        <v>17307</v>
      </c>
      <c r="AQ918" t="s">
        <v>74</v>
      </c>
      <c r="AR918" t="s">
        <v>17308</v>
      </c>
      <c r="AS918" t="s">
        <v>17309</v>
      </c>
      <c r="AT918" t="s">
        <v>16960</v>
      </c>
      <c r="AU918">
        <v>2016</v>
      </c>
      <c r="AV918">
        <v>9</v>
      </c>
      <c r="AW918">
        <v>6</v>
      </c>
      <c r="AX918" t="s">
        <v>74</v>
      </c>
      <c r="AY918" t="s">
        <v>74</v>
      </c>
      <c r="AZ918" t="s">
        <v>650</v>
      </c>
      <c r="BA918" t="s">
        <v>74</v>
      </c>
      <c r="BB918">
        <v>2451</v>
      </c>
      <c r="BC918">
        <v>2467</v>
      </c>
      <c r="BD918" t="s">
        <v>74</v>
      </c>
      <c r="BE918" t="s">
        <v>17310</v>
      </c>
      <c r="BF918" t="str">
        <f>HYPERLINK("http://dx.doi.org/10.1109/JSTARS.2016.2551318","http://dx.doi.org/10.1109/JSTARS.2016.2551318")</f>
        <v>http://dx.doi.org/10.1109/JSTARS.2016.2551318</v>
      </c>
      <c r="BG918" t="s">
        <v>74</v>
      </c>
      <c r="BH918" t="s">
        <v>74</v>
      </c>
      <c r="BI918">
        <v>17</v>
      </c>
      <c r="BJ918" t="s">
        <v>17311</v>
      </c>
      <c r="BK918" t="s">
        <v>2548</v>
      </c>
      <c r="BL918" t="s">
        <v>17312</v>
      </c>
      <c r="BM918" t="s">
        <v>17313</v>
      </c>
      <c r="BN918" t="s">
        <v>74</v>
      </c>
      <c r="BO918" t="s">
        <v>74</v>
      </c>
      <c r="BP918" t="s">
        <v>74</v>
      </c>
      <c r="BQ918" t="s">
        <v>74</v>
      </c>
      <c r="BR918" t="s">
        <v>105</v>
      </c>
      <c r="BS918" t="s">
        <v>17314</v>
      </c>
      <c r="BT918" t="str">
        <f>HYPERLINK("https%3A%2F%2Fwww.webofscience.com%2Fwos%2Fwoscc%2Ffull-record%2FWOS:000379935100030","View Full Record in Web of Science")</f>
        <v>View Full Record in Web of Science</v>
      </c>
    </row>
    <row r="919" spans="1:72" x14ac:dyDescent="0.15">
      <c r="A919" t="s">
        <v>72</v>
      </c>
      <c r="B919" t="s">
        <v>17315</v>
      </c>
      <c r="C919" t="s">
        <v>74</v>
      </c>
      <c r="D919" t="s">
        <v>74</v>
      </c>
      <c r="E919" t="s">
        <v>74</v>
      </c>
      <c r="F919" t="s">
        <v>17316</v>
      </c>
      <c r="G919" t="s">
        <v>74</v>
      </c>
      <c r="H919" t="s">
        <v>74</v>
      </c>
      <c r="I919" t="s">
        <v>17317</v>
      </c>
      <c r="J919" t="s">
        <v>17318</v>
      </c>
      <c r="K919" t="s">
        <v>74</v>
      </c>
      <c r="L919" t="s">
        <v>74</v>
      </c>
      <c r="M919" t="s">
        <v>78</v>
      </c>
      <c r="N919" t="s">
        <v>79</v>
      </c>
      <c r="O919" t="s">
        <v>74</v>
      </c>
      <c r="P919" t="s">
        <v>74</v>
      </c>
      <c r="Q919" t="s">
        <v>74</v>
      </c>
      <c r="R919" t="s">
        <v>74</v>
      </c>
      <c r="S919" t="s">
        <v>74</v>
      </c>
      <c r="T919" t="s">
        <v>17319</v>
      </c>
      <c r="U919" t="s">
        <v>17320</v>
      </c>
      <c r="V919" t="s">
        <v>17321</v>
      </c>
      <c r="W919" t="s">
        <v>17322</v>
      </c>
      <c r="X919" t="s">
        <v>17323</v>
      </c>
      <c r="Y919" t="s">
        <v>17324</v>
      </c>
      <c r="Z919" t="s">
        <v>17325</v>
      </c>
      <c r="AA919" t="s">
        <v>17326</v>
      </c>
      <c r="AB919" t="s">
        <v>17327</v>
      </c>
      <c r="AC919" t="s">
        <v>74</v>
      </c>
      <c r="AD919" t="s">
        <v>74</v>
      </c>
      <c r="AE919" t="s">
        <v>74</v>
      </c>
      <c r="AF919" t="s">
        <v>74</v>
      </c>
      <c r="AG919">
        <v>34</v>
      </c>
      <c r="AH919">
        <v>8</v>
      </c>
      <c r="AI919">
        <v>8</v>
      </c>
      <c r="AJ919">
        <v>2</v>
      </c>
      <c r="AK919">
        <v>32</v>
      </c>
      <c r="AL919" t="s">
        <v>860</v>
      </c>
      <c r="AM919" t="s">
        <v>861</v>
      </c>
      <c r="AN919" t="s">
        <v>862</v>
      </c>
      <c r="AO919" t="s">
        <v>17328</v>
      </c>
      <c r="AP919" t="s">
        <v>17329</v>
      </c>
      <c r="AQ919" t="s">
        <v>74</v>
      </c>
      <c r="AR919" t="s">
        <v>17330</v>
      </c>
      <c r="AS919" t="s">
        <v>17331</v>
      </c>
      <c r="AT919" t="s">
        <v>16960</v>
      </c>
      <c r="AU919">
        <v>2016</v>
      </c>
      <c r="AV919">
        <v>54</v>
      </c>
      <c r="AW919">
        <v>2</v>
      </c>
      <c r="AX919" t="s">
        <v>74</v>
      </c>
      <c r="AY919" t="s">
        <v>74</v>
      </c>
      <c r="AZ919" t="s">
        <v>650</v>
      </c>
      <c r="BA919" t="s">
        <v>74</v>
      </c>
      <c r="BB919">
        <v>156</v>
      </c>
      <c r="BC919">
        <v>174</v>
      </c>
      <c r="BD919" t="s">
        <v>74</v>
      </c>
      <c r="BE919" t="s">
        <v>17332</v>
      </c>
      <c r="BF919" t="str">
        <f>HYPERLINK("http://dx.doi.org/10.1080/0028825X.2016.1143018","http://dx.doi.org/10.1080/0028825X.2016.1143018")</f>
        <v>http://dx.doi.org/10.1080/0028825X.2016.1143018</v>
      </c>
      <c r="BG919" t="s">
        <v>74</v>
      </c>
      <c r="BH919" t="s">
        <v>74</v>
      </c>
      <c r="BI919">
        <v>19</v>
      </c>
      <c r="BJ919" t="s">
        <v>1580</v>
      </c>
      <c r="BK919" t="s">
        <v>156</v>
      </c>
      <c r="BL919" t="s">
        <v>1580</v>
      </c>
      <c r="BM919" t="s">
        <v>17333</v>
      </c>
      <c r="BN919" t="s">
        <v>74</v>
      </c>
      <c r="BO919" t="s">
        <v>74</v>
      </c>
      <c r="BP919" t="s">
        <v>74</v>
      </c>
      <c r="BQ919" t="s">
        <v>74</v>
      </c>
      <c r="BR919" t="s">
        <v>105</v>
      </c>
      <c r="BS919" t="s">
        <v>17334</v>
      </c>
      <c r="BT919" t="str">
        <f>HYPERLINK("https%3A%2F%2Fwww.webofscience.com%2Fwos%2Fwoscc%2Ffull-record%2FWOS:000379825900005","View Full Record in Web of Science")</f>
        <v>View Full Record in Web of Science</v>
      </c>
    </row>
    <row r="920" spans="1:72" x14ac:dyDescent="0.15">
      <c r="A920" t="s">
        <v>72</v>
      </c>
      <c r="B920" t="s">
        <v>17335</v>
      </c>
      <c r="C920" t="s">
        <v>74</v>
      </c>
      <c r="D920" t="s">
        <v>74</v>
      </c>
      <c r="E920" t="s">
        <v>74</v>
      </c>
      <c r="F920" t="s">
        <v>17336</v>
      </c>
      <c r="G920" t="s">
        <v>74</v>
      </c>
      <c r="H920" t="s">
        <v>74</v>
      </c>
      <c r="I920" t="s">
        <v>17337</v>
      </c>
      <c r="J920" t="s">
        <v>17338</v>
      </c>
      <c r="K920" t="s">
        <v>74</v>
      </c>
      <c r="L920" t="s">
        <v>74</v>
      </c>
      <c r="M920" t="s">
        <v>78</v>
      </c>
      <c r="N920" t="s">
        <v>79</v>
      </c>
      <c r="O920" t="s">
        <v>74</v>
      </c>
      <c r="P920" t="s">
        <v>74</v>
      </c>
      <c r="Q920" t="s">
        <v>74</v>
      </c>
      <c r="R920" t="s">
        <v>74</v>
      </c>
      <c r="S920" t="s">
        <v>74</v>
      </c>
      <c r="T920" t="s">
        <v>17339</v>
      </c>
      <c r="U920" t="s">
        <v>17340</v>
      </c>
      <c r="V920" t="s">
        <v>17341</v>
      </c>
      <c r="W920" t="s">
        <v>17342</v>
      </c>
      <c r="X920" t="s">
        <v>17343</v>
      </c>
      <c r="Y920" t="s">
        <v>17344</v>
      </c>
      <c r="Z920" t="s">
        <v>17345</v>
      </c>
      <c r="AA920" t="s">
        <v>17346</v>
      </c>
      <c r="AB920" t="s">
        <v>17347</v>
      </c>
      <c r="AC920" t="s">
        <v>17348</v>
      </c>
      <c r="AD920" t="s">
        <v>17349</v>
      </c>
      <c r="AE920" t="s">
        <v>17350</v>
      </c>
      <c r="AF920" t="s">
        <v>74</v>
      </c>
      <c r="AG920">
        <v>33</v>
      </c>
      <c r="AH920">
        <v>17</v>
      </c>
      <c r="AI920">
        <v>23</v>
      </c>
      <c r="AJ920">
        <v>0</v>
      </c>
      <c r="AK920">
        <v>20</v>
      </c>
      <c r="AL920" t="s">
        <v>17351</v>
      </c>
      <c r="AM920" t="s">
        <v>17352</v>
      </c>
      <c r="AN920" t="s">
        <v>17353</v>
      </c>
      <c r="AO920" t="s">
        <v>17354</v>
      </c>
      <c r="AP920" t="s">
        <v>17355</v>
      </c>
      <c r="AQ920" t="s">
        <v>74</v>
      </c>
      <c r="AR920" t="s">
        <v>17356</v>
      </c>
      <c r="AS920" t="s">
        <v>17357</v>
      </c>
      <c r="AT920" t="s">
        <v>16960</v>
      </c>
      <c r="AU920">
        <v>2016</v>
      </c>
      <c r="AV920">
        <v>128</v>
      </c>
      <c r="AW920">
        <v>2</v>
      </c>
      <c r="AX920" t="s">
        <v>74</v>
      </c>
      <c r="AY920" t="s">
        <v>74</v>
      </c>
      <c r="AZ920" t="s">
        <v>74</v>
      </c>
      <c r="BA920" t="s">
        <v>74</v>
      </c>
      <c r="BB920">
        <v>419</v>
      </c>
      <c r="BC920">
        <v>425</v>
      </c>
      <c r="BD920" t="s">
        <v>74</v>
      </c>
      <c r="BE920" t="s">
        <v>17358</v>
      </c>
      <c r="BF920" t="str">
        <f>HYPERLINK("http://dx.doi.org/10.1676/1559-4491-128.2.419","http://dx.doi.org/10.1676/1559-4491-128.2.419")</f>
        <v>http://dx.doi.org/10.1676/1559-4491-128.2.419</v>
      </c>
      <c r="BG920" t="s">
        <v>74</v>
      </c>
      <c r="BH920" t="s">
        <v>74</v>
      </c>
      <c r="BI920">
        <v>7</v>
      </c>
      <c r="BJ920" t="s">
        <v>3988</v>
      </c>
      <c r="BK920" t="s">
        <v>156</v>
      </c>
      <c r="BL920" t="s">
        <v>3306</v>
      </c>
      <c r="BM920" t="s">
        <v>17359</v>
      </c>
      <c r="BN920" t="s">
        <v>74</v>
      </c>
      <c r="BO920" t="s">
        <v>74</v>
      </c>
      <c r="BP920" t="s">
        <v>74</v>
      </c>
      <c r="BQ920" t="s">
        <v>74</v>
      </c>
      <c r="BR920" t="s">
        <v>105</v>
      </c>
      <c r="BS920" t="s">
        <v>17360</v>
      </c>
      <c r="BT920" t="str">
        <f>HYPERLINK("https%3A%2F%2Fwww.webofscience.com%2Fwos%2Fwoscc%2Ffull-record%2FWOS:000379447200018","View Full Record in Web of Science")</f>
        <v>View Full Record in Web of Science</v>
      </c>
    </row>
    <row r="921" spans="1:72" x14ac:dyDescent="0.15">
      <c r="A921" t="s">
        <v>72</v>
      </c>
      <c r="B921" t="s">
        <v>17361</v>
      </c>
      <c r="C921" t="s">
        <v>74</v>
      </c>
      <c r="D921" t="s">
        <v>74</v>
      </c>
      <c r="E921" t="s">
        <v>74</v>
      </c>
      <c r="F921" t="s">
        <v>17362</v>
      </c>
      <c r="G921" t="s">
        <v>74</v>
      </c>
      <c r="H921" t="s">
        <v>74</v>
      </c>
      <c r="I921" t="s">
        <v>17363</v>
      </c>
      <c r="J921" t="s">
        <v>17364</v>
      </c>
      <c r="K921" t="s">
        <v>74</v>
      </c>
      <c r="L921" t="s">
        <v>74</v>
      </c>
      <c r="M921" t="s">
        <v>78</v>
      </c>
      <c r="N921" t="s">
        <v>79</v>
      </c>
      <c r="O921" t="s">
        <v>74</v>
      </c>
      <c r="P921" t="s">
        <v>74</v>
      </c>
      <c r="Q921" t="s">
        <v>74</v>
      </c>
      <c r="R921" t="s">
        <v>74</v>
      </c>
      <c r="S921" t="s">
        <v>74</v>
      </c>
      <c r="T921" t="s">
        <v>74</v>
      </c>
      <c r="U921" t="s">
        <v>17365</v>
      </c>
      <c r="V921" t="s">
        <v>17366</v>
      </c>
      <c r="W921" t="s">
        <v>17367</v>
      </c>
      <c r="X921" t="s">
        <v>17368</v>
      </c>
      <c r="Y921" t="s">
        <v>17369</v>
      </c>
      <c r="Z921" t="s">
        <v>17370</v>
      </c>
      <c r="AA921" t="s">
        <v>17371</v>
      </c>
      <c r="AB921" t="s">
        <v>17372</v>
      </c>
      <c r="AC921" t="s">
        <v>17373</v>
      </c>
      <c r="AD921" t="s">
        <v>17374</v>
      </c>
      <c r="AE921" t="s">
        <v>17375</v>
      </c>
      <c r="AF921" t="s">
        <v>74</v>
      </c>
      <c r="AG921">
        <v>11</v>
      </c>
      <c r="AH921">
        <v>1</v>
      </c>
      <c r="AI921">
        <v>1</v>
      </c>
      <c r="AJ921">
        <v>0</v>
      </c>
      <c r="AK921">
        <v>6</v>
      </c>
      <c r="AL921" t="s">
        <v>6053</v>
      </c>
      <c r="AM921" t="s">
        <v>594</v>
      </c>
      <c r="AN921" t="s">
        <v>6054</v>
      </c>
      <c r="AO921" t="s">
        <v>17376</v>
      </c>
      <c r="AP921" t="s">
        <v>17377</v>
      </c>
      <c r="AQ921" t="s">
        <v>74</v>
      </c>
      <c r="AR921" t="s">
        <v>17378</v>
      </c>
      <c r="AS921" t="s">
        <v>17379</v>
      </c>
      <c r="AT921" t="s">
        <v>16960</v>
      </c>
      <c r="AU921">
        <v>2016</v>
      </c>
      <c r="AV921">
        <v>468</v>
      </c>
      <c r="AW921">
        <v>2</v>
      </c>
      <c r="AX921" t="s">
        <v>74</v>
      </c>
      <c r="AY921" t="s">
        <v>74</v>
      </c>
      <c r="AZ921" t="s">
        <v>74</v>
      </c>
      <c r="BA921" t="s">
        <v>74</v>
      </c>
      <c r="BB921">
        <v>598</v>
      </c>
      <c r="BC921">
        <v>601</v>
      </c>
      <c r="BD921" t="s">
        <v>74</v>
      </c>
      <c r="BE921" t="s">
        <v>17380</v>
      </c>
      <c r="BF921" t="str">
        <f>HYPERLINK("http://dx.doi.org/10.1134/S1028334X16060076","http://dx.doi.org/10.1134/S1028334X16060076")</f>
        <v>http://dx.doi.org/10.1134/S1028334X16060076</v>
      </c>
      <c r="BG921" t="s">
        <v>74</v>
      </c>
      <c r="BH921" t="s">
        <v>74</v>
      </c>
      <c r="BI921">
        <v>4</v>
      </c>
      <c r="BJ921" t="s">
        <v>352</v>
      </c>
      <c r="BK921" t="s">
        <v>156</v>
      </c>
      <c r="BL921" t="s">
        <v>177</v>
      </c>
      <c r="BM921" t="s">
        <v>17381</v>
      </c>
      <c r="BN921" t="s">
        <v>74</v>
      </c>
      <c r="BO921" t="s">
        <v>74</v>
      </c>
      <c r="BP921" t="s">
        <v>74</v>
      </c>
      <c r="BQ921" t="s">
        <v>74</v>
      </c>
      <c r="BR921" t="s">
        <v>105</v>
      </c>
      <c r="BS921" t="s">
        <v>17382</v>
      </c>
      <c r="BT921" t="str">
        <f>HYPERLINK("https%3A%2F%2Fwww.webofscience.com%2Fwos%2Fwoscc%2Ffull-record%2FWOS:000379757800014","View Full Record in Web of Science")</f>
        <v>View Full Record in Web of Science</v>
      </c>
    </row>
    <row r="922" spans="1:72" x14ac:dyDescent="0.15">
      <c r="A922" t="s">
        <v>72</v>
      </c>
      <c r="B922" t="s">
        <v>17383</v>
      </c>
      <c r="C922" t="s">
        <v>74</v>
      </c>
      <c r="D922" t="s">
        <v>74</v>
      </c>
      <c r="E922" t="s">
        <v>74</v>
      </c>
      <c r="F922" t="s">
        <v>17384</v>
      </c>
      <c r="G922" t="s">
        <v>74</v>
      </c>
      <c r="H922" t="s">
        <v>74</v>
      </c>
      <c r="I922" t="s">
        <v>17385</v>
      </c>
      <c r="J922" t="s">
        <v>385</v>
      </c>
      <c r="K922" t="s">
        <v>74</v>
      </c>
      <c r="L922" t="s">
        <v>74</v>
      </c>
      <c r="M922" t="s">
        <v>78</v>
      </c>
      <c r="N922" t="s">
        <v>79</v>
      </c>
      <c r="O922" t="s">
        <v>74</v>
      </c>
      <c r="P922" t="s">
        <v>74</v>
      </c>
      <c r="Q922" t="s">
        <v>74</v>
      </c>
      <c r="R922" t="s">
        <v>74</v>
      </c>
      <c r="S922" t="s">
        <v>74</v>
      </c>
      <c r="T922" t="s">
        <v>74</v>
      </c>
      <c r="U922" t="s">
        <v>17386</v>
      </c>
      <c r="V922" t="s">
        <v>17387</v>
      </c>
      <c r="W922" t="s">
        <v>17388</v>
      </c>
      <c r="X922" t="s">
        <v>17389</v>
      </c>
      <c r="Y922" t="s">
        <v>17390</v>
      </c>
      <c r="Z922" t="s">
        <v>17391</v>
      </c>
      <c r="AA922" t="s">
        <v>74</v>
      </c>
      <c r="AB922" t="s">
        <v>74</v>
      </c>
      <c r="AC922" t="s">
        <v>17392</v>
      </c>
      <c r="AD922" t="s">
        <v>17393</v>
      </c>
      <c r="AE922" t="s">
        <v>17394</v>
      </c>
      <c r="AF922" t="s">
        <v>74</v>
      </c>
      <c r="AG922">
        <v>62</v>
      </c>
      <c r="AH922">
        <v>11</v>
      </c>
      <c r="AI922">
        <v>14</v>
      </c>
      <c r="AJ922">
        <v>0</v>
      </c>
      <c r="AK922">
        <v>16</v>
      </c>
      <c r="AL922" t="s">
        <v>397</v>
      </c>
      <c r="AM922" t="s">
        <v>398</v>
      </c>
      <c r="AN922" t="s">
        <v>399</v>
      </c>
      <c r="AO922" t="s">
        <v>400</v>
      </c>
      <c r="AP922" t="s">
        <v>401</v>
      </c>
      <c r="AQ922" t="s">
        <v>74</v>
      </c>
      <c r="AR922" t="s">
        <v>402</v>
      </c>
      <c r="AS922" t="s">
        <v>403</v>
      </c>
      <c r="AT922" t="s">
        <v>16960</v>
      </c>
      <c r="AU922">
        <v>2016</v>
      </c>
      <c r="AV922">
        <v>46</v>
      </c>
      <c r="AW922">
        <v>6</v>
      </c>
      <c r="AX922" t="s">
        <v>74</v>
      </c>
      <c r="AY922" t="s">
        <v>74</v>
      </c>
      <c r="AZ922" t="s">
        <v>74</v>
      </c>
      <c r="BA922" t="s">
        <v>74</v>
      </c>
      <c r="BB922">
        <v>1963</v>
      </c>
      <c r="BC922">
        <v>1985</v>
      </c>
      <c r="BD922" t="s">
        <v>74</v>
      </c>
      <c r="BE922" t="s">
        <v>17395</v>
      </c>
      <c r="BF922" t="str">
        <f>HYPERLINK("http://dx.doi.org/10.1175/JPO-D-15-0192.1","http://dx.doi.org/10.1175/JPO-D-15-0192.1")</f>
        <v>http://dx.doi.org/10.1175/JPO-D-15-0192.1</v>
      </c>
      <c r="BG922" t="s">
        <v>74</v>
      </c>
      <c r="BH922" t="s">
        <v>74</v>
      </c>
      <c r="BI922">
        <v>23</v>
      </c>
      <c r="BJ922" t="s">
        <v>405</v>
      </c>
      <c r="BK922" t="s">
        <v>156</v>
      </c>
      <c r="BL922" t="s">
        <v>405</v>
      </c>
      <c r="BM922" t="s">
        <v>17396</v>
      </c>
      <c r="BN922" t="s">
        <v>74</v>
      </c>
      <c r="BO922" t="s">
        <v>104</v>
      </c>
      <c r="BP922" t="s">
        <v>74</v>
      </c>
      <c r="BQ922" t="s">
        <v>74</v>
      </c>
      <c r="BR922" t="s">
        <v>105</v>
      </c>
      <c r="BS922" t="s">
        <v>17397</v>
      </c>
      <c r="BT922" t="str">
        <f>HYPERLINK("https%3A%2F%2Fwww.webofscience.com%2Fwos%2Fwoscc%2Ffull-record%2FWOS:000379597200003","View Full Record in Web of Science")</f>
        <v>View Full Record in Web of Science</v>
      </c>
    </row>
    <row r="923" spans="1:72" x14ac:dyDescent="0.15">
      <c r="A923" t="s">
        <v>72</v>
      </c>
      <c r="B923" t="s">
        <v>17398</v>
      </c>
      <c r="C923" t="s">
        <v>74</v>
      </c>
      <c r="D923" t="s">
        <v>74</v>
      </c>
      <c r="E923" t="s">
        <v>74</v>
      </c>
      <c r="F923" t="s">
        <v>17399</v>
      </c>
      <c r="G923" t="s">
        <v>74</v>
      </c>
      <c r="H923" t="s">
        <v>74</v>
      </c>
      <c r="I923" t="s">
        <v>17400</v>
      </c>
      <c r="J923" t="s">
        <v>11140</v>
      </c>
      <c r="K923" t="s">
        <v>74</v>
      </c>
      <c r="L923" t="s">
        <v>74</v>
      </c>
      <c r="M923" t="s">
        <v>78</v>
      </c>
      <c r="N923" t="s">
        <v>79</v>
      </c>
      <c r="O923" t="s">
        <v>74</v>
      </c>
      <c r="P923" t="s">
        <v>74</v>
      </c>
      <c r="Q923" t="s">
        <v>74</v>
      </c>
      <c r="R923" t="s">
        <v>74</v>
      </c>
      <c r="S923" t="s">
        <v>74</v>
      </c>
      <c r="T923" t="s">
        <v>74</v>
      </c>
      <c r="U923" t="s">
        <v>17401</v>
      </c>
      <c r="V923" t="s">
        <v>17402</v>
      </c>
      <c r="W923" t="s">
        <v>17403</v>
      </c>
      <c r="X923" t="s">
        <v>17404</v>
      </c>
      <c r="Y923" t="s">
        <v>17405</v>
      </c>
      <c r="Z923" t="s">
        <v>17406</v>
      </c>
      <c r="AA923" t="s">
        <v>17407</v>
      </c>
      <c r="AB923" t="s">
        <v>17408</v>
      </c>
      <c r="AC923" t="s">
        <v>17409</v>
      </c>
      <c r="AD923" t="s">
        <v>17410</v>
      </c>
      <c r="AE923" t="s">
        <v>17411</v>
      </c>
      <c r="AF923" t="s">
        <v>74</v>
      </c>
      <c r="AG923">
        <v>63</v>
      </c>
      <c r="AH923">
        <v>16</v>
      </c>
      <c r="AI923">
        <v>16</v>
      </c>
      <c r="AJ923">
        <v>1</v>
      </c>
      <c r="AK923">
        <v>13</v>
      </c>
      <c r="AL923" t="s">
        <v>397</v>
      </c>
      <c r="AM923" t="s">
        <v>398</v>
      </c>
      <c r="AN923" t="s">
        <v>399</v>
      </c>
      <c r="AO923" t="s">
        <v>11152</v>
      </c>
      <c r="AP923" t="s">
        <v>11153</v>
      </c>
      <c r="AQ923" t="s">
        <v>74</v>
      </c>
      <c r="AR923" t="s">
        <v>11154</v>
      </c>
      <c r="AS923" t="s">
        <v>11155</v>
      </c>
      <c r="AT923" t="s">
        <v>16960</v>
      </c>
      <c r="AU923">
        <v>2016</v>
      </c>
      <c r="AV923">
        <v>73</v>
      </c>
      <c r="AW923">
        <v>6</v>
      </c>
      <c r="AX923" t="s">
        <v>74</v>
      </c>
      <c r="AY923" t="s">
        <v>74</v>
      </c>
      <c r="AZ923" t="s">
        <v>74</v>
      </c>
      <c r="BA923" t="s">
        <v>74</v>
      </c>
      <c r="BB923">
        <v>2509</v>
      </c>
      <c r="BC923">
        <v>2528</v>
      </c>
      <c r="BD923" t="s">
        <v>74</v>
      </c>
      <c r="BE923" t="s">
        <v>17412</v>
      </c>
      <c r="BF923" t="str">
        <f>HYPERLINK("http://dx.doi.org/10.1175/JAS-D-15-0189.1","http://dx.doi.org/10.1175/JAS-D-15-0189.1")</f>
        <v>http://dx.doi.org/10.1175/JAS-D-15-0189.1</v>
      </c>
      <c r="BG923" t="s">
        <v>74</v>
      </c>
      <c r="BH923" t="s">
        <v>74</v>
      </c>
      <c r="BI923">
        <v>20</v>
      </c>
      <c r="BJ923" t="s">
        <v>2482</v>
      </c>
      <c r="BK923" t="s">
        <v>156</v>
      </c>
      <c r="BL923" t="s">
        <v>2482</v>
      </c>
      <c r="BM923" t="s">
        <v>17413</v>
      </c>
      <c r="BN923" t="s">
        <v>74</v>
      </c>
      <c r="BO923" t="s">
        <v>3487</v>
      </c>
      <c r="BP923" t="s">
        <v>74</v>
      </c>
      <c r="BQ923" t="s">
        <v>74</v>
      </c>
      <c r="BR923" t="s">
        <v>105</v>
      </c>
      <c r="BS923" t="s">
        <v>17414</v>
      </c>
      <c r="BT923" t="str">
        <f>HYPERLINK("https%3A%2F%2Fwww.webofscience.com%2Fwos%2Fwoscc%2Ffull-record%2FWOS:000379397300002","View Full Record in Web of Science")</f>
        <v>View Full Record in Web of Science</v>
      </c>
    </row>
    <row r="924" spans="1:72" x14ac:dyDescent="0.15">
      <c r="A924" t="s">
        <v>72</v>
      </c>
      <c r="B924" t="s">
        <v>17415</v>
      </c>
      <c r="C924" t="s">
        <v>74</v>
      </c>
      <c r="D924" t="s">
        <v>74</v>
      </c>
      <c r="E924" t="s">
        <v>74</v>
      </c>
      <c r="F924" t="s">
        <v>17416</v>
      </c>
      <c r="G924" t="s">
        <v>74</v>
      </c>
      <c r="H924" t="s">
        <v>74</v>
      </c>
      <c r="I924" t="s">
        <v>17417</v>
      </c>
      <c r="J924" t="s">
        <v>4215</v>
      </c>
      <c r="K924" t="s">
        <v>74</v>
      </c>
      <c r="L924" t="s">
        <v>74</v>
      </c>
      <c r="M924" t="s">
        <v>78</v>
      </c>
      <c r="N924" t="s">
        <v>79</v>
      </c>
      <c r="O924" t="s">
        <v>74</v>
      </c>
      <c r="P924" t="s">
        <v>74</v>
      </c>
      <c r="Q924" t="s">
        <v>74</v>
      </c>
      <c r="R924" t="s">
        <v>74</v>
      </c>
      <c r="S924" t="s">
        <v>74</v>
      </c>
      <c r="T924" t="s">
        <v>17418</v>
      </c>
      <c r="U924" t="s">
        <v>17419</v>
      </c>
      <c r="V924" t="s">
        <v>17420</v>
      </c>
      <c r="W924" t="s">
        <v>17421</v>
      </c>
      <c r="X924" t="s">
        <v>17422</v>
      </c>
      <c r="Y924" t="s">
        <v>17423</v>
      </c>
      <c r="Z924" t="s">
        <v>17424</v>
      </c>
      <c r="AA924" t="s">
        <v>74</v>
      </c>
      <c r="AB924" t="s">
        <v>17425</v>
      </c>
      <c r="AC924" t="s">
        <v>17426</v>
      </c>
      <c r="AD924" t="s">
        <v>17427</v>
      </c>
      <c r="AE924" t="s">
        <v>17428</v>
      </c>
      <c r="AF924" t="s">
        <v>74</v>
      </c>
      <c r="AG924">
        <v>168</v>
      </c>
      <c r="AH924">
        <v>23</v>
      </c>
      <c r="AI924">
        <v>23</v>
      </c>
      <c r="AJ924">
        <v>0</v>
      </c>
      <c r="AK924">
        <v>42</v>
      </c>
      <c r="AL924" t="s">
        <v>149</v>
      </c>
      <c r="AM924" t="s">
        <v>123</v>
      </c>
      <c r="AN924" t="s">
        <v>150</v>
      </c>
      <c r="AO924" t="s">
        <v>4228</v>
      </c>
      <c r="AP924" t="s">
        <v>4229</v>
      </c>
      <c r="AQ924" t="s">
        <v>74</v>
      </c>
      <c r="AR924" t="s">
        <v>4215</v>
      </c>
      <c r="AS924" t="s">
        <v>4230</v>
      </c>
      <c r="AT924" t="s">
        <v>16960</v>
      </c>
      <c r="AU924">
        <v>2016</v>
      </c>
      <c r="AV924">
        <v>31</v>
      </c>
      <c r="AW924">
        <v>6</v>
      </c>
      <c r="AX924" t="s">
        <v>74</v>
      </c>
      <c r="AY924" t="s">
        <v>74</v>
      </c>
      <c r="AZ924" t="s">
        <v>74</v>
      </c>
      <c r="BA924" t="s">
        <v>74</v>
      </c>
      <c r="BB924">
        <v>758</v>
      </c>
      <c r="BC924">
        <v>778</v>
      </c>
      <c r="BD924" t="s">
        <v>74</v>
      </c>
      <c r="BE924" t="s">
        <v>17429</v>
      </c>
      <c r="BF924" t="str">
        <f>HYPERLINK("http://dx.doi.org/10.1002/2015PA002813","http://dx.doi.org/10.1002/2015PA002813")</f>
        <v>http://dx.doi.org/10.1002/2015PA002813</v>
      </c>
      <c r="BG924" t="s">
        <v>74</v>
      </c>
      <c r="BH924" t="s">
        <v>74</v>
      </c>
      <c r="BI924">
        <v>21</v>
      </c>
      <c r="BJ924" t="s">
        <v>4232</v>
      </c>
      <c r="BK924" t="s">
        <v>156</v>
      </c>
      <c r="BL924" t="s">
        <v>4233</v>
      </c>
      <c r="BM924" t="s">
        <v>17430</v>
      </c>
      <c r="BN924" t="s">
        <v>74</v>
      </c>
      <c r="BO924" t="s">
        <v>258</v>
      </c>
      <c r="BP924" t="s">
        <v>74</v>
      </c>
      <c r="BQ924" t="s">
        <v>74</v>
      </c>
      <c r="BR924" t="s">
        <v>105</v>
      </c>
      <c r="BS924" t="s">
        <v>17431</v>
      </c>
      <c r="BT924" t="str">
        <f>HYPERLINK("https%3A%2F%2Fwww.webofscience.com%2Fwos%2Fwoscc%2Ffull-record%2FWOS:000379920500008","View Full Record in Web of Science")</f>
        <v>View Full Record in Web of Science</v>
      </c>
    </row>
    <row r="925" spans="1:72" x14ac:dyDescent="0.15">
      <c r="A925" t="s">
        <v>72</v>
      </c>
      <c r="B925" t="s">
        <v>17432</v>
      </c>
      <c r="C925" t="s">
        <v>74</v>
      </c>
      <c r="D925" t="s">
        <v>74</v>
      </c>
      <c r="E925" t="s">
        <v>74</v>
      </c>
      <c r="F925" t="s">
        <v>17433</v>
      </c>
      <c r="G925" t="s">
        <v>74</v>
      </c>
      <c r="H925" t="s">
        <v>74</v>
      </c>
      <c r="I925" t="s">
        <v>17434</v>
      </c>
      <c r="J925" t="s">
        <v>17435</v>
      </c>
      <c r="K925" t="s">
        <v>74</v>
      </c>
      <c r="L925" t="s">
        <v>74</v>
      </c>
      <c r="M925" t="s">
        <v>78</v>
      </c>
      <c r="N925" t="s">
        <v>79</v>
      </c>
      <c r="O925" t="s">
        <v>74</v>
      </c>
      <c r="P925" t="s">
        <v>74</v>
      </c>
      <c r="Q925" t="s">
        <v>74</v>
      </c>
      <c r="R925" t="s">
        <v>74</v>
      </c>
      <c r="S925" t="s">
        <v>74</v>
      </c>
      <c r="T925" t="s">
        <v>17436</v>
      </c>
      <c r="U925" t="s">
        <v>17437</v>
      </c>
      <c r="V925" t="s">
        <v>17438</v>
      </c>
      <c r="W925" t="s">
        <v>17439</v>
      </c>
      <c r="X925" t="s">
        <v>17440</v>
      </c>
      <c r="Y925" t="s">
        <v>17441</v>
      </c>
      <c r="Z925" t="s">
        <v>17442</v>
      </c>
      <c r="AA925" t="s">
        <v>17443</v>
      </c>
      <c r="AB925" t="s">
        <v>17444</v>
      </c>
      <c r="AC925" t="s">
        <v>17445</v>
      </c>
      <c r="AD925" t="s">
        <v>6051</v>
      </c>
      <c r="AE925" t="s">
        <v>17446</v>
      </c>
      <c r="AF925" t="s">
        <v>74</v>
      </c>
      <c r="AG925">
        <v>55</v>
      </c>
      <c r="AH925">
        <v>1</v>
      </c>
      <c r="AI925">
        <v>1</v>
      </c>
      <c r="AJ925">
        <v>0</v>
      </c>
      <c r="AK925">
        <v>6</v>
      </c>
      <c r="AL925" t="s">
        <v>6053</v>
      </c>
      <c r="AM925" t="s">
        <v>594</v>
      </c>
      <c r="AN925" t="s">
        <v>6054</v>
      </c>
      <c r="AO925" t="s">
        <v>17447</v>
      </c>
      <c r="AP925" t="s">
        <v>17448</v>
      </c>
      <c r="AQ925" t="s">
        <v>74</v>
      </c>
      <c r="AR925" t="s">
        <v>17449</v>
      </c>
      <c r="AS925" t="s">
        <v>17450</v>
      </c>
      <c r="AT925" t="s">
        <v>16960</v>
      </c>
      <c r="AU925">
        <v>2016</v>
      </c>
      <c r="AV925">
        <v>54</v>
      </c>
      <c r="AW925">
        <v>6</v>
      </c>
      <c r="AX925" t="s">
        <v>74</v>
      </c>
      <c r="AY925" t="s">
        <v>74</v>
      </c>
      <c r="AZ925" t="s">
        <v>74</v>
      </c>
      <c r="BA925" t="s">
        <v>74</v>
      </c>
      <c r="BB925">
        <v>494</v>
      </c>
      <c r="BC925">
        <v>508</v>
      </c>
      <c r="BD925" t="s">
        <v>74</v>
      </c>
      <c r="BE925" t="s">
        <v>17451</v>
      </c>
      <c r="BF925" t="str">
        <f>HYPERLINK("http://dx.doi.org/10.1134/S0016702916050104","http://dx.doi.org/10.1134/S0016702916050104")</f>
        <v>http://dx.doi.org/10.1134/S0016702916050104</v>
      </c>
      <c r="BG925" t="s">
        <v>74</v>
      </c>
      <c r="BH925" t="s">
        <v>74</v>
      </c>
      <c r="BI925">
        <v>15</v>
      </c>
      <c r="BJ925" t="s">
        <v>155</v>
      </c>
      <c r="BK925" t="s">
        <v>156</v>
      </c>
      <c r="BL925" t="s">
        <v>155</v>
      </c>
      <c r="BM925" t="s">
        <v>17452</v>
      </c>
      <c r="BN925" t="s">
        <v>74</v>
      </c>
      <c r="BO925" t="s">
        <v>74</v>
      </c>
      <c r="BP925" t="s">
        <v>74</v>
      </c>
      <c r="BQ925" t="s">
        <v>74</v>
      </c>
      <c r="BR925" t="s">
        <v>105</v>
      </c>
      <c r="BS925" t="s">
        <v>17453</v>
      </c>
      <c r="BT925" t="str">
        <f>HYPERLINK("https%3A%2F%2Fwww.webofscience.com%2Fwos%2Fwoscc%2Ffull-record%2FWOS:000379166000002","View Full Record in Web of Science")</f>
        <v>View Full Record in Web of Science</v>
      </c>
    </row>
    <row r="926" spans="1:72" x14ac:dyDescent="0.15">
      <c r="A926" t="s">
        <v>72</v>
      </c>
      <c r="B926" t="s">
        <v>17454</v>
      </c>
      <c r="C926" t="s">
        <v>74</v>
      </c>
      <c r="D926" t="s">
        <v>74</v>
      </c>
      <c r="E926" t="s">
        <v>74</v>
      </c>
      <c r="F926" t="s">
        <v>17455</v>
      </c>
      <c r="G926" t="s">
        <v>74</v>
      </c>
      <c r="H926" t="s">
        <v>74</v>
      </c>
      <c r="I926" t="s">
        <v>17456</v>
      </c>
      <c r="J926" t="s">
        <v>437</v>
      </c>
      <c r="K926" t="s">
        <v>74</v>
      </c>
      <c r="L926" t="s">
        <v>74</v>
      </c>
      <c r="M926" t="s">
        <v>78</v>
      </c>
      <c r="N926" t="s">
        <v>79</v>
      </c>
      <c r="O926" t="s">
        <v>74</v>
      </c>
      <c r="P926" t="s">
        <v>74</v>
      </c>
      <c r="Q926" t="s">
        <v>74</v>
      </c>
      <c r="R926" t="s">
        <v>74</v>
      </c>
      <c r="S926" t="s">
        <v>74</v>
      </c>
      <c r="T926" t="s">
        <v>74</v>
      </c>
      <c r="U926" t="s">
        <v>17457</v>
      </c>
      <c r="V926" t="s">
        <v>17458</v>
      </c>
      <c r="W926" t="s">
        <v>17459</v>
      </c>
      <c r="X926" t="s">
        <v>17460</v>
      </c>
      <c r="Y926" t="s">
        <v>17461</v>
      </c>
      <c r="Z926" t="s">
        <v>17462</v>
      </c>
      <c r="AA926" t="s">
        <v>17463</v>
      </c>
      <c r="AB926" t="s">
        <v>17464</v>
      </c>
      <c r="AC926" t="s">
        <v>17465</v>
      </c>
      <c r="AD926" t="s">
        <v>17466</v>
      </c>
      <c r="AE926" t="s">
        <v>17467</v>
      </c>
      <c r="AF926" t="s">
        <v>74</v>
      </c>
      <c r="AG926">
        <v>66</v>
      </c>
      <c r="AH926">
        <v>14</v>
      </c>
      <c r="AI926">
        <v>14</v>
      </c>
      <c r="AJ926">
        <v>1</v>
      </c>
      <c r="AK926">
        <v>58</v>
      </c>
      <c r="AL926" t="s">
        <v>449</v>
      </c>
      <c r="AM926" t="s">
        <v>450</v>
      </c>
      <c r="AN926" t="s">
        <v>451</v>
      </c>
      <c r="AO926" t="s">
        <v>452</v>
      </c>
      <c r="AP926" t="s">
        <v>453</v>
      </c>
      <c r="AQ926" t="s">
        <v>74</v>
      </c>
      <c r="AR926" t="s">
        <v>454</v>
      </c>
      <c r="AS926" t="s">
        <v>455</v>
      </c>
      <c r="AT926" t="s">
        <v>16960</v>
      </c>
      <c r="AU926">
        <v>2016</v>
      </c>
      <c r="AV926">
        <v>163</v>
      </c>
      <c r="AW926">
        <v>6</v>
      </c>
      <c r="AX926" t="s">
        <v>74</v>
      </c>
      <c r="AY926" t="s">
        <v>74</v>
      </c>
      <c r="AZ926" t="s">
        <v>74</v>
      </c>
      <c r="BA926" t="s">
        <v>74</v>
      </c>
      <c r="BB926" t="s">
        <v>74</v>
      </c>
      <c r="BC926" t="s">
        <v>74</v>
      </c>
      <c r="BD926">
        <v>130</v>
      </c>
      <c r="BE926" t="s">
        <v>17468</v>
      </c>
      <c r="BF926" t="str">
        <f>HYPERLINK("http://dx.doi.org/10.1007/s00227-016-2903-1","http://dx.doi.org/10.1007/s00227-016-2903-1")</f>
        <v>http://dx.doi.org/10.1007/s00227-016-2903-1</v>
      </c>
      <c r="BG926" t="s">
        <v>74</v>
      </c>
      <c r="BH926" t="s">
        <v>74</v>
      </c>
      <c r="BI926">
        <v>11</v>
      </c>
      <c r="BJ926" t="s">
        <v>457</v>
      </c>
      <c r="BK926" t="s">
        <v>156</v>
      </c>
      <c r="BL926" t="s">
        <v>457</v>
      </c>
      <c r="BM926" t="s">
        <v>17469</v>
      </c>
      <c r="BN926" t="s">
        <v>74</v>
      </c>
      <c r="BO926" t="s">
        <v>74</v>
      </c>
      <c r="BP926" t="s">
        <v>74</v>
      </c>
      <c r="BQ926" t="s">
        <v>74</v>
      </c>
      <c r="BR926" t="s">
        <v>105</v>
      </c>
      <c r="BS926" t="s">
        <v>17470</v>
      </c>
      <c r="BT926" t="str">
        <f>HYPERLINK("https%3A%2F%2Fwww.webofscience.com%2Fwos%2Fwoscc%2Ffull-record%2FWOS:000378936200002","View Full Record in Web of Science")</f>
        <v>View Full Record in Web of Science</v>
      </c>
    </row>
    <row r="927" spans="1:72" x14ac:dyDescent="0.15">
      <c r="A927" t="s">
        <v>72</v>
      </c>
      <c r="B927" t="s">
        <v>17471</v>
      </c>
      <c r="C927" t="s">
        <v>74</v>
      </c>
      <c r="D927" t="s">
        <v>74</v>
      </c>
      <c r="E927" t="s">
        <v>74</v>
      </c>
      <c r="F927" t="s">
        <v>17472</v>
      </c>
      <c r="G927" t="s">
        <v>74</v>
      </c>
      <c r="H927" t="s">
        <v>74</v>
      </c>
      <c r="I927" t="s">
        <v>17473</v>
      </c>
      <c r="J927" t="s">
        <v>6202</v>
      </c>
      <c r="K927" t="s">
        <v>74</v>
      </c>
      <c r="L927" t="s">
        <v>74</v>
      </c>
      <c r="M927" t="s">
        <v>78</v>
      </c>
      <c r="N927" t="s">
        <v>79</v>
      </c>
      <c r="O927" t="s">
        <v>74</v>
      </c>
      <c r="P927" t="s">
        <v>74</v>
      </c>
      <c r="Q927" t="s">
        <v>74</v>
      </c>
      <c r="R927" t="s">
        <v>74</v>
      </c>
      <c r="S927" t="s">
        <v>74</v>
      </c>
      <c r="T927" t="s">
        <v>17474</v>
      </c>
      <c r="U927" t="s">
        <v>17475</v>
      </c>
      <c r="V927" t="s">
        <v>17476</v>
      </c>
      <c r="W927" t="s">
        <v>17477</v>
      </c>
      <c r="X927" t="s">
        <v>8984</v>
      </c>
      <c r="Y927" t="s">
        <v>17478</v>
      </c>
      <c r="Z927" t="s">
        <v>17479</v>
      </c>
      <c r="AA927" t="s">
        <v>17480</v>
      </c>
      <c r="AB927" t="s">
        <v>17481</v>
      </c>
      <c r="AC927" t="s">
        <v>17482</v>
      </c>
      <c r="AD927" t="s">
        <v>17483</v>
      </c>
      <c r="AE927" t="s">
        <v>17484</v>
      </c>
      <c r="AF927" t="s">
        <v>74</v>
      </c>
      <c r="AG927">
        <v>45</v>
      </c>
      <c r="AH927">
        <v>2</v>
      </c>
      <c r="AI927">
        <v>2</v>
      </c>
      <c r="AJ927">
        <v>1</v>
      </c>
      <c r="AK927">
        <v>9</v>
      </c>
      <c r="AL927" t="s">
        <v>17485</v>
      </c>
      <c r="AM927" t="s">
        <v>6216</v>
      </c>
      <c r="AN927" t="s">
        <v>17486</v>
      </c>
      <c r="AO927" t="s">
        <v>6218</v>
      </c>
      <c r="AP927" t="s">
        <v>6219</v>
      </c>
      <c r="AQ927" t="s">
        <v>74</v>
      </c>
      <c r="AR927" t="s">
        <v>6220</v>
      </c>
      <c r="AS927" t="s">
        <v>6221</v>
      </c>
      <c r="AT927" t="s">
        <v>16960</v>
      </c>
      <c r="AU927">
        <v>2016</v>
      </c>
      <c r="AV927">
        <v>37</v>
      </c>
      <c r="AW927">
        <v>2</v>
      </c>
      <c r="AX927" t="s">
        <v>74</v>
      </c>
      <c r="AY927" t="s">
        <v>74</v>
      </c>
      <c r="AZ927" t="s">
        <v>74</v>
      </c>
      <c r="BA927" t="s">
        <v>74</v>
      </c>
      <c r="BB927">
        <v>243</v>
      </c>
      <c r="BC927">
        <v>268</v>
      </c>
      <c r="BD927" t="s">
        <v>74</v>
      </c>
      <c r="BE927" t="s">
        <v>17487</v>
      </c>
      <c r="BF927" t="str">
        <f>HYPERLINK("http://dx.doi.org/10.1515/popore-2016-0014","http://dx.doi.org/10.1515/popore-2016-0014")</f>
        <v>http://dx.doi.org/10.1515/popore-2016-0014</v>
      </c>
      <c r="BG927" t="s">
        <v>74</v>
      </c>
      <c r="BH927" t="s">
        <v>74</v>
      </c>
      <c r="BI927">
        <v>26</v>
      </c>
      <c r="BJ927" t="s">
        <v>6223</v>
      </c>
      <c r="BK927" t="s">
        <v>156</v>
      </c>
      <c r="BL927" t="s">
        <v>6224</v>
      </c>
      <c r="BM927" t="s">
        <v>17488</v>
      </c>
      <c r="BN927" t="s">
        <v>74</v>
      </c>
      <c r="BO927" t="s">
        <v>777</v>
      </c>
      <c r="BP927" t="s">
        <v>74</v>
      </c>
      <c r="BQ927" t="s">
        <v>74</v>
      </c>
      <c r="BR927" t="s">
        <v>105</v>
      </c>
      <c r="BS927" t="s">
        <v>17489</v>
      </c>
      <c r="BT927" t="str">
        <f>HYPERLINK("https%3A%2F%2Fwww.webofscience.com%2Fwos%2Fwoscc%2Ffull-record%2FWOS:000379153800005","View Full Record in Web of Science")</f>
        <v>View Full Record in Web of Science</v>
      </c>
    </row>
    <row r="928" spans="1:72" x14ac:dyDescent="0.15">
      <c r="A928" t="s">
        <v>72</v>
      </c>
      <c r="B928" t="s">
        <v>17490</v>
      </c>
      <c r="C928" t="s">
        <v>74</v>
      </c>
      <c r="D928" t="s">
        <v>74</v>
      </c>
      <c r="E928" t="s">
        <v>74</v>
      </c>
      <c r="F928" t="s">
        <v>17491</v>
      </c>
      <c r="G928" t="s">
        <v>74</v>
      </c>
      <c r="H928" t="s">
        <v>74</v>
      </c>
      <c r="I928" t="s">
        <v>17492</v>
      </c>
      <c r="J928" t="s">
        <v>6202</v>
      </c>
      <c r="K928" t="s">
        <v>74</v>
      </c>
      <c r="L928" t="s">
        <v>74</v>
      </c>
      <c r="M928" t="s">
        <v>78</v>
      </c>
      <c r="N928" t="s">
        <v>79</v>
      </c>
      <c r="O928" t="s">
        <v>74</v>
      </c>
      <c r="P928" t="s">
        <v>74</v>
      </c>
      <c r="Q928" t="s">
        <v>74</v>
      </c>
      <c r="R928" t="s">
        <v>74</v>
      </c>
      <c r="S928" t="s">
        <v>74</v>
      </c>
      <c r="T928" t="s">
        <v>17493</v>
      </c>
      <c r="U928" t="s">
        <v>17494</v>
      </c>
      <c r="V928" t="s">
        <v>17495</v>
      </c>
      <c r="W928" t="s">
        <v>17496</v>
      </c>
      <c r="X928" t="s">
        <v>17497</v>
      </c>
      <c r="Y928" t="s">
        <v>17498</v>
      </c>
      <c r="Z928" t="s">
        <v>17499</v>
      </c>
      <c r="AA928" t="s">
        <v>74</v>
      </c>
      <c r="AB928" t="s">
        <v>17500</v>
      </c>
      <c r="AC928" t="s">
        <v>74</v>
      </c>
      <c r="AD928" t="s">
        <v>74</v>
      </c>
      <c r="AE928" t="s">
        <v>74</v>
      </c>
      <c r="AF928" t="s">
        <v>74</v>
      </c>
      <c r="AG928">
        <v>48</v>
      </c>
      <c r="AH928">
        <v>2</v>
      </c>
      <c r="AI928">
        <v>2</v>
      </c>
      <c r="AJ928">
        <v>0</v>
      </c>
      <c r="AK928">
        <v>12</v>
      </c>
      <c r="AL928" t="s">
        <v>17485</v>
      </c>
      <c r="AM928" t="s">
        <v>6216</v>
      </c>
      <c r="AN928" t="s">
        <v>17486</v>
      </c>
      <c r="AO928" t="s">
        <v>6218</v>
      </c>
      <c r="AP928" t="s">
        <v>6219</v>
      </c>
      <c r="AQ928" t="s">
        <v>74</v>
      </c>
      <c r="AR928" t="s">
        <v>6220</v>
      </c>
      <c r="AS928" t="s">
        <v>6221</v>
      </c>
      <c r="AT928" t="s">
        <v>16960</v>
      </c>
      <c r="AU928">
        <v>2016</v>
      </c>
      <c r="AV928">
        <v>37</v>
      </c>
      <c r="AW928">
        <v>2</v>
      </c>
      <c r="AX928" t="s">
        <v>74</v>
      </c>
      <c r="AY928" t="s">
        <v>74</v>
      </c>
      <c r="AZ928" t="s">
        <v>74</v>
      </c>
      <c r="BA928" t="s">
        <v>74</v>
      </c>
      <c r="BB928">
        <v>289</v>
      </c>
      <c r="BC928">
        <v>302</v>
      </c>
      <c r="BD928" t="s">
        <v>74</v>
      </c>
      <c r="BE928" t="s">
        <v>17501</v>
      </c>
      <c r="BF928" t="str">
        <f>HYPERLINK("http://dx.doi.org/10.1515/popore-2016-0016","http://dx.doi.org/10.1515/popore-2016-0016")</f>
        <v>http://dx.doi.org/10.1515/popore-2016-0016</v>
      </c>
      <c r="BG928" t="s">
        <v>74</v>
      </c>
      <c r="BH928" t="s">
        <v>74</v>
      </c>
      <c r="BI928">
        <v>14</v>
      </c>
      <c r="BJ928" t="s">
        <v>6223</v>
      </c>
      <c r="BK928" t="s">
        <v>156</v>
      </c>
      <c r="BL928" t="s">
        <v>6224</v>
      </c>
      <c r="BM928" t="s">
        <v>17488</v>
      </c>
      <c r="BN928" t="s">
        <v>74</v>
      </c>
      <c r="BO928" t="s">
        <v>777</v>
      </c>
      <c r="BP928" t="s">
        <v>74</v>
      </c>
      <c r="BQ928" t="s">
        <v>74</v>
      </c>
      <c r="BR928" t="s">
        <v>105</v>
      </c>
      <c r="BS928" t="s">
        <v>17502</v>
      </c>
      <c r="BT928" t="str">
        <f>HYPERLINK("https%3A%2F%2Fwww.webofscience.com%2Fwos%2Fwoscc%2Ffull-record%2FWOS:000379153800007","View Full Record in Web of Science")</f>
        <v>View Full Record in Web of Science</v>
      </c>
    </row>
    <row r="929" spans="1:72" x14ac:dyDescent="0.15">
      <c r="A929" t="s">
        <v>72</v>
      </c>
      <c r="B929" t="s">
        <v>17503</v>
      </c>
      <c r="C929" t="s">
        <v>74</v>
      </c>
      <c r="D929" t="s">
        <v>74</v>
      </c>
      <c r="E929" t="s">
        <v>74</v>
      </c>
      <c r="F929" t="s">
        <v>17504</v>
      </c>
      <c r="G929" t="s">
        <v>74</v>
      </c>
      <c r="H929" t="s">
        <v>74</v>
      </c>
      <c r="I929" t="s">
        <v>17505</v>
      </c>
      <c r="J929" t="s">
        <v>6202</v>
      </c>
      <c r="K929" t="s">
        <v>74</v>
      </c>
      <c r="L929" t="s">
        <v>74</v>
      </c>
      <c r="M929" t="s">
        <v>78</v>
      </c>
      <c r="N929" t="s">
        <v>79</v>
      </c>
      <c r="O929" t="s">
        <v>74</v>
      </c>
      <c r="P929" t="s">
        <v>74</v>
      </c>
      <c r="Q929" t="s">
        <v>74</v>
      </c>
      <c r="R929" t="s">
        <v>74</v>
      </c>
      <c r="S929" t="s">
        <v>74</v>
      </c>
      <c r="T929" t="s">
        <v>17506</v>
      </c>
      <c r="U929" t="s">
        <v>17507</v>
      </c>
      <c r="V929" t="s">
        <v>17508</v>
      </c>
      <c r="W929" t="s">
        <v>17509</v>
      </c>
      <c r="X929" t="s">
        <v>17510</v>
      </c>
      <c r="Y929" t="s">
        <v>17511</v>
      </c>
      <c r="Z929" t="s">
        <v>17512</v>
      </c>
      <c r="AA929" t="s">
        <v>74</v>
      </c>
      <c r="AB929" t="s">
        <v>17513</v>
      </c>
      <c r="AC929" t="s">
        <v>74</v>
      </c>
      <c r="AD929" t="s">
        <v>74</v>
      </c>
      <c r="AE929" t="s">
        <v>74</v>
      </c>
      <c r="AF929" t="s">
        <v>74</v>
      </c>
      <c r="AG929">
        <v>55</v>
      </c>
      <c r="AH929">
        <v>2</v>
      </c>
      <c r="AI929">
        <v>2</v>
      </c>
      <c r="AJ929">
        <v>0</v>
      </c>
      <c r="AK929">
        <v>14</v>
      </c>
      <c r="AL929" t="s">
        <v>17485</v>
      </c>
      <c r="AM929" t="s">
        <v>6216</v>
      </c>
      <c r="AN929" t="s">
        <v>17486</v>
      </c>
      <c r="AO929" t="s">
        <v>6218</v>
      </c>
      <c r="AP929" t="s">
        <v>6219</v>
      </c>
      <c r="AQ929" t="s">
        <v>74</v>
      </c>
      <c r="AR929" t="s">
        <v>6220</v>
      </c>
      <c r="AS929" t="s">
        <v>6221</v>
      </c>
      <c r="AT929" t="s">
        <v>16960</v>
      </c>
      <c r="AU929">
        <v>2016</v>
      </c>
      <c r="AV929">
        <v>37</v>
      </c>
      <c r="AW929">
        <v>2</v>
      </c>
      <c r="AX929" t="s">
        <v>74</v>
      </c>
      <c r="AY929" t="s">
        <v>74</v>
      </c>
      <c r="AZ929" t="s">
        <v>74</v>
      </c>
      <c r="BA929" t="s">
        <v>74</v>
      </c>
      <c r="BB929">
        <v>303</v>
      </c>
      <c r="BC929">
        <v>324</v>
      </c>
      <c r="BD929" t="s">
        <v>74</v>
      </c>
      <c r="BE929" t="s">
        <v>17514</v>
      </c>
      <c r="BF929" t="str">
        <f>HYPERLINK("http://dx.doi.org/10.1515/popore-2016-0017","http://dx.doi.org/10.1515/popore-2016-0017")</f>
        <v>http://dx.doi.org/10.1515/popore-2016-0017</v>
      </c>
      <c r="BG929" t="s">
        <v>74</v>
      </c>
      <c r="BH929" t="s">
        <v>74</v>
      </c>
      <c r="BI929">
        <v>22</v>
      </c>
      <c r="BJ929" t="s">
        <v>6223</v>
      </c>
      <c r="BK929" t="s">
        <v>156</v>
      </c>
      <c r="BL929" t="s">
        <v>6224</v>
      </c>
      <c r="BM929" t="s">
        <v>17488</v>
      </c>
      <c r="BN929" t="s">
        <v>74</v>
      </c>
      <c r="BO929" t="s">
        <v>1467</v>
      </c>
      <c r="BP929" t="s">
        <v>74</v>
      </c>
      <c r="BQ929" t="s">
        <v>74</v>
      </c>
      <c r="BR929" t="s">
        <v>105</v>
      </c>
      <c r="BS929" t="s">
        <v>17515</v>
      </c>
      <c r="BT929" t="str">
        <f>HYPERLINK("https%3A%2F%2Fwww.webofscience.com%2Fwos%2Fwoscc%2Ffull-record%2FWOS:000379153800008","View Full Record in Web of Science")</f>
        <v>View Full Record in Web of Science</v>
      </c>
    </row>
    <row r="930" spans="1:72" x14ac:dyDescent="0.15">
      <c r="A930" t="s">
        <v>72</v>
      </c>
      <c r="B930" t="s">
        <v>17516</v>
      </c>
      <c r="C930" t="s">
        <v>74</v>
      </c>
      <c r="D930" t="s">
        <v>74</v>
      </c>
      <c r="E930" t="s">
        <v>74</v>
      </c>
      <c r="F930" t="s">
        <v>17517</v>
      </c>
      <c r="G930" t="s">
        <v>74</v>
      </c>
      <c r="H930" t="s">
        <v>74</v>
      </c>
      <c r="I930" t="s">
        <v>17518</v>
      </c>
      <c r="J930" t="s">
        <v>2467</v>
      </c>
      <c r="K930" t="s">
        <v>74</v>
      </c>
      <c r="L930" t="s">
        <v>74</v>
      </c>
      <c r="M930" t="s">
        <v>78</v>
      </c>
      <c r="N930" t="s">
        <v>79</v>
      </c>
      <c r="O930" t="s">
        <v>74</v>
      </c>
      <c r="P930" t="s">
        <v>74</v>
      </c>
      <c r="Q930" t="s">
        <v>74</v>
      </c>
      <c r="R930" t="s">
        <v>74</v>
      </c>
      <c r="S930" t="s">
        <v>74</v>
      </c>
      <c r="T930" t="s">
        <v>17519</v>
      </c>
      <c r="U930" t="s">
        <v>74</v>
      </c>
      <c r="V930" t="s">
        <v>17520</v>
      </c>
      <c r="W930" t="s">
        <v>17521</v>
      </c>
      <c r="X930" t="s">
        <v>17522</v>
      </c>
      <c r="Y930" t="s">
        <v>17523</v>
      </c>
      <c r="Z930" t="s">
        <v>17524</v>
      </c>
      <c r="AA930" t="s">
        <v>17525</v>
      </c>
      <c r="AB930" t="s">
        <v>17526</v>
      </c>
      <c r="AC930" t="s">
        <v>74</v>
      </c>
      <c r="AD930" t="s">
        <v>74</v>
      </c>
      <c r="AE930" t="s">
        <v>74</v>
      </c>
      <c r="AF930" t="s">
        <v>74</v>
      </c>
      <c r="AG930">
        <v>9</v>
      </c>
      <c r="AH930">
        <v>3</v>
      </c>
      <c r="AI930">
        <v>4</v>
      </c>
      <c r="AJ930">
        <v>5</v>
      </c>
      <c r="AK930">
        <v>60</v>
      </c>
      <c r="AL930" t="s">
        <v>2475</v>
      </c>
      <c r="AM930" t="s">
        <v>594</v>
      </c>
      <c r="AN930" t="s">
        <v>2476</v>
      </c>
      <c r="AO930" t="s">
        <v>2477</v>
      </c>
      <c r="AP930" t="s">
        <v>2478</v>
      </c>
      <c r="AQ930" t="s">
        <v>74</v>
      </c>
      <c r="AR930" t="s">
        <v>2479</v>
      </c>
      <c r="AS930" t="s">
        <v>2480</v>
      </c>
      <c r="AT930" t="s">
        <v>16960</v>
      </c>
      <c r="AU930">
        <v>2016</v>
      </c>
      <c r="AV930">
        <v>41</v>
      </c>
      <c r="AW930">
        <v>6</v>
      </c>
      <c r="AX930" t="s">
        <v>74</v>
      </c>
      <c r="AY930" t="s">
        <v>74</v>
      </c>
      <c r="AZ930" t="s">
        <v>74</v>
      </c>
      <c r="BA930" t="s">
        <v>74</v>
      </c>
      <c r="BB930">
        <v>404</v>
      </c>
      <c r="BC930">
        <v>409</v>
      </c>
      <c r="BD930" t="s">
        <v>74</v>
      </c>
      <c r="BE930" t="s">
        <v>17527</v>
      </c>
      <c r="BF930" t="str">
        <f>HYPERLINK("http://dx.doi.org/10.3103/S1068373916060042","http://dx.doi.org/10.3103/S1068373916060042")</f>
        <v>http://dx.doi.org/10.3103/S1068373916060042</v>
      </c>
      <c r="BG930" t="s">
        <v>74</v>
      </c>
      <c r="BH930" t="s">
        <v>74</v>
      </c>
      <c r="BI930">
        <v>6</v>
      </c>
      <c r="BJ930" t="s">
        <v>2482</v>
      </c>
      <c r="BK930" t="s">
        <v>156</v>
      </c>
      <c r="BL930" t="s">
        <v>2482</v>
      </c>
      <c r="BM930" t="s">
        <v>17528</v>
      </c>
      <c r="BN930" t="s">
        <v>74</v>
      </c>
      <c r="BO930" t="s">
        <v>74</v>
      </c>
      <c r="BP930" t="s">
        <v>74</v>
      </c>
      <c r="BQ930" t="s">
        <v>74</v>
      </c>
      <c r="BR930" t="s">
        <v>105</v>
      </c>
      <c r="BS930" t="s">
        <v>17529</v>
      </c>
      <c r="BT930" t="str">
        <f>HYPERLINK("https%3A%2F%2Fwww.webofscience.com%2Fwos%2Fwoscc%2Ffull-record%2FWOS:000379345800004","View Full Record in Web of Science")</f>
        <v>View Full Record in Web of Science</v>
      </c>
    </row>
    <row r="931" spans="1:72" x14ac:dyDescent="0.15">
      <c r="A931" t="s">
        <v>72</v>
      </c>
      <c r="B931" t="s">
        <v>17530</v>
      </c>
      <c r="C931" t="s">
        <v>74</v>
      </c>
      <c r="D931" t="s">
        <v>74</v>
      </c>
      <c r="E931" t="s">
        <v>74</v>
      </c>
      <c r="F931" t="s">
        <v>17531</v>
      </c>
      <c r="G931" t="s">
        <v>74</v>
      </c>
      <c r="H931" t="s">
        <v>74</v>
      </c>
      <c r="I931" t="s">
        <v>17532</v>
      </c>
      <c r="J931" t="s">
        <v>17533</v>
      </c>
      <c r="K931" t="s">
        <v>74</v>
      </c>
      <c r="L931" t="s">
        <v>74</v>
      </c>
      <c r="M931" t="s">
        <v>78</v>
      </c>
      <c r="N931" t="s">
        <v>79</v>
      </c>
      <c r="O931" t="s">
        <v>74</v>
      </c>
      <c r="P931" t="s">
        <v>74</v>
      </c>
      <c r="Q931" t="s">
        <v>74</v>
      </c>
      <c r="R931" t="s">
        <v>74</v>
      </c>
      <c r="S931" t="s">
        <v>74</v>
      </c>
      <c r="T931" t="s">
        <v>17534</v>
      </c>
      <c r="U931" t="s">
        <v>17535</v>
      </c>
      <c r="V931" t="s">
        <v>17536</v>
      </c>
      <c r="W931" t="s">
        <v>17537</v>
      </c>
      <c r="X931" t="s">
        <v>17538</v>
      </c>
      <c r="Y931" t="s">
        <v>17539</v>
      </c>
      <c r="Z931" t="s">
        <v>17540</v>
      </c>
      <c r="AA931" t="s">
        <v>17541</v>
      </c>
      <c r="AB931" t="s">
        <v>74</v>
      </c>
      <c r="AC931" t="s">
        <v>74</v>
      </c>
      <c r="AD931" t="s">
        <v>74</v>
      </c>
      <c r="AE931" t="s">
        <v>74</v>
      </c>
      <c r="AF931" t="s">
        <v>74</v>
      </c>
      <c r="AG931">
        <v>22</v>
      </c>
      <c r="AH931">
        <v>1</v>
      </c>
      <c r="AI931">
        <v>1</v>
      </c>
      <c r="AJ931">
        <v>0</v>
      </c>
      <c r="AK931">
        <v>2</v>
      </c>
      <c r="AL931" t="s">
        <v>449</v>
      </c>
      <c r="AM931" t="s">
        <v>450</v>
      </c>
      <c r="AN931" t="s">
        <v>451</v>
      </c>
      <c r="AO931" t="s">
        <v>17542</v>
      </c>
      <c r="AP931" t="s">
        <v>17543</v>
      </c>
      <c r="AQ931" t="s">
        <v>74</v>
      </c>
      <c r="AR931" t="s">
        <v>17544</v>
      </c>
      <c r="AS931" t="s">
        <v>17545</v>
      </c>
      <c r="AT931" t="s">
        <v>16960</v>
      </c>
      <c r="AU931">
        <v>2016</v>
      </c>
      <c r="AV931">
        <v>9</v>
      </c>
      <c r="AW931">
        <v>8</v>
      </c>
      <c r="AX931" t="s">
        <v>74</v>
      </c>
      <c r="AY931" t="s">
        <v>74</v>
      </c>
      <c r="AZ931" t="s">
        <v>74</v>
      </c>
      <c r="BA931" t="s">
        <v>74</v>
      </c>
      <c r="BB931" t="s">
        <v>74</v>
      </c>
      <c r="BC931" t="s">
        <v>74</v>
      </c>
      <c r="BD931">
        <v>520</v>
      </c>
      <c r="BE931" t="s">
        <v>17546</v>
      </c>
      <c r="BF931" t="str">
        <f>HYPERLINK("http://dx.doi.org/10.1007/s12517-016-2540-5","http://dx.doi.org/10.1007/s12517-016-2540-5")</f>
        <v>http://dx.doi.org/10.1007/s12517-016-2540-5</v>
      </c>
      <c r="BG931" t="s">
        <v>74</v>
      </c>
      <c r="BH931" t="s">
        <v>74</v>
      </c>
      <c r="BI931">
        <v>8</v>
      </c>
      <c r="BJ931" t="s">
        <v>352</v>
      </c>
      <c r="BK931" t="s">
        <v>156</v>
      </c>
      <c r="BL931" t="s">
        <v>177</v>
      </c>
      <c r="BM931" t="s">
        <v>17547</v>
      </c>
      <c r="BN931" t="s">
        <v>74</v>
      </c>
      <c r="BO931" t="s">
        <v>74</v>
      </c>
      <c r="BP931" t="s">
        <v>74</v>
      </c>
      <c r="BQ931" t="s">
        <v>74</v>
      </c>
      <c r="BR931" t="s">
        <v>105</v>
      </c>
      <c r="BS931" t="s">
        <v>17548</v>
      </c>
      <c r="BT931" t="str">
        <f>HYPERLINK("https%3A%2F%2Fwww.webofscience.com%2Fwos%2Fwoscc%2Ffull-record%2FWOS:000378861500007","View Full Record in Web of Science")</f>
        <v>View Full Record in Web of Science</v>
      </c>
    </row>
    <row r="932" spans="1:72" x14ac:dyDescent="0.15">
      <c r="A932" t="s">
        <v>72</v>
      </c>
      <c r="B932" t="s">
        <v>17549</v>
      </c>
      <c r="C932" t="s">
        <v>74</v>
      </c>
      <c r="D932" t="s">
        <v>74</v>
      </c>
      <c r="E932" t="s">
        <v>74</v>
      </c>
      <c r="F932" t="s">
        <v>17550</v>
      </c>
      <c r="G932" t="s">
        <v>74</v>
      </c>
      <c r="H932" t="s">
        <v>74</v>
      </c>
      <c r="I932" t="s">
        <v>17551</v>
      </c>
      <c r="J932" t="s">
        <v>17552</v>
      </c>
      <c r="K932" t="s">
        <v>74</v>
      </c>
      <c r="L932" t="s">
        <v>74</v>
      </c>
      <c r="M932" t="s">
        <v>78</v>
      </c>
      <c r="N932" t="s">
        <v>79</v>
      </c>
      <c r="O932" t="s">
        <v>74</v>
      </c>
      <c r="P932" t="s">
        <v>74</v>
      </c>
      <c r="Q932" t="s">
        <v>74</v>
      </c>
      <c r="R932" t="s">
        <v>74</v>
      </c>
      <c r="S932" t="s">
        <v>74</v>
      </c>
      <c r="T932" t="s">
        <v>74</v>
      </c>
      <c r="U932" t="s">
        <v>17553</v>
      </c>
      <c r="V932" t="s">
        <v>17554</v>
      </c>
      <c r="W932" t="s">
        <v>17555</v>
      </c>
      <c r="X932" t="s">
        <v>17556</v>
      </c>
      <c r="Y932" t="s">
        <v>17557</v>
      </c>
      <c r="Z932" t="s">
        <v>17558</v>
      </c>
      <c r="AA932" t="s">
        <v>17559</v>
      </c>
      <c r="AB932" t="s">
        <v>17560</v>
      </c>
      <c r="AC932" t="s">
        <v>17561</v>
      </c>
      <c r="AD932" t="s">
        <v>17562</v>
      </c>
      <c r="AE932" t="s">
        <v>17563</v>
      </c>
      <c r="AF932" t="s">
        <v>74</v>
      </c>
      <c r="AG932">
        <v>110</v>
      </c>
      <c r="AH932">
        <v>20</v>
      </c>
      <c r="AI932">
        <v>20</v>
      </c>
      <c r="AJ932">
        <v>1</v>
      </c>
      <c r="AK932">
        <v>15</v>
      </c>
      <c r="AL932" t="s">
        <v>172</v>
      </c>
      <c r="AM932" t="s">
        <v>173</v>
      </c>
      <c r="AN932" t="s">
        <v>174</v>
      </c>
      <c r="AO932" t="s">
        <v>17564</v>
      </c>
      <c r="AP932" t="s">
        <v>74</v>
      </c>
      <c r="AQ932" t="s">
        <v>74</v>
      </c>
      <c r="AR932" t="s">
        <v>17552</v>
      </c>
      <c r="AS932" t="s">
        <v>17565</v>
      </c>
      <c r="AT932" t="s">
        <v>16960</v>
      </c>
      <c r="AU932">
        <v>2016</v>
      </c>
      <c r="AV932">
        <v>12</v>
      </c>
      <c r="AW932">
        <v>3</v>
      </c>
      <c r="AX932" t="s">
        <v>74</v>
      </c>
      <c r="AY932" t="s">
        <v>74</v>
      </c>
      <c r="AZ932" t="s">
        <v>74</v>
      </c>
      <c r="BA932" t="s">
        <v>74</v>
      </c>
      <c r="BB932">
        <v>1032</v>
      </c>
      <c r="BC932">
        <v>1047</v>
      </c>
      <c r="BD932" t="s">
        <v>74</v>
      </c>
      <c r="BE932" t="s">
        <v>17566</v>
      </c>
      <c r="BF932" t="str">
        <f>HYPERLINK("http://dx.doi.org/10.1130/GES01268.1","http://dx.doi.org/10.1130/GES01268.1")</f>
        <v>http://dx.doi.org/10.1130/GES01268.1</v>
      </c>
      <c r="BG932" t="s">
        <v>74</v>
      </c>
      <c r="BH932" t="s">
        <v>74</v>
      </c>
      <c r="BI932">
        <v>16</v>
      </c>
      <c r="BJ932" t="s">
        <v>352</v>
      </c>
      <c r="BK932" t="s">
        <v>156</v>
      </c>
      <c r="BL932" t="s">
        <v>177</v>
      </c>
      <c r="BM932" t="s">
        <v>17567</v>
      </c>
      <c r="BN932" t="s">
        <v>74</v>
      </c>
      <c r="BO932" t="s">
        <v>777</v>
      </c>
      <c r="BP932" t="s">
        <v>74</v>
      </c>
      <c r="BQ932" t="s">
        <v>74</v>
      </c>
      <c r="BR932" t="s">
        <v>105</v>
      </c>
      <c r="BS932" t="s">
        <v>17568</v>
      </c>
      <c r="BT932" t="str">
        <f>HYPERLINK("https%3A%2F%2Fwww.webofscience.com%2Fwos%2Fwoscc%2Ffull-record%2FWOS:000378831100018","View Full Record in Web of Science")</f>
        <v>View Full Record in Web of Science</v>
      </c>
    </row>
    <row r="933" spans="1:72" x14ac:dyDescent="0.15">
      <c r="A933" t="s">
        <v>72</v>
      </c>
      <c r="B933" t="s">
        <v>17569</v>
      </c>
      <c r="C933" t="s">
        <v>74</v>
      </c>
      <c r="D933" t="s">
        <v>74</v>
      </c>
      <c r="E933" t="s">
        <v>74</v>
      </c>
      <c r="F933" t="s">
        <v>17570</v>
      </c>
      <c r="G933" t="s">
        <v>74</v>
      </c>
      <c r="H933" t="s">
        <v>74</v>
      </c>
      <c r="I933" t="s">
        <v>17571</v>
      </c>
      <c r="J933" t="s">
        <v>10571</v>
      </c>
      <c r="K933" t="s">
        <v>74</v>
      </c>
      <c r="L933" t="s">
        <v>74</v>
      </c>
      <c r="M933" t="s">
        <v>78</v>
      </c>
      <c r="N933" t="s">
        <v>79</v>
      </c>
      <c r="O933" t="s">
        <v>74</v>
      </c>
      <c r="P933" t="s">
        <v>74</v>
      </c>
      <c r="Q933" t="s">
        <v>74</v>
      </c>
      <c r="R933" t="s">
        <v>74</v>
      </c>
      <c r="S933" t="s">
        <v>74</v>
      </c>
      <c r="T933" t="s">
        <v>17572</v>
      </c>
      <c r="U933" t="s">
        <v>17573</v>
      </c>
      <c r="V933" t="s">
        <v>17574</v>
      </c>
      <c r="W933" t="s">
        <v>17575</v>
      </c>
      <c r="X933" t="s">
        <v>17576</v>
      </c>
      <c r="Y933" t="s">
        <v>17577</v>
      </c>
      <c r="Z933" t="s">
        <v>17578</v>
      </c>
      <c r="AA933" t="s">
        <v>17579</v>
      </c>
      <c r="AB933" t="s">
        <v>17580</v>
      </c>
      <c r="AC933" t="s">
        <v>17581</v>
      </c>
      <c r="AD933" t="s">
        <v>17582</v>
      </c>
      <c r="AE933" t="s">
        <v>17583</v>
      </c>
      <c r="AF933" t="s">
        <v>74</v>
      </c>
      <c r="AG933">
        <v>41</v>
      </c>
      <c r="AH933">
        <v>7</v>
      </c>
      <c r="AI933">
        <v>8</v>
      </c>
      <c r="AJ933">
        <v>0</v>
      </c>
      <c r="AK933">
        <v>8</v>
      </c>
      <c r="AL933" t="s">
        <v>4320</v>
      </c>
      <c r="AM933" t="s">
        <v>2567</v>
      </c>
      <c r="AN933" t="s">
        <v>2568</v>
      </c>
      <c r="AO933" t="s">
        <v>10584</v>
      </c>
      <c r="AP933" t="s">
        <v>74</v>
      </c>
      <c r="AQ933" t="s">
        <v>74</v>
      </c>
      <c r="AR933" t="s">
        <v>10585</v>
      </c>
      <c r="AS933" t="s">
        <v>10586</v>
      </c>
      <c r="AT933" t="s">
        <v>16960</v>
      </c>
      <c r="AU933">
        <v>2016</v>
      </c>
      <c r="AV933">
        <v>17</v>
      </c>
      <c r="AW933">
        <v>6</v>
      </c>
      <c r="AX933" t="s">
        <v>74</v>
      </c>
      <c r="AY933" t="s">
        <v>74</v>
      </c>
      <c r="AZ933" t="s">
        <v>74</v>
      </c>
      <c r="BA933" t="s">
        <v>74</v>
      </c>
      <c r="BB933" t="s">
        <v>74</v>
      </c>
      <c r="BC933" t="s">
        <v>74</v>
      </c>
      <c r="BD933">
        <v>813</v>
      </c>
      <c r="BE933" t="s">
        <v>17584</v>
      </c>
      <c r="BF933" t="str">
        <f>HYPERLINK("http://dx.doi.org/10.3390/ijms17060813","http://dx.doi.org/10.3390/ijms17060813")</f>
        <v>http://dx.doi.org/10.3390/ijms17060813</v>
      </c>
      <c r="BG933" t="s">
        <v>74</v>
      </c>
      <c r="BH933" t="s">
        <v>74</v>
      </c>
      <c r="BI933">
        <v>10</v>
      </c>
      <c r="BJ933" t="s">
        <v>10588</v>
      </c>
      <c r="BK933" t="s">
        <v>156</v>
      </c>
      <c r="BL933" t="s">
        <v>5515</v>
      </c>
      <c r="BM933" t="s">
        <v>17585</v>
      </c>
      <c r="BN933">
        <v>27231902</v>
      </c>
      <c r="BO933" t="s">
        <v>3908</v>
      </c>
      <c r="BP933" t="s">
        <v>74</v>
      </c>
      <c r="BQ933" t="s">
        <v>74</v>
      </c>
      <c r="BR933" t="s">
        <v>105</v>
      </c>
      <c r="BS933" t="s">
        <v>17586</v>
      </c>
      <c r="BT933" t="str">
        <f>HYPERLINK("https%3A%2F%2Fwww.webofscience.com%2Fwos%2Fwoscc%2Ffull-record%2FWOS:000378799300027","View Full Record in Web of Science")</f>
        <v>View Full Record in Web of Science</v>
      </c>
    </row>
    <row r="934" spans="1:72" x14ac:dyDescent="0.15">
      <c r="A934" t="s">
        <v>72</v>
      </c>
      <c r="B934" t="s">
        <v>17587</v>
      </c>
      <c r="C934" t="s">
        <v>74</v>
      </c>
      <c r="D934" t="s">
        <v>74</v>
      </c>
      <c r="E934" t="s">
        <v>74</v>
      </c>
      <c r="F934" t="s">
        <v>17588</v>
      </c>
      <c r="G934" t="s">
        <v>74</v>
      </c>
      <c r="H934" t="s">
        <v>74</v>
      </c>
      <c r="I934" t="s">
        <v>17589</v>
      </c>
      <c r="J934" t="s">
        <v>17590</v>
      </c>
      <c r="K934" t="s">
        <v>74</v>
      </c>
      <c r="L934" t="s">
        <v>74</v>
      </c>
      <c r="M934" t="s">
        <v>78</v>
      </c>
      <c r="N934" t="s">
        <v>79</v>
      </c>
      <c r="O934" t="s">
        <v>74</v>
      </c>
      <c r="P934" t="s">
        <v>74</v>
      </c>
      <c r="Q934" t="s">
        <v>74</v>
      </c>
      <c r="R934" t="s">
        <v>74</v>
      </c>
      <c r="S934" t="s">
        <v>74</v>
      </c>
      <c r="T934" t="s">
        <v>74</v>
      </c>
      <c r="U934" t="s">
        <v>17591</v>
      </c>
      <c r="V934" t="s">
        <v>17592</v>
      </c>
      <c r="W934" t="s">
        <v>17593</v>
      </c>
      <c r="X934" t="s">
        <v>17594</v>
      </c>
      <c r="Y934" t="s">
        <v>17595</v>
      </c>
      <c r="Z934" t="s">
        <v>17596</v>
      </c>
      <c r="AA934" t="s">
        <v>74</v>
      </c>
      <c r="AB934" t="s">
        <v>74</v>
      </c>
      <c r="AC934" t="s">
        <v>17597</v>
      </c>
      <c r="AD934" t="s">
        <v>17598</v>
      </c>
      <c r="AE934" t="s">
        <v>17599</v>
      </c>
      <c r="AF934" t="s">
        <v>74</v>
      </c>
      <c r="AG934">
        <v>67</v>
      </c>
      <c r="AH934">
        <v>1</v>
      </c>
      <c r="AI934">
        <v>1</v>
      </c>
      <c r="AJ934">
        <v>0</v>
      </c>
      <c r="AK934">
        <v>11</v>
      </c>
      <c r="AL934" t="s">
        <v>17600</v>
      </c>
      <c r="AM934" t="s">
        <v>17601</v>
      </c>
      <c r="AN934" t="s">
        <v>17602</v>
      </c>
      <c r="AO934" t="s">
        <v>17603</v>
      </c>
      <c r="AP934" t="s">
        <v>17604</v>
      </c>
      <c r="AQ934" t="s">
        <v>74</v>
      </c>
      <c r="AR934" t="s">
        <v>17590</v>
      </c>
      <c r="AS934" t="s">
        <v>17605</v>
      </c>
      <c r="AT934" t="s">
        <v>16960</v>
      </c>
      <c r="AU934">
        <v>2016</v>
      </c>
      <c r="AV934">
        <v>31</v>
      </c>
      <c r="AW934">
        <v>6</v>
      </c>
      <c r="AX934" t="s">
        <v>74</v>
      </c>
      <c r="AY934" t="s">
        <v>74</v>
      </c>
      <c r="AZ934" t="s">
        <v>74</v>
      </c>
      <c r="BA934" t="s">
        <v>74</v>
      </c>
      <c r="BB934">
        <v>280</v>
      </c>
      <c r="BC934">
        <v>290</v>
      </c>
      <c r="BD934" t="s">
        <v>74</v>
      </c>
      <c r="BE934" t="s">
        <v>17606</v>
      </c>
      <c r="BF934" t="str">
        <f>HYPERLINK("http://dx.doi.org/10.2110/palo.2015.069","http://dx.doi.org/10.2110/palo.2015.069")</f>
        <v>http://dx.doi.org/10.2110/palo.2015.069</v>
      </c>
      <c r="BG934" t="s">
        <v>74</v>
      </c>
      <c r="BH934" t="s">
        <v>74</v>
      </c>
      <c r="BI934">
        <v>11</v>
      </c>
      <c r="BJ934" t="s">
        <v>17607</v>
      </c>
      <c r="BK934" t="s">
        <v>156</v>
      </c>
      <c r="BL934" t="s">
        <v>17607</v>
      </c>
      <c r="BM934" t="s">
        <v>17608</v>
      </c>
      <c r="BN934" t="s">
        <v>74</v>
      </c>
      <c r="BO934" t="s">
        <v>74</v>
      </c>
      <c r="BP934" t="s">
        <v>74</v>
      </c>
      <c r="BQ934" t="s">
        <v>74</v>
      </c>
      <c r="BR934" t="s">
        <v>105</v>
      </c>
      <c r="BS934" t="s">
        <v>17609</v>
      </c>
      <c r="BT934" t="str">
        <f>HYPERLINK("https%3A%2F%2Fwww.webofscience.com%2Fwos%2Fwoscc%2Ffull-record%2FWOS:000378652600002","View Full Record in Web of Science")</f>
        <v>View Full Record in Web of Science</v>
      </c>
    </row>
    <row r="935" spans="1:72" x14ac:dyDescent="0.15">
      <c r="A935" t="s">
        <v>72</v>
      </c>
      <c r="B935" t="s">
        <v>17610</v>
      </c>
      <c r="C935" t="s">
        <v>74</v>
      </c>
      <c r="D935" t="s">
        <v>74</v>
      </c>
      <c r="E935" t="s">
        <v>74</v>
      </c>
      <c r="F935" t="s">
        <v>17611</v>
      </c>
      <c r="G935" t="s">
        <v>74</v>
      </c>
      <c r="H935" t="s">
        <v>74</v>
      </c>
      <c r="I935" t="s">
        <v>17612</v>
      </c>
      <c r="J935" t="s">
        <v>17613</v>
      </c>
      <c r="K935" t="s">
        <v>74</v>
      </c>
      <c r="L935" t="s">
        <v>74</v>
      </c>
      <c r="M935" t="s">
        <v>78</v>
      </c>
      <c r="N935" t="s">
        <v>317</v>
      </c>
      <c r="O935" t="s">
        <v>74</v>
      </c>
      <c r="P935" t="s">
        <v>74</v>
      </c>
      <c r="Q935" t="s">
        <v>74</v>
      </c>
      <c r="R935" t="s">
        <v>74</v>
      </c>
      <c r="S935" t="s">
        <v>74</v>
      </c>
      <c r="T935" t="s">
        <v>17614</v>
      </c>
      <c r="U935" t="s">
        <v>17615</v>
      </c>
      <c r="V935" t="s">
        <v>17616</v>
      </c>
      <c r="W935" t="s">
        <v>17617</v>
      </c>
      <c r="X935" t="s">
        <v>17618</v>
      </c>
      <c r="Y935" t="s">
        <v>17619</v>
      </c>
      <c r="Z935" t="s">
        <v>17620</v>
      </c>
      <c r="AA935" t="s">
        <v>17621</v>
      </c>
      <c r="AB935" t="s">
        <v>17622</v>
      </c>
      <c r="AC935" t="s">
        <v>17623</v>
      </c>
      <c r="AD935" t="s">
        <v>12464</v>
      </c>
      <c r="AE935" t="s">
        <v>17624</v>
      </c>
      <c r="AF935" t="s">
        <v>74</v>
      </c>
      <c r="AG935">
        <v>50</v>
      </c>
      <c r="AH935">
        <v>7</v>
      </c>
      <c r="AI935">
        <v>7</v>
      </c>
      <c r="AJ935">
        <v>1</v>
      </c>
      <c r="AK935">
        <v>35</v>
      </c>
      <c r="AL935" t="s">
        <v>17625</v>
      </c>
      <c r="AM935" t="s">
        <v>17626</v>
      </c>
      <c r="AN935" t="s">
        <v>17627</v>
      </c>
      <c r="AO935" t="s">
        <v>17628</v>
      </c>
      <c r="AP935" t="s">
        <v>17629</v>
      </c>
      <c r="AQ935" t="s">
        <v>74</v>
      </c>
      <c r="AR935" t="s">
        <v>17630</v>
      </c>
      <c r="AS935" t="s">
        <v>17631</v>
      </c>
      <c r="AT935" t="s">
        <v>16960</v>
      </c>
      <c r="AU935">
        <v>2016</v>
      </c>
      <c r="AV935">
        <v>82</v>
      </c>
      <c r="AW935" t="s">
        <v>746</v>
      </c>
      <c r="AX935" t="s">
        <v>74</v>
      </c>
      <c r="AY935" t="s">
        <v>74</v>
      </c>
      <c r="AZ935" t="s">
        <v>650</v>
      </c>
      <c r="BA935" t="s">
        <v>74</v>
      </c>
      <c r="BB935">
        <v>767</v>
      </c>
      <c r="BC935">
        <v>774</v>
      </c>
      <c r="BD935" t="s">
        <v>74</v>
      </c>
      <c r="BE935" t="s">
        <v>17632</v>
      </c>
      <c r="BF935" t="str">
        <f>HYPERLINK("http://dx.doi.org/10.1055/s-0042-105652","http://dx.doi.org/10.1055/s-0042-105652")</f>
        <v>http://dx.doi.org/10.1055/s-0042-105652</v>
      </c>
      <c r="BG935" t="s">
        <v>74</v>
      </c>
      <c r="BH935" t="s">
        <v>74</v>
      </c>
      <c r="BI935">
        <v>8</v>
      </c>
      <c r="BJ935" t="s">
        <v>17633</v>
      </c>
      <c r="BK935" t="s">
        <v>156</v>
      </c>
      <c r="BL935" t="s">
        <v>17634</v>
      </c>
      <c r="BM935" t="s">
        <v>17635</v>
      </c>
      <c r="BN935">
        <v>27220070</v>
      </c>
      <c r="BO935" t="s">
        <v>74</v>
      </c>
      <c r="BP935" t="s">
        <v>74</v>
      </c>
      <c r="BQ935" t="s">
        <v>74</v>
      </c>
      <c r="BR935" t="s">
        <v>105</v>
      </c>
      <c r="BS935" t="s">
        <v>17636</v>
      </c>
      <c r="BT935" t="str">
        <f>HYPERLINK("https%3A%2F%2Fwww.webofscience.com%2Fwos%2Fwoscc%2Ffull-record%2FWOS:000378913600004","View Full Record in Web of Science")</f>
        <v>View Full Record in Web of Science</v>
      </c>
    </row>
    <row r="936" spans="1:72" x14ac:dyDescent="0.15">
      <c r="A936" t="s">
        <v>72</v>
      </c>
      <c r="B936" t="s">
        <v>17637</v>
      </c>
      <c r="C936" t="s">
        <v>74</v>
      </c>
      <c r="D936" t="s">
        <v>74</v>
      </c>
      <c r="E936" t="s">
        <v>74</v>
      </c>
      <c r="F936" t="s">
        <v>17638</v>
      </c>
      <c r="G936" t="s">
        <v>74</v>
      </c>
      <c r="H936" t="s">
        <v>74</v>
      </c>
      <c r="I936" t="s">
        <v>17639</v>
      </c>
      <c r="J936" t="s">
        <v>17640</v>
      </c>
      <c r="K936" t="s">
        <v>74</v>
      </c>
      <c r="L936" t="s">
        <v>74</v>
      </c>
      <c r="M936" t="s">
        <v>78</v>
      </c>
      <c r="N936" t="s">
        <v>79</v>
      </c>
      <c r="O936" t="s">
        <v>74</v>
      </c>
      <c r="P936" t="s">
        <v>74</v>
      </c>
      <c r="Q936" t="s">
        <v>74</v>
      </c>
      <c r="R936" t="s">
        <v>74</v>
      </c>
      <c r="S936" t="s">
        <v>74</v>
      </c>
      <c r="T936" t="s">
        <v>74</v>
      </c>
      <c r="U936" t="s">
        <v>17641</v>
      </c>
      <c r="V936" t="s">
        <v>17642</v>
      </c>
      <c r="W936" t="s">
        <v>17643</v>
      </c>
      <c r="X936" t="s">
        <v>17644</v>
      </c>
      <c r="Y936" t="s">
        <v>17645</v>
      </c>
      <c r="Z936" t="s">
        <v>17646</v>
      </c>
      <c r="AA936" t="s">
        <v>6672</v>
      </c>
      <c r="AB936" t="s">
        <v>17647</v>
      </c>
      <c r="AC936" t="s">
        <v>17648</v>
      </c>
      <c r="AD936" t="s">
        <v>17649</v>
      </c>
      <c r="AE936" t="s">
        <v>17650</v>
      </c>
      <c r="AF936" t="s">
        <v>74</v>
      </c>
      <c r="AG936">
        <v>46</v>
      </c>
      <c r="AH936">
        <v>10</v>
      </c>
      <c r="AI936">
        <v>13</v>
      </c>
      <c r="AJ936">
        <v>0</v>
      </c>
      <c r="AK936">
        <v>17</v>
      </c>
      <c r="AL936" t="s">
        <v>397</v>
      </c>
      <c r="AM936" t="s">
        <v>398</v>
      </c>
      <c r="AN936" t="s">
        <v>399</v>
      </c>
      <c r="AO936" t="s">
        <v>17651</v>
      </c>
      <c r="AP936" t="s">
        <v>17652</v>
      </c>
      <c r="AQ936" t="s">
        <v>74</v>
      </c>
      <c r="AR936" t="s">
        <v>17653</v>
      </c>
      <c r="AS936" t="s">
        <v>17654</v>
      </c>
      <c r="AT936" t="s">
        <v>16960</v>
      </c>
      <c r="AU936">
        <v>2016</v>
      </c>
      <c r="AV936">
        <v>31</v>
      </c>
      <c r="AW936">
        <v>3</v>
      </c>
      <c r="AX936" t="s">
        <v>74</v>
      </c>
      <c r="AY936" t="s">
        <v>74</v>
      </c>
      <c r="AZ936" t="s">
        <v>74</v>
      </c>
      <c r="BA936" t="s">
        <v>74</v>
      </c>
      <c r="BB936">
        <v>985</v>
      </c>
      <c r="BC936">
        <v>1000</v>
      </c>
      <c r="BD936" t="s">
        <v>74</v>
      </c>
      <c r="BE936" t="s">
        <v>17655</v>
      </c>
      <c r="BF936" t="str">
        <f>HYPERLINK("http://dx.doi.org/10.1175/WAF-D-15-0125.1","http://dx.doi.org/10.1175/WAF-D-15-0125.1")</f>
        <v>http://dx.doi.org/10.1175/WAF-D-15-0125.1</v>
      </c>
      <c r="BG936" t="s">
        <v>74</v>
      </c>
      <c r="BH936" t="s">
        <v>74</v>
      </c>
      <c r="BI936">
        <v>16</v>
      </c>
      <c r="BJ936" t="s">
        <v>2482</v>
      </c>
      <c r="BK936" t="s">
        <v>156</v>
      </c>
      <c r="BL936" t="s">
        <v>2482</v>
      </c>
      <c r="BM936" t="s">
        <v>17656</v>
      </c>
      <c r="BN936" t="s">
        <v>74</v>
      </c>
      <c r="BO936" t="s">
        <v>74</v>
      </c>
      <c r="BP936" t="s">
        <v>74</v>
      </c>
      <c r="BQ936" t="s">
        <v>74</v>
      </c>
      <c r="BR936" t="s">
        <v>105</v>
      </c>
      <c r="BS936" t="s">
        <v>17657</v>
      </c>
      <c r="BT936" t="str">
        <f>HYPERLINK("https%3A%2F%2Fwww.webofscience.com%2Fwos%2Fwoscc%2Ffull-record%2FWOS:000378527700016","View Full Record in Web of Science")</f>
        <v>View Full Record in Web of Science</v>
      </c>
    </row>
    <row r="937" spans="1:72" x14ac:dyDescent="0.15">
      <c r="A937" t="s">
        <v>72</v>
      </c>
      <c r="B937" t="s">
        <v>17658</v>
      </c>
      <c r="C937" t="s">
        <v>74</v>
      </c>
      <c r="D937" t="s">
        <v>74</v>
      </c>
      <c r="E937" t="s">
        <v>74</v>
      </c>
      <c r="F937" t="s">
        <v>17659</v>
      </c>
      <c r="G937" t="s">
        <v>74</v>
      </c>
      <c r="H937" t="s">
        <v>74</v>
      </c>
      <c r="I937" t="s">
        <v>17660</v>
      </c>
      <c r="J937" t="s">
        <v>3536</v>
      </c>
      <c r="K937" t="s">
        <v>74</v>
      </c>
      <c r="L937" t="s">
        <v>74</v>
      </c>
      <c r="M937" t="s">
        <v>78</v>
      </c>
      <c r="N937" t="s">
        <v>79</v>
      </c>
      <c r="O937" t="s">
        <v>74</v>
      </c>
      <c r="P937" t="s">
        <v>74</v>
      </c>
      <c r="Q937" t="s">
        <v>74</v>
      </c>
      <c r="R937" t="s">
        <v>74</v>
      </c>
      <c r="S937" t="s">
        <v>74</v>
      </c>
      <c r="T937" t="s">
        <v>17661</v>
      </c>
      <c r="U937" t="s">
        <v>17662</v>
      </c>
      <c r="V937" t="s">
        <v>17663</v>
      </c>
      <c r="W937" t="s">
        <v>17664</v>
      </c>
      <c r="X937" t="s">
        <v>17665</v>
      </c>
      <c r="Y937" t="s">
        <v>17666</v>
      </c>
      <c r="Z937" t="s">
        <v>17667</v>
      </c>
      <c r="AA937" t="s">
        <v>17668</v>
      </c>
      <c r="AB937" t="s">
        <v>17669</v>
      </c>
      <c r="AC937" t="s">
        <v>17670</v>
      </c>
      <c r="AD937" t="s">
        <v>17671</v>
      </c>
      <c r="AE937" t="s">
        <v>17672</v>
      </c>
      <c r="AF937" t="s">
        <v>74</v>
      </c>
      <c r="AG937">
        <v>91</v>
      </c>
      <c r="AH937">
        <v>47</v>
      </c>
      <c r="AI937">
        <v>48</v>
      </c>
      <c r="AJ937">
        <v>1</v>
      </c>
      <c r="AK937">
        <v>87</v>
      </c>
      <c r="AL937" t="s">
        <v>474</v>
      </c>
      <c r="AM937" t="s">
        <v>304</v>
      </c>
      <c r="AN937" t="s">
        <v>475</v>
      </c>
      <c r="AO937" t="s">
        <v>3549</v>
      </c>
      <c r="AP937" t="s">
        <v>3550</v>
      </c>
      <c r="AQ937" t="s">
        <v>74</v>
      </c>
      <c r="AR937" t="s">
        <v>3551</v>
      </c>
      <c r="AS937" t="s">
        <v>3552</v>
      </c>
      <c r="AT937" t="s">
        <v>16960</v>
      </c>
      <c r="AU937">
        <v>2016</v>
      </c>
      <c r="AV937">
        <v>213</v>
      </c>
      <c r="AW937" t="s">
        <v>74</v>
      </c>
      <c r="AX937" t="s">
        <v>74</v>
      </c>
      <c r="AY937" t="s">
        <v>74</v>
      </c>
      <c r="AZ937" t="s">
        <v>74</v>
      </c>
      <c r="BA937" t="s">
        <v>74</v>
      </c>
      <c r="BB937">
        <v>195</v>
      </c>
      <c r="BC937">
        <v>205</v>
      </c>
      <c r="BD937" t="s">
        <v>74</v>
      </c>
      <c r="BE937" t="s">
        <v>17673</v>
      </c>
      <c r="BF937" t="str">
        <f>HYPERLINK("http://dx.doi.org/10.1016/j.envpol.2016.02.010","http://dx.doi.org/10.1016/j.envpol.2016.02.010")</f>
        <v>http://dx.doi.org/10.1016/j.envpol.2016.02.010</v>
      </c>
      <c r="BG937" t="s">
        <v>74</v>
      </c>
      <c r="BH937" t="s">
        <v>74</v>
      </c>
      <c r="BI937">
        <v>11</v>
      </c>
      <c r="BJ937" t="s">
        <v>846</v>
      </c>
      <c r="BK937" t="s">
        <v>156</v>
      </c>
      <c r="BL937" t="s">
        <v>532</v>
      </c>
      <c r="BM937" t="s">
        <v>17674</v>
      </c>
      <c r="BN937">
        <v>26896669</v>
      </c>
      <c r="BO937" t="s">
        <v>805</v>
      </c>
      <c r="BP937" t="s">
        <v>74</v>
      </c>
      <c r="BQ937" t="s">
        <v>74</v>
      </c>
      <c r="BR937" t="s">
        <v>105</v>
      </c>
      <c r="BS937" t="s">
        <v>17675</v>
      </c>
      <c r="BT937" t="str">
        <f>HYPERLINK("https%3A%2F%2Fwww.webofscience.com%2Fwos%2Fwoscc%2Ffull-record%2FWOS:000377921800022","View Full Record in Web of Science")</f>
        <v>View Full Record in Web of Science</v>
      </c>
    </row>
    <row r="938" spans="1:72" x14ac:dyDescent="0.15">
      <c r="A938" t="s">
        <v>72</v>
      </c>
      <c r="B938" t="s">
        <v>17676</v>
      </c>
      <c r="C938" t="s">
        <v>74</v>
      </c>
      <c r="D938" t="s">
        <v>74</v>
      </c>
      <c r="E938" t="s">
        <v>74</v>
      </c>
      <c r="F938" t="s">
        <v>17677</v>
      </c>
      <c r="G938" t="s">
        <v>74</v>
      </c>
      <c r="H938" t="s">
        <v>74</v>
      </c>
      <c r="I938" t="s">
        <v>17678</v>
      </c>
      <c r="J938" t="s">
        <v>3536</v>
      </c>
      <c r="K938" t="s">
        <v>74</v>
      </c>
      <c r="L938" t="s">
        <v>74</v>
      </c>
      <c r="M938" t="s">
        <v>78</v>
      </c>
      <c r="N938" t="s">
        <v>317</v>
      </c>
      <c r="O938" t="s">
        <v>74</v>
      </c>
      <c r="P938" t="s">
        <v>74</v>
      </c>
      <c r="Q938" t="s">
        <v>74</v>
      </c>
      <c r="R938" t="s">
        <v>74</v>
      </c>
      <c r="S938" t="s">
        <v>74</v>
      </c>
      <c r="T938" t="s">
        <v>17679</v>
      </c>
      <c r="U938" t="s">
        <v>17680</v>
      </c>
      <c r="V938" t="s">
        <v>17681</v>
      </c>
      <c r="W938" t="s">
        <v>17682</v>
      </c>
      <c r="X938" t="s">
        <v>17683</v>
      </c>
      <c r="Y938" t="s">
        <v>17684</v>
      </c>
      <c r="Z938" t="s">
        <v>17685</v>
      </c>
      <c r="AA938" t="s">
        <v>17686</v>
      </c>
      <c r="AB938" t="s">
        <v>74</v>
      </c>
      <c r="AC938" t="s">
        <v>74</v>
      </c>
      <c r="AD938" t="s">
        <v>74</v>
      </c>
      <c r="AE938" t="s">
        <v>74</v>
      </c>
      <c r="AF938" t="s">
        <v>74</v>
      </c>
      <c r="AG938">
        <v>128</v>
      </c>
      <c r="AH938">
        <v>86</v>
      </c>
      <c r="AI938">
        <v>92</v>
      </c>
      <c r="AJ938">
        <v>10</v>
      </c>
      <c r="AK938">
        <v>121</v>
      </c>
      <c r="AL938" t="s">
        <v>474</v>
      </c>
      <c r="AM938" t="s">
        <v>304</v>
      </c>
      <c r="AN938" t="s">
        <v>475</v>
      </c>
      <c r="AO938" t="s">
        <v>3549</v>
      </c>
      <c r="AP938" t="s">
        <v>3550</v>
      </c>
      <c r="AQ938" t="s">
        <v>74</v>
      </c>
      <c r="AR938" t="s">
        <v>3551</v>
      </c>
      <c r="AS938" t="s">
        <v>3552</v>
      </c>
      <c r="AT938" t="s">
        <v>16960</v>
      </c>
      <c r="AU938">
        <v>2016</v>
      </c>
      <c r="AV938">
        <v>213</v>
      </c>
      <c r="AW938" t="s">
        <v>74</v>
      </c>
      <c r="AX938" t="s">
        <v>74</v>
      </c>
      <c r="AY938" t="s">
        <v>74</v>
      </c>
      <c r="AZ938" t="s">
        <v>74</v>
      </c>
      <c r="BA938" t="s">
        <v>74</v>
      </c>
      <c r="BB938">
        <v>283</v>
      </c>
      <c r="BC938">
        <v>298</v>
      </c>
      <c r="BD938" t="s">
        <v>74</v>
      </c>
      <c r="BE938" t="s">
        <v>17687</v>
      </c>
      <c r="BF938" t="str">
        <f>HYPERLINK("http://dx.doi.org/10.1016/j.envpol.2016.02.006","http://dx.doi.org/10.1016/j.envpol.2016.02.006")</f>
        <v>http://dx.doi.org/10.1016/j.envpol.2016.02.006</v>
      </c>
      <c r="BG938" t="s">
        <v>74</v>
      </c>
      <c r="BH938" t="s">
        <v>74</v>
      </c>
      <c r="BI938">
        <v>16</v>
      </c>
      <c r="BJ938" t="s">
        <v>846</v>
      </c>
      <c r="BK938" t="s">
        <v>156</v>
      </c>
      <c r="BL938" t="s">
        <v>532</v>
      </c>
      <c r="BM938" t="s">
        <v>17674</v>
      </c>
      <c r="BN938">
        <v>26924757</v>
      </c>
      <c r="BO938" t="s">
        <v>805</v>
      </c>
      <c r="BP938" t="s">
        <v>74</v>
      </c>
      <c r="BQ938" t="s">
        <v>74</v>
      </c>
      <c r="BR938" t="s">
        <v>105</v>
      </c>
      <c r="BS938" t="s">
        <v>17688</v>
      </c>
      <c r="BT938" t="str">
        <f>HYPERLINK("https%3A%2F%2Fwww.webofscience.com%2Fwos%2Fwoscc%2Ffull-record%2FWOS:000377921800031","View Full Record in Web of Science")</f>
        <v>View Full Record in Web of Science</v>
      </c>
    </row>
    <row r="939" spans="1:72" x14ac:dyDescent="0.15">
      <c r="A939" t="s">
        <v>72</v>
      </c>
      <c r="B939" t="s">
        <v>17689</v>
      </c>
      <c r="C939" t="s">
        <v>74</v>
      </c>
      <c r="D939" t="s">
        <v>74</v>
      </c>
      <c r="E939" t="s">
        <v>74</v>
      </c>
      <c r="F939" t="s">
        <v>17690</v>
      </c>
      <c r="G939" t="s">
        <v>74</v>
      </c>
      <c r="H939" t="s">
        <v>74</v>
      </c>
      <c r="I939" t="s">
        <v>17691</v>
      </c>
      <c r="J939" t="s">
        <v>17692</v>
      </c>
      <c r="K939" t="s">
        <v>74</v>
      </c>
      <c r="L939" t="s">
        <v>74</v>
      </c>
      <c r="M939" t="s">
        <v>78</v>
      </c>
      <c r="N939" t="s">
        <v>79</v>
      </c>
      <c r="O939" t="s">
        <v>74</v>
      </c>
      <c r="P939" t="s">
        <v>74</v>
      </c>
      <c r="Q939" t="s">
        <v>74</v>
      </c>
      <c r="R939" t="s">
        <v>74</v>
      </c>
      <c r="S939" t="s">
        <v>74</v>
      </c>
      <c r="T939" t="s">
        <v>17693</v>
      </c>
      <c r="U939" t="s">
        <v>17694</v>
      </c>
      <c r="V939" t="s">
        <v>17695</v>
      </c>
      <c r="W939" t="s">
        <v>17696</v>
      </c>
      <c r="X939" t="s">
        <v>17697</v>
      </c>
      <c r="Y939" t="s">
        <v>17698</v>
      </c>
      <c r="Z939" t="s">
        <v>17699</v>
      </c>
      <c r="AA939" t="s">
        <v>17700</v>
      </c>
      <c r="AB939" t="s">
        <v>74</v>
      </c>
      <c r="AC939" t="s">
        <v>74</v>
      </c>
      <c r="AD939" t="s">
        <v>74</v>
      </c>
      <c r="AE939" t="s">
        <v>74</v>
      </c>
      <c r="AF939" t="s">
        <v>74</v>
      </c>
      <c r="AG939">
        <v>8</v>
      </c>
      <c r="AH939">
        <v>6</v>
      </c>
      <c r="AI939">
        <v>6</v>
      </c>
      <c r="AJ939">
        <v>1</v>
      </c>
      <c r="AK939">
        <v>10</v>
      </c>
      <c r="AL939" t="s">
        <v>196</v>
      </c>
      <c r="AM939" t="s">
        <v>93</v>
      </c>
      <c r="AN939" t="s">
        <v>197</v>
      </c>
      <c r="AO939" t="s">
        <v>17701</v>
      </c>
      <c r="AP939" t="s">
        <v>74</v>
      </c>
      <c r="AQ939" t="s">
        <v>74</v>
      </c>
      <c r="AR939" t="s">
        <v>17702</v>
      </c>
      <c r="AS939" t="s">
        <v>17703</v>
      </c>
      <c r="AT939" t="s">
        <v>16960</v>
      </c>
      <c r="AU939">
        <v>2016</v>
      </c>
      <c r="AV939">
        <v>8</v>
      </c>
      <c r="AW939" t="s">
        <v>74</v>
      </c>
      <c r="AX939" t="s">
        <v>74</v>
      </c>
      <c r="AY939" t="s">
        <v>74</v>
      </c>
      <c r="AZ939" t="s">
        <v>74</v>
      </c>
      <c r="BA939" t="s">
        <v>74</v>
      </c>
      <c r="BB939">
        <v>113</v>
      </c>
      <c r="BC939">
        <v>114</v>
      </c>
      <c r="BD939" t="s">
        <v>74</v>
      </c>
      <c r="BE939" t="s">
        <v>17704</v>
      </c>
      <c r="BF939" t="str">
        <f>HYPERLINK("http://dx.doi.org/10.1016/j.gdata.2016.04.012","http://dx.doi.org/10.1016/j.gdata.2016.04.012")</f>
        <v>http://dx.doi.org/10.1016/j.gdata.2016.04.012</v>
      </c>
      <c r="BG939" t="s">
        <v>74</v>
      </c>
      <c r="BH939" t="s">
        <v>74</v>
      </c>
      <c r="BI939">
        <v>2</v>
      </c>
      <c r="BJ939" t="s">
        <v>17705</v>
      </c>
      <c r="BK939" t="s">
        <v>131</v>
      </c>
      <c r="BL939" t="s">
        <v>17705</v>
      </c>
      <c r="BM939" t="s">
        <v>17706</v>
      </c>
      <c r="BN939">
        <v>27222813</v>
      </c>
      <c r="BO939" t="s">
        <v>133</v>
      </c>
      <c r="BP939" t="s">
        <v>74</v>
      </c>
      <c r="BQ939" t="s">
        <v>74</v>
      </c>
      <c r="BR939" t="s">
        <v>105</v>
      </c>
      <c r="BS939" t="s">
        <v>17707</v>
      </c>
      <c r="BT939" t="str">
        <f>HYPERLINK("https%3A%2F%2Fwww.webofscience.com%2Fwos%2Fwoscc%2Ffull-record%2FWOS:000377761900026","View Full Record in Web of Science")</f>
        <v>View Full Record in Web of Science</v>
      </c>
    </row>
    <row r="940" spans="1:72" x14ac:dyDescent="0.15">
      <c r="A940" t="s">
        <v>72</v>
      </c>
      <c r="B940" t="s">
        <v>17708</v>
      </c>
      <c r="C940" t="s">
        <v>74</v>
      </c>
      <c r="D940" t="s">
        <v>74</v>
      </c>
      <c r="E940" t="s">
        <v>74</v>
      </c>
      <c r="F940" t="s">
        <v>17709</v>
      </c>
      <c r="G940" t="s">
        <v>74</v>
      </c>
      <c r="H940" t="s">
        <v>74</v>
      </c>
      <c r="I940" t="s">
        <v>17710</v>
      </c>
      <c r="J940" t="s">
        <v>17711</v>
      </c>
      <c r="K940" t="s">
        <v>74</v>
      </c>
      <c r="L940" t="s">
        <v>74</v>
      </c>
      <c r="M940" t="s">
        <v>78</v>
      </c>
      <c r="N940" t="s">
        <v>79</v>
      </c>
      <c r="O940" t="s">
        <v>74</v>
      </c>
      <c r="P940" t="s">
        <v>74</v>
      </c>
      <c r="Q940" t="s">
        <v>74</v>
      </c>
      <c r="R940" t="s">
        <v>74</v>
      </c>
      <c r="S940" t="s">
        <v>74</v>
      </c>
      <c r="T940" t="s">
        <v>17712</v>
      </c>
      <c r="U940" t="s">
        <v>17713</v>
      </c>
      <c r="V940" t="s">
        <v>17714</v>
      </c>
      <c r="W940" t="s">
        <v>17715</v>
      </c>
      <c r="X940" t="s">
        <v>17716</v>
      </c>
      <c r="Y940" t="s">
        <v>17717</v>
      </c>
      <c r="Z940" t="s">
        <v>17718</v>
      </c>
      <c r="AA940" t="s">
        <v>17719</v>
      </c>
      <c r="AB940" t="s">
        <v>17720</v>
      </c>
      <c r="AC940" t="s">
        <v>17721</v>
      </c>
      <c r="AD940" t="s">
        <v>17722</v>
      </c>
      <c r="AE940" t="s">
        <v>17723</v>
      </c>
      <c r="AF940" t="s">
        <v>74</v>
      </c>
      <c r="AG940">
        <v>69</v>
      </c>
      <c r="AH940">
        <v>42</v>
      </c>
      <c r="AI940">
        <v>46</v>
      </c>
      <c r="AJ940">
        <v>2</v>
      </c>
      <c r="AK940">
        <v>60</v>
      </c>
      <c r="AL940" t="s">
        <v>92</v>
      </c>
      <c r="AM940" t="s">
        <v>93</v>
      </c>
      <c r="AN940" t="s">
        <v>94</v>
      </c>
      <c r="AO940" t="s">
        <v>17724</v>
      </c>
      <c r="AP940" t="s">
        <v>74</v>
      </c>
      <c r="AQ940" t="s">
        <v>74</v>
      </c>
      <c r="AR940" t="s">
        <v>17725</v>
      </c>
      <c r="AS940" t="s">
        <v>17726</v>
      </c>
      <c r="AT940" t="s">
        <v>16960</v>
      </c>
      <c r="AU940">
        <v>2016</v>
      </c>
      <c r="AV940">
        <v>24</v>
      </c>
      <c r="AW940" t="s">
        <v>74</v>
      </c>
      <c r="AX940" t="s">
        <v>74</v>
      </c>
      <c r="AY940" t="s">
        <v>74</v>
      </c>
      <c r="AZ940" t="s">
        <v>74</v>
      </c>
      <c r="BA940" t="s">
        <v>74</v>
      </c>
      <c r="BB940">
        <v>537</v>
      </c>
      <c r="BC940">
        <v>548</v>
      </c>
      <c r="BD940" t="s">
        <v>74</v>
      </c>
      <c r="BE940" t="s">
        <v>17727</v>
      </c>
      <c r="BF940" t="str">
        <f>HYPERLINK("http://dx.doi.org/10.1016/j.jff.2016.04.034","http://dx.doi.org/10.1016/j.jff.2016.04.034")</f>
        <v>http://dx.doi.org/10.1016/j.jff.2016.04.034</v>
      </c>
      <c r="BG940" t="s">
        <v>74</v>
      </c>
      <c r="BH940" t="s">
        <v>74</v>
      </c>
      <c r="BI940">
        <v>12</v>
      </c>
      <c r="BJ940" t="s">
        <v>17728</v>
      </c>
      <c r="BK940" t="s">
        <v>156</v>
      </c>
      <c r="BL940" t="s">
        <v>17728</v>
      </c>
      <c r="BM940" t="s">
        <v>17729</v>
      </c>
      <c r="BN940" t="s">
        <v>74</v>
      </c>
      <c r="BO940" t="s">
        <v>74</v>
      </c>
      <c r="BP940" t="s">
        <v>74</v>
      </c>
      <c r="BQ940" t="s">
        <v>74</v>
      </c>
      <c r="BR940" t="s">
        <v>105</v>
      </c>
      <c r="BS940" t="s">
        <v>17730</v>
      </c>
      <c r="BT940" t="str">
        <f>HYPERLINK("https%3A%2F%2Fwww.webofscience.com%2Fwos%2Fwoscc%2Ffull-record%2FWOS:000378367100052","View Full Record in Web of Science")</f>
        <v>View Full Record in Web of Science</v>
      </c>
    </row>
    <row r="941" spans="1:72" x14ac:dyDescent="0.15">
      <c r="A941" t="s">
        <v>72</v>
      </c>
      <c r="B941" t="s">
        <v>17731</v>
      </c>
      <c r="C941" t="s">
        <v>74</v>
      </c>
      <c r="D941" t="s">
        <v>74</v>
      </c>
      <c r="E941" t="s">
        <v>74</v>
      </c>
      <c r="F941" t="s">
        <v>17732</v>
      </c>
      <c r="G941" t="s">
        <v>74</v>
      </c>
      <c r="H941" t="s">
        <v>74</v>
      </c>
      <c r="I941" t="s">
        <v>17733</v>
      </c>
      <c r="J941" t="s">
        <v>17734</v>
      </c>
      <c r="K941" t="s">
        <v>74</v>
      </c>
      <c r="L941" t="s">
        <v>74</v>
      </c>
      <c r="M941" t="s">
        <v>78</v>
      </c>
      <c r="N941" t="s">
        <v>317</v>
      </c>
      <c r="O941" t="s">
        <v>74</v>
      </c>
      <c r="P941" t="s">
        <v>74</v>
      </c>
      <c r="Q941" t="s">
        <v>74</v>
      </c>
      <c r="R941" t="s">
        <v>74</v>
      </c>
      <c r="S941" t="s">
        <v>74</v>
      </c>
      <c r="T941" t="s">
        <v>17735</v>
      </c>
      <c r="U941" t="s">
        <v>74</v>
      </c>
      <c r="V941" t="s">
        <v>17736</v>
      </c>
      <c r="W941" t="s">
        <v>17737</v>
      </c>
      <c r="X941" t="s">
        <v>17738</v>
      </c>
      <c r="Y941" t="s">
        <v>17739</v>
      </c>
      <c r="Z941" t="s">
        <v>17740</v>
      </c>
      <c r="AA941" t="s">
        <v>17741</v>
      </c>
      <c r="AB941" t="s">
        <v>17742</v>
      </c>
      <c r="AC941" t="s">
        <v>74</v>
      </c>
      <c r="AD941" t="s">
        <v>74</v>
      </c>
      <c r="AE941" t="s">
        <v>74</v>
      </c>
      <c r="AF941" t="s">
        <v>74</v>
      </c>
      <c r="AG941">
        <v>25</v>
      </c>
      <c r="AH941">
        <v>1</v>
      </c>
      <c r="AI941">
        <v>1</v>
      </c>
      <c r="AJ941">
        <v>0</v>
      </c>
      <c r="AK941">
        <v>4</v>
      </c>
      <c r="AL941" t="s">
        <v>17743</v>
      </c>
      <c r="AM941" t="s">
        <v>17744</v>
      </c>
      <c r="AN941" t="s">
        <v>17745</v>
      </c>
      <c r="AO941" t="s">
        <v>17746</v>
      </c>
      <c r="AP941" t="s">
        <v>17747</v>
      </c>
      <c r="AQ941" t="s">
        <v>74</v>
      </c>
      <c r="AR941" t="s">
        <v>17748</v>
      </c>
      <c r="AS941" t="s">
        <v>17749</v>
      </c>
      <c r="AT941" t="s">
        <v>16960</v>
      </c>
      <c r="AU941">
        <v>2016</v>
      </c>
      <c r="AV941">
        <v>100</v>
      </c>
      <c r="AW941">
        <v>1</v>
      </c>
      <c r="AX941" t="s">
        <v>74</v>
      </c>
      <c r="AY941" t="s">
        <v>74</v>
      </c>
      <c r="AZ941" t="s">
        <v>74</v>
      </c>
      <c r="BA941" t="s">
        <v>74</v>
      </c>
      <c r="BB941">
        <v>235</v>
      </c>
      <c r="BC941">
        <v>252</v>
      </c>
      <c r="BD941" t="s">
        <v>74</v>
      </c>
      <c r="BE941" t="s">
        <v>17750</v>
      </c>
      <c r="BF941" t="str">
        <f>HYPERLINK("http://dx.doi.org/10.1515/rgg-2016-0016","http://dx.doi.org/10.1515/rgg-2016-0016")</f>
        <v>http://dx.doi.org/10.1515/rgg-2016-0016</v>
      </c>
      <c r="BG941" t="s">
        <v>74</v>
      </c>
      <c r="BH941" t="s">
        <v>74</v>
      </c>
      <c r="BI941">
        <v>18</v>
      </c>
      <c r="BJ941" t="s">
        <v>17751</v>
      </c>
      <c r="BK941" t="s">
        <v>131</v>
      </c>
      <c r="BL941" t="s">
        <v>17751</v>
      </c>
      <c r="BM941" t="s">
        <v>17752</v>
      </c>
      <c r="BN941" t="s">
        <v>74</v>
      </c>
      <c r="BO941" t="s">
        <v>777</v>
      </c>
      <c r="BP941" t="s">
        <v>74</v>
      </c>
      <c r="BQ941" t="s">
        <v>74</v>
      </c>
      <c r="BR941" t="s">
        <v>105</v>
      </c>
      <c r="BS941" t="s">
        <v>17753</v>
      </c>
      <c r="BT941" t="str">
        <f>HYPERLINK("https%3A%2F%2Fwww.webofscience.com%2Fwos%2Fwoscc%2Ffull-record%2FWOS:000378042900015","View Full Record in Web of Science")</f>
        <v>View Full Record in Web of Science</v>
      </c>
    </row>
    <row r="942" spans="1:72" x14ac:dyDescent="0.15">
      <c r="A942" t="s">
        <v>72</v>
      </c>
      <c r="B942" t="s">
        <v>17754</v>
      </c>
      <c r="C942" t="s">
        <v>74</v>
      </c>
      <c r="D942" t="s">
        <v>74</v>
      </c>
      <c r="E942" t="s">
        <v>74</v>
      </c>
      <c r="F942" t="s">
        <v>17755</v>
      </c>
      <c r="G942" t="s">
        <v>74</v>
      </c>
      <c r="H942" t="s">
        <v>74</v>
      </c>
      <c r="I942" t="s">
        <v>17756</v>
      </c>
      <c r="J942" t="s">
        <v>17757</v>
      </c>
      <c r="K942" t="s">
        <v>74</v>
      </c>
      <c r="L942" t="s">
        <v>74</v>
      </c>
      <c r="M942" t="s">
        <v>78</v>
      </c>
      <c r="N942" t="s">
        <v>79</v>
      </c>
      <c r="O942" t="s">
        <v>74</v>
      </c>
      <c r="P942" t="s">
        <v>74</v>
      </c>
      <c r="Q942" t="s">
        <v>74</v>
      </c>
      <c r="R942" t="s">
        <v>74</v>
      </c>
      <c r="S942" t="s">
        <v>74</v>
      </c>
      <c r="T942" t="s">
        <v>17758</v>
      </c>
      <c r="U942" t="s">
        <v>17759</v>
      </c>
      <c r="V942" t="s">
        <v>17760</v>
      </c>
      <c r="W942" t="s">
        <v>17761</v>
      </c>
      <c r="X942" t="s">
        <v>17762</v>
      </c>
      <c r="Y942" t="s">
        <v>17763</v>
      </c>
      <c r="Z942" t="s">
        <v>17764</v>
      </c>
      <c r="AA942" t="s">
        <v>74</v>
      </c>
      <c r="AB942" t="s">
        <v>74</v>
      </c>
      <c r="AC942" t="s">
        <v>74</v>
      </c>
      <c r="AD942" t="s">
        <v>74</v>
      </c>
      <c r="AE942" t="s">
        <v>74</v>
      </c>
      <c r="AF942" t="s">
        <v>74</v>
      </c>
      <c r="AG942">
        <v>30</v>
      </c>
      <c r="AH942">
        <v>20</v>
      </c>
      <c r="AI942">
        <v>24</v>
      </c>
      <c r="AJ942">
        <v>2</v>
      </c>
      <c r="AK942">
        <v>26</v>
      </c>
      <c r="AL942" t="s">
        <v>17765</v>
      </c>
      <c r="AM942" t="s">
        <v>17766</v>
      </c>
      <c r="AN942" t="s">
        <v>17767</v>
      </c>
      <c r="AO942" t="s">
        <v>17768</v>
      </c>
      <c r="AP942" t="s">
        <v>17769</v>
      </c>
      <c r="AQ942" t="s">
        <v>74</v>
      </c>
      <c r="AR942" t="s">
        <v>17757</v>
      </c>
      <c r="AS942" t="s">
        <v>17770</v>
      </c>
      <c r="AT942" t="s">
        <v>16960</v>
      </c>
      <c r="AU942">
        <v>2016</v>
      </c>
      <c r="AV942">
        <v>12</v>
      </c>
      <c r="AW942">
        <v>3</v>
      </c>
      <c r="AX942" t="s">
        <v>74</v>
      </c>
      <c r="AY942" t="s">
        <v>74</v>
      </c>
      <c r="AZ942" t="s">
        <v>74</v>
      </c>
      <c r="BA942" t="s">
        <v>74</v>
      </c>
      <c r="BB942">
        <v>177</v>
      </c>
      <c r="BC942">
        <v>183</v>
      </c>
      <c r="BD942" t="s">
        <v>74</v>
      </c>
      <c r="BE942" t="s">
        <v>17771</v>
      </c>
      <c r="BF942" t="str">
        <f>HYPERLINK("http://dx.doi.org/10.2113/gselements.12.3.177","http://dx.doi.org/10.2113/gselements.12.3.177")</f>
        <v>http://dx.doi.org/10.2113/gselements.12.3.177</v>
      </c>
      <c r="BG942" t="s">
        <v>74</v>
      </c>
      <c r="BH942" t="s">
        <v>74</v>
      </c>
      <c r="BI942">
        <v>7</v>
      </c>
      <c r="BJ942" t="s">
        <v>430</v>
      </c>
      <c r="BK942" t="s">
        <v>156</v>
      </c>
      <c r="BL942" t="s">
        <v>430</v>
      </c>
      <c r="BM942" t="s">
        <v>17772</v>
      </c>
      <c r="BN942" t="s">
        <v>74</v>
      </c>
      <c r="BO942" t="s">
        <v>74</v>
      </c>
      <c r="BP942" t="s">
        <v>74</v>
      </c>
      <c r="BQ942" t="s">
        <v>74</v>
      </c>
      <c r="BR942" t="s">
        <v>105</v>
      </c>
      <c r="BS942" t="s">
        <v>17773</v>
      </c>
      <c r="BT942" t="str">
        <f>HYPERLINK("https%3A%2F%2Fwww.webofscience.com%2Fwos%2Fwoscc%2Ffull-record%2FWOS:000377847300004","View Full Record in Web of Science")</f>
        <v>View Full Record in Web of Science</v>
      </c>
    </row>
    <row r="943" spans="1:72" x14ac:dyDescent="0.15">
      <c r="A943" t="s">
        <v>72</v>
      </c>
      <c r="B943" t="s">
        <v>17774</v>
      </c>
      <c r="C943" t="s">
        <v>74</v>
      </c>
      <c r="D943" t="s">
        <v>74</v>
      </c>
      <c r="E943" t="s">
        <v>74</v>
      </c>
      <c r="F943" t="s">
        <v>17775</v>
      </c>
      <c r="G943" t="s">
        <v>74</v>
      </c>
      <c r="H943" t="s">
        <v>74</v>
      </c>
      <c r="I943" t="s">
        <v>17776</v>
      </c>
      <c r="J943" t="s">
        <v>17757</v>
      </c>
      <c r="K943" t="s">
        <v>74</v>
      </c>
      <c r="L943" t="s">
        <v>74</v>
      </c>
      <c r="M943" t="s">
        <v>78</v>
      </c>
      <c r="N943" t="s">
        <v>79</v>
      </c>
      <c r="O943" t="s">
        <v>74</v>
      </c>
      <c r="P943" t="s">
        <v>74</v>
      </c>
      <c r="Q943" t="s">
        <v>74</v>
      </c>
      <c r="R943" t="s">
        <v>74</v>
      </c>
      <c r="S943" t="s">
        <v>74</v>
      </c>
      <c r="T943" t="s">
        <v>17777</v>
      </c>
      <c r="U943" t="s">
        <v>17778</v>
      </c>
      <c r="V943" t="s">
        <v>17779</v>
      </c>
      <c r="W943" t="s">
        <v>17780</v>
      </c>
      <c r="X943" t="s">
        <v>17781</v>
      </c>
      <c r="Y943" t="s">
        <v>17782</v>
      </c>
      <c r="Z943" t="s">
        <v>17783</v>
      </c>
      <c r="AA943" t="s">
        <v>74</v>
      </c>
      <c r="AB943" t="s">
        <v>17784</v>
      </c>
      <c r="AC943" t="s">
        <v>17785</v>
      </c>
      <c r="AD943" t="s">
        <v>17786</v>
      </c>
      <c r="AE943" t="s">
        <v>17787</v>
      </c>
      <c r="AF943" t="s">
        <v>74</v>
      </c>
      <c r="AG943">
        <v>30</v>
      </c>
      <c r="AH943">
        <v>15</v>
      </c>
      <c r="AI943">
        <v>15</v>
      </c>
      <c r="AJ943">
        <v>2</v>
      </c>
      <c r="AK943">
        <v>28</v>
      </c>
      <c r="AL943" t="s">
        <v>17765</v>
      </c>
      <c r="AM943" t="s">
        <v>17766</v>
      </c>
      <c r="AN943" t="s">
        <v>17767</v>
      </c>
      <c r="AO943" t="s">
        <v>17768</v>
      </c>
      <c r="AP943" t="s">
        <v>17769</v>
      </c>
      <c r="AQ943" t="s">
        <v>74</v>
      </c>
      <c r="AR943" t="s">
        <v>17757</v>
      </c>
      <c r="AS943" t="s">
        <v>17770</v>
      </c>
      <c r="AT943" t="s">
        <v>16960</v>
      </c>
      <c r="AU943">
        <v>2016</v>
      </c>
      <c r="AV943">
        <v>12</v>
      </c>
      <c r="AW943">
        <v>3</v>
      </c>
      <c r="AX943" t="s">
        <v>74</v>
      </c>
      <c r="AY943" t="s">
        <v>74</v>
      </c>
      <c r="AZ943" t="s">
        <v>74</v>
      </c>
      <c r="BA943" t="s">
        <v>74</v>
      </c>
      <c r="BB943">
        <v>185</v>
      </c>
      <c r="BC943">
        <v>189</v>
      </c>
      <c r="BD943" t="s">
        <v>74</v>
      </c>
      <c r="BE943" t="s">
        <v>17788</v>
      </c>
      <c r="BF943" t="str">
        <f>HYPERLINK("http://dx.doi.org/10.2113/gselements.12.3.185","http://dx.doi.org/10.2113/gselements.12.3.185")</f>
        <v>http://dx.doi.org/10.2113/gselements.12.3.185</v>
      </c>
      <c r="BG943" t="s">
        <v>74</v>
      </c>
      <c r="BH943" t="s">
        <v>74</v>
      </c>
      <c r="BI943">
        <v>5</v>
      </c>
      <c r="BJ943" t="s">
        <v>430</v>
      </c>
      <c r="BK943" t="s">
        <v>156</v>
      </c>
      <c r="BL943" t="s">
        <v>430</v>
      </c>
      <c r="BM943" t="s">
        <v>17772</v>
      </c>
      <c r="BN943">
        <v>29422977</v>
      </c>
      <c r="BO943" t="s">
        <v>459</v>
      </c>
      <c r="BP943" t="s">
        <v>74</v>
      </c>
      <c r="BQ943" t="s">
        <v>74</v>
      </c>
      <c r="BR943" t="s">
        <v>105</v>
      </c>
      <c r="BS943" t="s">
        <v>17789</v>
      </c>
      <c r="BT943" t="str">
        <f>HYPERLINK("https%3A%2F%2Fwww.webofscience.com%2Fwos%2Fwoscc%2Ffull-record%2FWOS:000377847300005","View Full Record in Web of Science")</f>
        <v>View Full Record in Web of Science</v>
      </c>
    </row>
    <row r="944" spans="1:72" x14ac:dyDescent="0.15">
      <c r="A944" t="s">
        <v>72</v>
      </c>
      <c r="B944" t="s">
        <v>17790</v>
      </c>
      <c r="C944" t="s">
        <v>74</v>
      </c>
      <c r="D944" t="s">
        <v>74</v>
      </c>
      <c r="E944" t="s">
        <v>74</v>
      </c>
      <c r="F944" t="s">
        <v>17791</v>
      </c>
      <c r="G944" t="s">
        <v>74</v>
      </c>
      <c r="H944" t="s">
        <v>74</v>
      </c>
      <c r="I944" t="s">
        <v>17792</v>
      </c>
      <c r="J944" t="s">
        <v>17793</v>
      </c>
      <c r="K944" t="s">
        <v>74</v>
      </c>
      <c r="L944" t="s">
        <v>74</v>
      </c>
      <c r="M944" t="s">
        <v>78</v>
      </c>
      <c r="N944" t="s">
        <v>79</v>
      </c>
      <c r="O944" t="s">
        <v>74</v>
      </c>
      <c r="P944" t="s">
        <v>74</v>
      </c>
      <c r="Q944" t="s">
        <v>74</v>
      </c>
      <c r="R944" t="s">
        <v>74</v>
      </c>
      <c r="S944" t="s">
        <v>74</v>
      </c>
      <c r="T944" t="s">
        <v>17794</v>
      </c>
      <c r="U944" t="s">
        <v>17795</v>
      </c>
      <c r="V944" t="s">
        <v>17796</v>
      </c>
      <c r="W944" t="s">
        <v>17797</v>
      </c>
      <c r="X944" t="s">
        <v>3145</v>
      </c>
      <c r="Y944" t="s">
        <v>17798</v>
      </c>
      <c r="Z944" t="s">
        <v>17799</v>
      </c>
      <c r="AA944" t="s">
        <v>17800</v>
      </c>
      <c r="AB944" t="s">
        <v>17801</v>
      </c>
      <c r="AC944" t="s">
        <v>17802</v>
      </c>
      <c r="AD944" t="s">
        <v>17803</v>
      </c>
      <c r="AE944" t="s">
        <v>17804</v>
      </c>
      <c r="AF944" t="s">
        <v>74</v>
      </c>
      <c r="AG944">
        <v>76</v>
      </c>
      <c r="AH944">
        <v>21</v>
      </c>
      <c r="AI944">
        <v>21</v>
      </c>
      <c r="AJ944">
        <v>1</v>
      </c>
      <c r="AK944">
        <v>30</v>
      </c>
      <c r="AL944" t="s">
        <v>644</v>
      </c>
      <c r="AM944" t="s">
        <v>740</v>
      </c>
      <c r="AN944" t="s">
        <v>741</v>
      </c>
      <c r="AO944" t="s">
        <v>17805</v>
      </c>
      <c r="AP944" t="s">
        <v>17806</v>
      </c>
      <c r="AQ944" t="s">
        <v>74</v>
      </c>
      <c r="AR944" t="s">
        <v>17807</v>
      </c>
      <c r="AS944" t="s">
        <v>17808</v>
      </c>
      <c r="AT944" t="s">
        <v>16960</v>
      </c>
      <c r="AU944">
        <v>2016</v>
      </c>
      <c r="AV944">
        <v>37</v>
      </c>
      <c r="AW944">
        <v>2</v>
      </c>
      <c r="AX944" t="s">
        <v>74</v>
      </c>
      <c r="AY944" t="s">
        <v>74</v>
      </c>
      <c r="AZ944" t="s">
        <v>74</v>
      </c>
      <c r="BA944" t="s">
        <v>74</v>
      </c>
      <c r="BB944">
        <v>127</v>
      </c>
      <c r="BC944">
        <v>141</v>
      </c>
      <c r="BD944" t="s">
        <v>74</v>
      </c>
      <c r="BE944" t="s">
        <v>17809</v>
      </c>
      <c r="BF944" t="str">
        <f>HYPERLINK("http://dx.doi.org/10.1007/s11001-015-9256-x","http://dx.doi.org/10.1007/s11001-015-9256-x")</f>
        <v>http://dx.doi.org/10.1007/s11001-015-9256-x</v>
      </c>
      <c r="BG944" t="s">
        <v>74</v>
      </c>
      <c r="BH944" t="s">
        <v>74</v>
      </c>
      <c r="BI944">
        <v>15</v>
      </c>
      <c r="BJ944" t="s">
        <v>17810</v>
      </c>
      <c r="BK944" t="s">
        <v>156</v>
      </c>
      <c r="BL944" t="s">
        <v>17810</v>
      </c>
      <c r="BM944" t="s">
        <v>17811</v>
      </c>
      <c r="BN944" t="s">
        <v>74</v>
      </c>
      <c r="BO944" t="s">
        <v>1002</v>
      </c>
      <c r="BP944" t="s">
        <v>74</v>
      </c>
      <c r="BQ944" t="s">
        <v>74</v>
      </c>
      <c r="BR944" t="s">
        <v>105</v>
      </c>
      <c r="BS944" t="s">
        <v>17812</v>
      </c>
      <c r="BT944" t="str">
        <f>HYPERLINK("https%3A%2F%2Fwww.webofscience.com%2Fwos%2Fwoscc%2Ffull-record%2FWOS:000377921100004","View Full Record in Web of Science")</f>
        <v>View Full Record in Web of Science</v>
      </c>
    </row>
    <row r="945" spans="1:72" x14ac:dyDescent="0.15">
      <c r="A945" t="s">
        <v>72</v>
      </c>
      <c r="B945" t="s">
        <v>17813</v>
      </c>
      <c r="C945" t="s">
        <v>74</v>
      </c>
      <c r="D945" t="s">
        <v>74</v>
      </c>
      <c r="E945" t="s">
        <v>74</v>
      </c>
      <c r="F945" t="s">
        <v>17814</v>
      </c>
      <c r="G945" t="s">
        <v>74</v>
      </c>
      <c r="H945" t="s">
        <v>74</v>
      </c>
      <c r="I945" t="s">
        <v>17815</v>
      </c>
      <c r="J945" t="s">
        <v>17793</v>
      </c>
      <c r="K945" t="s">
        <v>74</v>
      </c>
      <c r="L945" t="s">
        <v>74</v>
      </c>
      <c r="M945" t="s">
        <v>78</v>
      </c>
      <c r="N945" t="s">
        <v>79</v>
      </c>
      <c r="O945" t="s">
        <v>74</v>
      </c>
      <c r="P945" t="s">
        <v>74</v>
      </c>
      <c r="Q945" t="s">
        <v>74</v>
      </c>
      <c r="R945" t="s">
        <v>74</v>
      </c>
      <c r="S945" t="s">
        <v>74</v>
      </c>
      <c r="T945" t="s">
        <v>17816</v>
      </c>
      <c r="U945" t="s">
        <v>17817</v>
      </c>
      <c r="V945" t="s">
        <v>17818</v>
      </c>
      <c r="W945" t="s">
        <v>17819</v>
      </c>
      <c r="X945" t="s">
        <v>3145</v>
      </c>
      <c r="Y945" t="s">
        <v>17820</v>
      </c>
      <c r="Z945" t="s">
        <v>17821</v>
      </c>
      <c r="AA945" t="s">
        <v>3588</v>
      </c>
      <c r="AB945" t="s">
        <v>17822</v>
      </c>
      <c r="AC945" t="s">
        <v>17823</v>
      </c>
      <c r="AD945" t="s">
        <v>17824</v>
      </c>
      <c r="AE945" t="s">
        <v>17825</v>
      </c>
      <c r="AF945" t="s">
        <v>74</v>
      </c>
      <c r="AG945">
        <v>44</v>
      </c>
      <c r="AH945">
        <v>2</v>
      </c>
      <c r="AI945">
        <v>2</v>
      </c>
      <c r="AJ945">
        <v>1</v>
      </c>
      <c r="AK945">
        <v>14</v>
      </c>
      <c r="AL945" t="s">
        <v>644</v>
      </c>
      <c r="AM945" t="s">
        <v>740</v>
      </c>
      <c r="AN945" t="s">
        <v>741</v>
      </c>
      <c r="AO945" t="s">
        <v>17805</v>
      </c>
      <c r="AP945" t="s">
        <v>17806</v>
      </c>
      <c r="AQ945" t="s">
        <v>74</v>
      </c>
      <c r="AR945" t="s">
        <v>17807</v>
      </c>
      <c r="AS945" t="s">
        <v>17808</v>
      </c>
      <c r="AT945" t="s">
        <v>16960</v>
      </c>
      <c r="AU945">
        <v>2016</v>
      </c>
      <c r="AV945">
        <v>37</v>
      </c>
      <c r="AW945">
        <v>2</v>
      </c>
      <c r="AX945" t="s">
        <v>74</v>
      </c>
      <c r="AY945" t="s">
        <v>74</v>
      </c>
      <c r="AZ945" t="s">
        <v>74</v>
      </c>
      <c r="BA945" t="s">
        <v>74</v>
      </c>
      <c r="BB945">
        <v>145</v>
      </c>
      <c r="BC945">
        <v>158</v>
      </c>
      <c r="BD945" t="s">
        <v>74</v>
      </c>
      <c r="BE945" t="s">
        <v>17826</v>
      </c>
      <c r="BF945" t="str">
        <f>HYPERLINK("http://dx.doi.org/10.1007/s11001-016-9268-1","http://dx.doi.org/10.1007/s11001-016-9268-1")</f>
        <v>http://dx.doi.org/10.1007/s11001-016-9268-1</v>
      </c>
      <c r="BG945" t="s">
        <v>74</v>
      </c>
      <c r="BH945" t="s">
        <v>74</v>
      </c>
      <c r="BI945">
        <v>14</v>
      </c>
      <c r="BJ945" t="s">
        <v>17810</v>
      </c>
      <c r="BK945" t="s">
        <v>156</v>
      </c>
      <c r="BL945" t="s">
        <v>17810</v>
      </c>
      <c r="BM945" t="s">
        <v>17811</v>
      </c>
      <c r="BN945" t="s">
        <v>74</v>
      </c>
      <c r="BO945" t="s">
        <v>805</v>
      </c>
      <c r="BP945" t="s">
        <v>74</v>
      </c>
      <c r="BQ945" t="s">
        <v>74</v>
      </c>
      <c r="BR945" t="s">
        <v>105</v>
      </c>
      <c r="BS945" t="s">
        <v>17827</v>
      </c>
      <c r="BT945" t="str">
        <f>HYPERLINK("https%3A%2F%2Fwww.webofscience.com%2Fwos%2Fwoscc%2Ffull-record%2FWOS:000377921100006","View Full Record in Web of Science")</f>
        <v>View Full Record in Web of Science</v>
      </c>
    </row>
    <row r="946" spans="1:72" x14ac:dyDescent="0.15">
      <c r="A946" t="s">
        <v>72</v>
      </c>
      <c r="B946" t="s">
        <v>17828</v>
      </c>
      <c r="C946" t="s">
        <v>74</v>
      </c>
      <c r="D946" t="s">
        <v>74</v>
      </c>
      <c r="E946" t="s">
        <v>74</v>
      </c>
      <c r="F946" t="s">
        <v>17829</v>
      </c>
      <c r="G946" t="s">
        <v>74</v>
      </c>
      <c r="H946" t="s">
        <v>74</v>
      </c>
      <c r="I946" t="s">
        <v>17830</v>
      </c>
      <c r="J946" t="s">
        <v>6747</v>
      </c>
      <c r="K946" t="s">
        <v>74</v>
      </c>
      <c r="L946" t="s">
        <v>74</v>
      </c>
      <c r="M946" t="s">
        <v>78</v>
      </c>
      <c r="N946" t="s">
        <v>79</v>
      </c>
      <c r="O946" t="s">
        <v>74</v>
      </c>
      <c r="P946" t="s">
        <v>74</v>
      </c>
      <c r="Q946" t="s">
        <v>74</v>
      </c>
      <c r="R946" t="s">
        <v>74</v>
      </c>
      <c r="S946" t="s">
        <v>74</v>
      </c>
      <c r="T946" t="s">
        <v>17831</v>
      </c>
      <c r="U946" t="s">
        <v>17832</v>
      </c>
      <c r="V946" t="s">
        <v>17833</v>
      </c>
      <c r="W946" t="s">
        <v>17834</v>
      </c>
      <c r="X946" t="s">
        <v>17835</v>
      </c>
      <c r="Y946" t="s">
        <v>17836</v>
      </c>
      <c r="Z946" t="s">
        <v>5559</v>
      </c>
      <c r="AA946" t="s">
        <v>17837</v>
      </c>
      <c r="AB946" t="s">
        <v>74</v>
      </c>
      <c r="AC946" t="s">
        <v>17838</v>
      </c>
      <c r="AD946" t="s">
        <v>5562</v>
      </c>
      <c r="AE946" t="s">
        <v>17839</v>
      </c>
      <c r="AF946" t="s">
        <v>74</v>
      </c>
      <c r="AG946">
        <v>54</v>
      </c>
      <c r="AH946">
        <v>3</v>
      </c>
      <c r="AI946">
        <v>6</v>
      </c>
      <c r="AJ946">
        <v>2</v>
      </c>
      <c r="AK946">
        <v>16</v>
      </c>
      <c r="AL946" t="s">
        <v>644</v>
      </c>
      <c r="AM946" t="s">
        <v>594</v>
      </c>
      <c r="AN946" t="s">
        <v>645</v>
      </c>
      <c r="AO946" t="s">
        <v>6758</v>
      </c>
      <c r="AP946" t="s">
        <v>6759</v>
      </c>
      <c r="AQ946" t="s">
        <v>74</v>
      </c>
      <c r="AR946" t="s">
        <v>6760</v>
      </c>
      <c r="AS946" t="s">
        <v>6761</v>
      </c>
      <c r="AT946" t="s">
        <v>16960</v>
      </c>
      <c r="AU946">
        <v>2016</v>
      </c>
      <c r="AV946">
        <v>35</v>
      </c>
      <c r="AW946">
        <v>6</v>
      </c>
      <c r="AX946" t="s">
        <v>74</v>
      </c>
      <c r="AY946" t="s">
        <v>74</v>
      </c>
      <c r="AZ946" t="s">
        <v>74</v>
      </c>
      <c r="BA946" t="s">
        <v>74</v>
      </c>
      <c r="BB946">
        <v>68</v>
      </c>
      <c r="BC946">
        <v>77</v>
      </c>
      <c r="BD946" t="s">
        <v>74</v>
      </c>
      <c r="BE946" t="s">
        <v>17840</v>
      </c>
      <c r="BF946" t="str">
        <f>HYPERLINK("http://dx.doi.org/10.1007/s13131-016-0877-y","http://dx.doi.org/10.1007/s13131-016-0877-y")</f>
        <v>http://dx.doi.org/10.1007/s13131-016-0877-y</v>
      </c>
      <c r="BG946" t="s">
        <v>74</v>
      </c>
      <c r="BH946" t="s">
        <v>74</v>
      </c>
      <c r="BI946">
        <v>10</v>
      </c>
      <c r="BJ946" t="s">
        <v>405</v>
      </c>
      <c r="BK946" t="s">
        <v>156</v>
      </c>
      <c r="BL946" t="s">
        <v>405</v>
      </c>
      <c r="BM946" t="s">
        <v>17841</v>
      </c>
      <c r="BN946" t="s">
        <v>74</v>
      </c>
      <c r="BO946" t="s">
        <v>74</v>
      </c>
      <c r="BP946" t="s">
        <v>74</v>
      </c>
      <c r="BQ946" t="s">
        <v>74</v>
      </c>
      <c r="BR946" t="s">
        <v>105</v>
      </c>
      <c r="BS946" t="s">
        <v>17842</v>
      </c>
      <c r="BT946" t="str">
        <f>HYPERLINK("https%3A%2F%2Fwww.webofscience.com%2Fwos%2Fwoscc%2Ffull-record%2FWOS:000377347900010","View Full Record in Web of Science")</f>
        <v>View Full Record in Web of Science</v>
      </c>
    </row>
    <row r="947" spans="1:72" x14ac:dyDescent="0.15">
      <c r="A947" t="s">
        <v>72</v>
      </c>
      <c r="B947" t="s">
        <v>17843</v>
      </c>
      <c r="C947" t="s">
        <v>74</v>
      </c>
      <c r="D947" t="s">
        <v>74</v>
      </c>
      <c r="E947" t="s">
        <v>74</v>
      </c>
      <c r="F947" t="s">
        <v>17844</v>
      </c>
      <c r="G947" t="s">
        <v>74</v>
      </c>
      <c r="H947" t="s">
        <v>74</v>
      </c>
      <c r="I947" t="s">
        <v>17845</v>
      </c>
      <c r="J947" t="s">
        <v>3559</v>
      </c>
      <c r="K947" t="s">
        <v>74</v>
      </c>
      <c r="L947" t="s">
        <v>74</v>
      </c>
      <c r="M947" t="s">
        <v>78</v>
      </c>
      <c r="N947" t="s">
        <v>79</v>
      </c>
      <c r="O947" t="s">
        <v>74</v>
      </c>
      <c r="P947" t="s">
        <v>74</v>
      </c>
      <c r="Q947" t="s">
        <v>74</v>
      </c>
      <c r="R947" t="s">
        <v>74</v>
      </c>
      <c r="S947" t="s">
        <v>74</v>
      </c>
      <c r="T947" t="s">
        <v>17846</v>
      </c>
      <c r="U947" t="s">
        <v>17847</v>
      </c>
      <c r="V947" t="s">
        <v>17848</v>
      </c>
      <c r="W947" t="s">
        <v>17849</v>
      </c>
      <c r="X947" t="s">
        <v>17850</v>
      </c>
      <c r="Y947" t="s">
        <v>17851</v>
      </c>
      <c r="Z947" t="s">
        <v>17852</v>
      </c>
      <c r="AA947" t="s">
        <v>17853</v>
      </c>
      <c r="AB947" t="s">
        <v>17854</v>
      </c>
      <c r="AC947" t="s">
        <v>17855</v>
      </c>
      <c r="AD947" t="s">
        <v>17856</v>
      </c>
      <c r="AE947" t="s">
        <v>17857</v>
      </c>
      <c r="AF947" t="s">
        <v>74</v>
      </c>
      <c r="AG947">
        <v>82</v>
      </c>
      <c r="AH947">
        <v>26</v>
      </c>
      <c r="AI947">
        <v>26</v>
      </c>
      <c r="AJ947">
        <v>1</v>
      </c>
      <c r="AK947">
        <v>73</v>
      </c>
      <c r="AL947" t="s">
        <v>2501</v>
      </c>
      <c r="AM947" t="s">
        <v>304</v>
      </c>
      <c r="AN947" t="s">
        <v>2502</v>
      </c>
      <c r="AO947" t="s">
        <v>3572</v>
      </c>
      <c r="AP947" t="s">
        <v>3573</v>
      </c>
      <c r="AQ947" t="s">
        <v>74</v>
      </c>
      <c r="AR947" t="s">
        <v>3574</v>
      </c>
      <c r="AS947" t="s">
        <v>3575</v>
      </c>
      <c r="AT947" t="s">
        <v>16960</v>
      </c>
      <c r="AU947">
        <v>2016</v>
      </c>
      <c r="AV947">
        <v>92</v>
      </c>
      <c r="AW947">
        <v>6</v>
      </c>
      <c r="AX947" t="s">
        <v>74</v>
      </c>
      <c r="AY947" t="s">
        <v>74</v>
      </c>
      <c r="AZ947" t="s">
        <v>74</v>
      </c>
      <c r="BA947" t="s">
        <v>74</v>
      </c>
      <c r="BB947" t="s">
        <v>74</v>
      </c>
      <c r="BC947" t="s">
        <v>74</v>
      </c>
      <c r="BD947" t="s">
        <v>17858</v>
      </c>
      <c r="BE947" t="s">
        <v>17859</v>
      </c>
      <c r="BF947" t="str">
        <f>HYPERLINK("http://dx.doi.org/10.1093/femsec/fiw041","http://dx.doi.org/10.1093/femsec/fiw041")</f>
        <v>http://dx.doi.org/10.1093/femsec/fiw041</v>
      </c>
      <c r="BG947" t="s">
        <v>74</v>
      </c>
      <c r="BH947" t="s">
        <v>74</v>
      </c>
      <c r="BI947">
        <v>13</v>
      </c>
      <c r="BJ947" t="s">
        <v>130</v>
      </c>
      <c r="BK947" t="s">
        <v>156</v>
      </c>
      <c r="BL947" t="s">
        <v>130</v>
      </c>
      <c r="BM947" t="s">
        <v>17860</v>
      </c>
      <c r="BN947">
        <v>26936447</v>
      </c>
      <c r="BO947" t="s">
        <v>2462</v>
      </c>
      <c r="BP947" t="s">
        <v>74</v>
      </c>
      <c r="BQ947" t="s">
        <v>74</v>
      </c>
      <c r="BR947" t="s">
        <v>105</v>
      </c>
      <c r="BS947" t="s">
        <v>17861</v>
      </c>
      <c r="BT947" t="str">
        <f>HYPERLINK("https%3A%2F%2Fwww.webofscience.com%2Fwos%2Fwoscc%2Ffull-record%2FWOS:000377473600001","View Full Record in Web of Science")</f>
        <v>View Full Record in Web of Science</v>
      </c>
    </row>
    <row r="948" spans="1:72" x14ac:dyDescent="0.15">
      <c r="A948" t="s">
        <v>72</v>
      </c>
      <c r="B948" t="s">
        <v>17862</v>
      </c>
      <c r="C948" t="s">
        <v>74</v>
      </c>
      <c r="D948" t="s">
        <v>74</v>
      </c>
      <c r="E948" t="s">
        <v>74</v>
      </c>
      <c r="F948" t="s">
        <v>17863</v>
      </c>
      <c r="G948" t="s">
        <v>74</v>
      </c>
      <c r="H948" t="s">
        <v>74</v>
      </c>
      <c r="I948" t="s">
        <v>17864</v>
      </c>
      <c r="J948" t="s">
        <v>17865</v>
      </c>
      <c r="K948" t="s">
        <v>74</v>
      </c>
      <c r="L948" t="s">
        <v>74</v>
      </c>
      <c r="M948" t="s">
        <v>78</v>
      </c>
      <c r="N948" t="s">
        <v>79</v>
      </c>
      <c r="O948" t="s">
        <v>74</v>
      </c>
      <c r="P948" t="s">
        <v>74</v>
      </c>
      <c r="Q948" t="s">
        <v>74</v>
      </c>
      <c r="R948" t="s">
        <v>74</v>
      </c>
      <c r="S948" t="s">
        <v>74</v>
      </c>
      <c r="T948" t="s">
        <v>17866</v>
      </c>
      <c r="U948" t="s">
        <v>17867</v>
      </c>
      <c r="V948" t="s">
        <v>17868</v>
      </c>
      <c r="W948" t="s">
        <v>17869</v>
      </c>
      <c r="X948" t="s">
        <v>17870</v>
      </c>
      <c r="Y948" t="s">
        <v>17871</v>
      </c>
      <c r="Z948" t="s">
        <v>17872</v>
      </c>
      <c r="AA948" t="s">
        <v>17873</v>
      </c>
      <c r="AB948" t="s">
        <v>17874</v>
      </c>
      <c r="AC948" t="s">
        <v>17875</v>
      </c>
      <c r="AD948" t="s">
        <v>17876</v>
      </c>
      <c r="AE948" t="s">
        <v>74</v>
      </c>
      <c r="AF948" t="s">
        <v>74</v>
      </c>
      <c r="AG948">
        <v>23</v>
      </c>
      <c r="AH948">
        <v>14</v>
      </c>
      <c r="AI948">
        <v>15</v>
      </c>
      <c r="AJ948">
        <v>0</v>
      </c>
      <c r="AK948">
        <v>10</v>
      </c>
      <c r="AL948" t="s">
        <v>2769</v>
      </c>
      <c r="AM948" t="s">
        <v>2770</v>
      </c>
      <c r="AN948" t="s">
        <v>2771</v>
      </c>
      <c r="AO948" t="s">
        <v>17877</v>
      </c>
      <c r="AP948" t="s">
        <v>17878</v>
      </c>
      <c r="AQ948" t="s">
        <v>74</v>
      </c>
      <c r="AR948" t="s">
        <v>17879</v>
      </c>
      <c r="AS948" t="s">
        <v>17880</v>
      </c>
      <c r="AT948" t="s">
        <v>16960</v>
      </c>
      <c r="AU948">
        <v>2016</v>
      </c>
      <c r="AV948">
        <v>54</v>
      </c>
      <c r="AW948">
        <v>6</v>
      </c>
      <c r="AX948" t="s">
        <v>74</v>
      </c>
      <c r="AY948" t="s">
        <v>74</v>
      </c>
      <c r="AZ948" t="s">
        <v>74</v>
      </c>
      <c r="BA948" t="s">
        <v>74</v>
      </c>
      <c r="BB948">
        <v>3221</v>
      </c>
      <c r="BC948">
        <v>3234</v>
      </c>
      <c r="BD948" t="s">
        <v>74</v>
      </c>
      <c r="BE948" t="s">
        <v>17881</v>
      </c>
      <c r="BF948" t="str">
        <f>HYPERLINK("http://dx.doi.org/10.1109/TGRS.2015.2514061","http://dx.doi.org/10.1109/TGRS.2015.2514061")</f>
        <v>http://dx.doi.org/10.1109/TGRS.2015.2514061</v>
      </c>
      <c r="BG948" t="s">
        <v>74</v>
      </c>
      <c r="BH948" t="s">
        <v>74</v>
      </c>
      <c r="BI948">
        <v>14</v>
      </c>
      <c r="BJ948" t="s">
        <v>2777</v>
      </c>
      <c r="BK948" t="s">
        <v>156</v>
      </c>
      <c r="BL948" t="s">
        <v>2778</v>
      </c>
      <c r="BM948" t="s">
        <v>17882</v>
      </c>
      <c r="BN948">
        <v>32818005</v>
      </c>
      <c r="BO948" t="s">
        <v>459</v>
      </c>
      <c r="BP948" t="s">
        <v>74</v>
      </c>
      <c r="BQ948" t="s">
        <v>74</v>
      </c>
      <c r="BR948" t="s">
        <v>105</v>
      </c>
      <c r="BS948" t="s">
        <v>17883</v>
      </c>
      <c r="BT948" t="str">
        <f>HYPERLINK("https%3A%2F%2Fwww.webofscience.com%2Fwos%2Fwoscc%2Ffull-record%2FWOS:000377477100011","View Full Record in Web of Science")</f>
        <v>View Full Record in Web of Science</v>
      </c>
    </row>
    <row r="949" spans="1:72" x14ac:dyDescent="0.15">
      <c r="A949" t="s">
        <v>72</v>
      </c>
      <c r="B949" t="s">
        <v>17884</v>
      </c>
      <c r="C949" t="s">
        <v>74</v>
      </c>
      <c r="D949" t="s">
        <v>74</v>
      </c>
      <c r="E949" t="s">
        <v>74</v>
      </c>
      <c r="F949" t="s">
        <v>17885</v>
      </c>
      <c r="G949" t="s">
        <v>74</v>
      </c>
      <c r="H949" t="s">
        <v>74</v>
      </c>
      <c r="I949" t="s">
        <v>17886</v>
      </c>
      <c r="J949" t="s">
        <v>17887</v>
      </c>
      <c r="K949" t="s">
        <v>74</v>
      </c>
      <c r="L949" t="s">
        <v>74</v>
      </c>
      <c r="M949" t="s">
        <v>78</v>
      </c>
      <c r="N949" t="s">
        <v>79</v>
      </c>
      <c r="O949" t="s">
        <v>74</v>
      </c>
      <c r="P949" t="s">
        <v>74</v>
      </c>
      <c r="Q949" t="s">
        <v>74</v>
      </c>
      <c r="R949" t="s">
        <v>74</v>
      </c>
      <c r="S949" t="s">
        <v>74</v>
      </c>
      <c r="T949" t="s">
        <v>17888</v>
      </c>
      <c r="U949" t="s">
        <v>17889</v>
      </c>
      <c r="V949" t="s">
        <v>17890</v>
      </c>
      <c r="W949" t="s">
        <v>17891</v>
      </c>
      <c r="X949" t="s">
        <v>17892</v>
      </c>
      <c r="Y949" t="s">
        <v>17893</v>
      </c>
      <c r="Z949" t="s">
        <v>17894</v>
      </c>
      <c r="AA949" t="s">
        <v>17895</v>
      </c>
      <c r="AB949" t="s">
        <v>17896</v>
      </c>
      <c r="AC949" t="s">
        <v>74</v>
      </c>
      <c r="AD949" t="s">
        <v>74</v>
      </c>
      <c r="AE949" t="s">
        <v>74</v>
      </c>
      <c r="AF949" t="s">
        <v>74</v>
      </c>
      <c r="AG949">
        <v>55</v>
      </c>
      <c r="AH949">
        <v>2</v>
      </c>
      <c r="AI949">
        <v>2</v>
      </c>
      <c r="AJ949">
        <v>1</v>
      </c>
      <c r="AK949">
        <v>18</v>
      </c>
      <c r="AL949" t="s">
        <v>860</v>
      </c>
      <c r="AM949" t="s">
        <v>861</v>
      </c>
      <c r="AN949" t="s">
        <v>862</v>
      </c>
      <c r="AO949" t="s">
        <v>17897</v>
      </c>
      <c r="AP949" t="s">
        <v>17898</v>
      </c>
      <c r="AQ949" t="s">
        <v>74</v>
      </c>
      <c r="AR949" t="s">
        <v>17899</v>
      </c>
      <c r="AS949" t="s">
        <v>17900</v>
      </c>
      <c r="AT949" t="s">
        <v>16960</v>
      </c>
      <c r="AU949">
        <v>2016</v>
      </c>
      <c r="AV949">
        <v>60</v>
      </c>
      <c r="AW949">
        <v>2</v>
      </c>
      <c r="AX949" t="s">
        <v>74</v>
      </c>
      <c r="AY949" t="s">
        <v>74</v>
      </c>
      <c r="AZ949" t="s">
        <v>74</v>
      </c>
      <c r="BA949" t="s">
        <v>74</v>
      </c>
      <c r="BB949">
        <v>95</v>
      </c>
      <c r="BC949">
        <v>102</v>
      </c>
      <c r="BD949" t="s">
        <v>74</v>
      </c>
      <c r="BE949" t="s">
        <v>17901</v>
      </c>
      <c r="BF949" t="str">
        <f>HYPERLINK("http://dx.doi.org/10.1080/07924259.2016.1160000","http://dx.doi.org/10.1080/07924259.2016.1160000")</f>
        <v>http://dx.doi.org/10.1080/07924259.2016.1160000</v>
      </c>
      <c r="BG949" t="s">
        <v>74</v>
      </c>
      <c r="BH949" t="s">
        <v>74</v>
      </c>
      <c r="BI949">
        <v>8</v>
      </c>
      <c r="BJ949" t="s">
        <v>17902</v>
      </c>
      <c r="BK949" t="s">
        <v>156</v>
      </c>
      <c r="BL949" t="s">
        <v>17902</v>
      </c>
      <c r="BM949" t="s">
        <v>17903</v>
      </c>
      <c r="BN949" t="s">
        <v>74</v>
      </c>
      <c r="BO949" t="s">
        <v>74</v>
      </c>
      <c r="BP949" t="s">
        <v>74</v>
      </c>
      <c r="BQ949" t="s">
        <v>74</v>
      </c>
      <c r="BR949" t="s">
        <v>105</v>
      </c>
      <c r="BS949" t="s">
        <v>17904</v>
      </c>
      <c r="BT949" t="str">
        <f>HYPERLINK("https%3A%2F%2Fwww.webofscience.com%2Fwos%2Fwoscc%2Ffull-record%2FWOS:000377424500002","View Full Record in Web of Science")</f>
        <v>View Full Record in Web of Science</v>
      </c>
    </row>
    <row r="950" spans="1:72" x14ac:dyDescent="0.15">
      <c r="A950" t="s">
        <v>72</v>
      </c>
      <c r="B950" t="s">
        <v>17905</v>
      </c>
      <c r="C950" t="s">
        <v>74</v>
      </c>
      <c r="D950" t="s">
        <v>74</v>
      </c>
      <c r="E950" t="s">
        <v>74</v>
      </c>
      <c r="F950" t="s">
        <v>17906</v>
      </c>
      <c r="G950" t="s">
        <v>74</v>
      </c>
      <c r="H950" t="s">
        <v>74</v>
      </c>
      <c r="I950" t="s">
        <v>17907</v>
      </c>
      <c r="J950" t="s">
        <v>17908</v>
      </c>
      <c r="K950" t="s">
        <v>74</v>
      </c>
      <c r="L950" t="s">
        <v>74</v>
      </c>
      <c r="M950" t="s">
        <v>78</v>
      </c>
      <c r="N950" t="s">
        <v>79</v>
      </c>
      <c r="O950" t="s">
        <v>74</v>
      </c>
      <c r="P950" t="s">
        <v>74</v>
      </c>
      <c r="Q950" t="s">
        <v>74</v>
      </c>
      <c r="R950" t="s">
        <v>74</v>
      </c>
      <c r="S950" t="s">
        <v>74</v>
      </c>
      <c r="T950" t="s">
        <v>17909</v>
      </c>
      <c r="U950" t="s">
        <v>17910</v>
      </c>
      <c r="V950" t="s">
        <v>17911</v>
      </c>
      <c r="W950" t="s">
        <v>17912</v>
      </c>
      <c r="X950" t="s">
        <v>8926</v>
      </c>
      <c r="Y950" t="s">
        <v>17913</v>
      </c>
      <c r="Z950" t="s">
        <v>8928</v>
      </c>
      <c r="AA950" t="s">
        <v>74</v>
      </c>
      <c r="AB950" t="s">
        <v>17914</v>
      </c>
      <c r="AC950" t="s">
        <v>17915</v>
      </c>
      <c r="AD950" t="s">
        <v>17916</v>
      </c>
      <c r="AE950" t="s">
        <v>17917</v>
      </c>
      <c r="AF950" t="s">
        <v>74</v>
      </c>
      <c r="AG950">
        <v>54</v>
      </c>
      <c r="AH950">
        <v>3</v>
      </c>
      <c r="AI950">
        <v>4</v>
      </c>
      <c r="AJ950">
        <v>0</v>
      </c>
      <c r="AK950">
        <v>17</v>
      </c>
      <c r="AL950" t="s">
        <v>644</v>
      </c>
      <c r="AM950" t="s">
        <v>594</v>
      </c>
      <c r="AN950" t="s">
        <v>3025</v>
      </c>
      <c r="AO950" t="s">
        <v>17918</v>
      </c>
      <c r="AP950" t="s">
        <v>17919</v>
      </c>
      <c r="AQ950" t="s">
        <v>74</v>
      </c>
      <c r="AR950" t="s">
        <v>17920</v>
      </c>
      <c r="AS950" t="s">
        <v>17921</v>
      </c>
      <c r="AT950" t="s">
        <v>16960</v>
      </c>
      <c r="AU950">
        <v>2016</v>
      </c>
      <c r="AV950">
        <v>20</v>
      </c>
      <c r="AW950">
        <v>3</v>
      </c>
      <c r="AX950" t="s">
        <v>74</v>
      </c>
      <c r="AY950" t="s">
        <v>74</v>
      </c>
      <c r="AZ950" t="s">
        <v>74</v>
      </c>
      <c r="BA950" t="s">
        <v>74</v>
      </c>
      <c r="BB950">
        <v>211</v>
      </c>
      <c r="BC950">
        <v>220</v>
      </c>
      <c r="BD950" t="s">
        <v>74</v>
      </c>
      <c r="BE950" t="s">
        <v>17922</v>
      </c>
      <c r="BF950" t="str">
        <f>HYPERLINK("http://dx.doi.org/10.1007/s11852-016-0431-2","http://dx.doi.org/10.1007/s11852-016-0431-2")</f>
        <v>http://dx.doi.org/10.1007/s11852-016-0431-2</v>
      </c>
      <c r="BG950" t="s">
        <v>74</v>
      </c>
      <c r="BH950" t="s">
        <v>74</v>
      </c>
      <c r="BI950">
        <v>10</v>
      </c>
      <c r="BJ950" t="s">
        <v>17923</v>
      </c>
      <c r="BK950" t="s">
        <v>156</v>
      </c>
      <c r="BL950" t="s">
        <v>17924</v>
      </c>
      <c r="BM950" t="s">
        <v>17925</v>
      </c>
      <c r="BN950" t="s">
        <v>74</v>
      </c>
      <c r="BO950" t="s">
        <v>74</v>
      </c>
      <c r="BP950" t="s">
        <v>74</v>
      </c>
      <c r="BQ950" t="s">
        <v>74</v>
      </c>
      <c r="BR950" t="s">
        <v>105</v>
      </c>
      <c r="BS950" t="s">
        <v>17926</v>
      </c>
      <c r="BT950" t="str">
        <f>HYPERLINK("https%3A%2F%2Fwww.webofscience.com%2Fwos%2Fwoscc%2Ffull-record%2FWOS:000377432000003","View Full Record in Web of Science")</f>
        <v>View Full Record in Web of Science</v>
      </c>
    </row>
    <row r="951" spans="1:72" x14ac:dyDescent="0.15">
      <c r="A951" t="s">
        <v>72</v>
      </c>
      <c r="B951" t="s">
        <v>17927</v>
      </c>
      <c r="C951" t="s">
        <v>74</v>
      </c>
      <c r="D951" t="s">
        <v>74</v>
      </c>
      <c r="E951" t="s">
        <v>74</v>
      </c>
      <c r="F951" t="s">
        <v>17928</v>
      </c>
      <c r="G951" t="s">
        <v>74</v>
      </c>
      <c r="H951" t="s">
        <v>74</v>
      </c>
      <c r="I951" t="s">
        <v>17929</v>
      </c>
      <c r="J951" t="s">
        <v>17930</v>
      </c>
      <c r="K951" t="s">
        <v>74</v>
      </c>
      <c r="L951" t="s">
        <v>74</v>
      </c>
      <c r="M951" t="s">
        <v>78</v>
      </c>
      <c r="N951" t="s">
        <v>79</v>
      </c>
      <c r="O951" t="s">
        <v>74</v>
      </c>
      <c r="P951" t="s">
        <v>74</v>
      </c>
      <c r="Q951" t="s">
        <v>74</v>
      </c>
      <c r="R951" t="s">
        <v>74</v>
      </c>
      <c r="S951" t="s">
        <v>74</v>
      </c>
      <c r="T951" t="s">
        <v>17931</v>
      </c>
      <c r="U951" t="s">
        <v>74</v>
      </c>
      <c r="V951" t="s">
        <v>17932</v>
      </c>
      <c r="W951" t="s">
        <v>17933</v>
      </c>
      <c r="X951" t="s">
        <v>17934</v>
      </c>
      <c r="Y951" t="s">
        <v>17935</v>
      </c>
      <c r="Z951" t="s">
        <v>17936</v>
      </c>
      <c r="AA951" t="s">
        <v>74</v>
      </c>
      <c r="AB951" t="s">
        <v>17937</v>
      </c>
      <c r="AC951" t="s">
        <v>74</v>
      </c>
      <c r="AD951" t="s">
        <v>74</v>
      </c>
      <c r="AE951" t="s">
        <v>74</v>
      </c>
      <c r="AF951" t="s">
        <v>74</v>
      </c>
      <c r="AG951">
        <v>36</v>
      </c>
      <c r="AH951">
        <v>7</v>
      </c>
      <c r="AI951">
        <v>7</v>
      </c>
      <c r="AJ951">
        <v>0</v>
      </c>
      <c r="AK951">
        <v>4</v>
      </c>
      <c r="AL951" t="s">
        <v>2670</v>
      </c>
      <c r="AM951" t="s">
        <v>2026</v>
      </c>
      <c r="AN951" t="s">
        <v>2671</v>
      </c>
      <c r="AO951" t="s">
        <v>17938</v>
      </c>
      <c r="AP951" t="s">
        <v>17939</v>
      </c>
      <c r="AQ951" t="s">
        <v>74</v>
      </c>
      <c r="AR951" t="s">
        <v>17940</v>
      </c>
      <c r="AS951" t="s">
        <v>17941</v>
      </c>
      <c r="AT951" t="s">
        <v>16960</v>
      </c>
      <c r="AU951">
        <v>2016</v>
      </c>
      <c r="AV951">
        <v>29</v>
      </c>
      <c r="AW951">
        <v>2</v>
      </c>
      <c r="AX951" t="s">
        <v>74</v>
      </c>
      <c r="AY951" t="s">
        <v>74</v>
      </c>
      <c r="AZ951" t="s">
        <v>74</v>
      </c>
      <c r="BA951" t="s">
        <v>74</v>
      </c>
      <c r="BB951">
        <v>529</v>
      </c>
      <c r="BC951">
        <v>550</v>
      </c>
      <c r="BD951" t="s">
        <v>74</v>
      </c>
      <c r="BE951" t="s">
        <v>17942</v>
      </c>
      <c r="BF951" t="str">
        <f>HYPERLINK("http://dx.doi.org/10.1017/S0922156516000133","http://dx.doi.org/10.1017/S0922156516000133")</f>
        <v>http://dx.doi.org/10.1017/S0922156516000133</v>
      </c>
      <c r="BG951" t="s">
        <v>74</v>
      </c>
      <c r="BH951" t="s">
        <v>74</v>
      </c>
      <c r="BI951">
        <v>22</v>
      </c>
      <c r="BJ951" t="s">
        <v>17212</v>
      </c>
      <c r="BK951" t="s">
        <v>482</v>
      </c>
      <c r="BL951" t="s">
        <v>17213</v>
      </c>
      <c r="BM951" t="s">
        <v>17943</v>
      </c>
      <c r="BN951" t="s">
        <v>74</v>
      </c>
      <c r="BO951" t="s">
        <v>1002</v>
      </c>
      <c r="BP951" t="s">
        <v>74</v>
      </c>
      <c r="BQ951" t="s">
        <v>74</v>
      </c>
      <c r="BR951" t="s">
        <v>105</v>
      </c>
      <c r="BS951" t="s">
        <v>17944</v>
      </c>
      <c r="BT951" t="str">
        <f>HYPERLINK("https%3A%2F%2Fwww.webofscience.com%2Fwos%2Fwoscc%2Ffull-record%2FWOS:000377464700012","View Full Record in Web of Science")</f>
        <v>View Full Record in Web of Science</v>
      </c>
    </row>
    <row r="952" spans="1:72" x14ac:dyDescent="0.15">
      <c r="A952" t="s">
        <v>72</v>
      </c>
      <c r="B952" t="s">
        <v>17945</v>
      </c>
      <c r="C952" t="s">
        <v>74</v>
      </c>
      <c r="D952" t="s">
        <v>74</v>
      </c>
      <c r="E952" t="s">
        <v>74</v>
      </c>
      <c r="F952" t="s">
        <v>17946</v>
      </c>
      <c r="G952" t="s">
        <v>74</v>
      </c>
      <c r="H952" t="s">
        <v>74</v>
      </c>
      <c r="I952" t="s">
        <v>17947</v>
      </c>
      <c r="J952" t="s">
        <v>8675</v>
      </c>
      <c r="K952" t="s">
        <v>74</v>
      </c>
      <c r="L952" t="s">
        <v>74</v>
      </c>
      <c r="M952" t="s">
        <v>78</v>
      </c>
      <c r="N952" t="s">
        <v>79</v>
      </c>
      <c r="O952" t="s">
        <v>74</v>
      </c>
      <c r="P952" t="s">
        <v>74</v>
      </c>
      <c r="Q952" t="s">
        <v>74</v>
      </c>
      <c r="R952" t="s">
        <v>74</v>
      </c>
      <c r="S952" t="s">
        <v>74</v>
      </c>
      <c r="T952" t="s">
        <v>17948</v>
      </c>
      <c r="U952" t="s">
        <v>17949</v>
      </c>
      <c r="V952" t="s">
        <v>17950</v>
      </c>
      <c r="W952" t="s">
        <v>17951</v>
      </c>
      <c r="X952" t="s">
        <v>17952</v>
      </c>
      <c r="Y952" t="s">
        <v>12228</v>
      </c>
      <c r="Z952" t="s">
        <v>17953</v>
      </c>
      <c r="AA952" t="s">
        <v>74</v>
      </c>
      <c r="AB952" t="s">
        <v>74</v>
      </c>
      <c r="AC952" t="s">
        <v>17954</v>
      </c>
      <c r="AD952" t="s">
        <v>17955</v>
      </c>
      <c r="AE952" t="s">
        <v>17956</v>
      </c>
      <c r="AF952" t="s">
        <v>74</v>
      </c>
      <c r="AG952">
        <v>64</v>
      </c>
      <c r="AH952">
        <v>5</v>
      </c>
      <c r="AI952">
        <v>5</v>
      </c>
      <c r="AJ952">
        <v>0</v>
      </c>
      <c r="AK952">
        <v>5</v>
      </c>
      <c r="AL952" t="s">
        <v>474</v>
      </c>
      <c r="AM952" t="s">
        <v>304</v>
      </c>
      <c r="AN952" t="s">
        <v>475</v>
      </c>
      <c r="AO952" t="s">
        <v>8687</v>
      </c>
      <c r="AP952" t="s">
        <v>8688</v>
      </c>
      <c r="AQ952" t="s">
        <v>74</v>
      </c>
      <c r="AR952" t="s">
        <v>8689</v>
      </c>
      <c r="AS952" t="s">
        <v>8690</v>
      </c>
      <c r="AT952" t="s">
        <v>16960</v>
      </c>
      <c r="AU952">
        <v>2016</v>
      </c>
      <c r="AV952">
        <v>102</v>
      </c>
      <c r="AW952" t="s">
        <v>74</v>
      </c>
      <c r="AX952" t="s">
        <v>74</v>
      </c>
      <c r="AY952" t="s">
        <v>74</v>
      </c>
      <c r="AZ952" t="s">
        <v>74</v>
      </c>
      <c r="BA952" t="s">
        <v>74</v>
      </c>
      <c r="BB952">
        <v>82</v>
      </c>
      <c r="BC952">
        <v>98</v>
      </c>
      <c r="BD952" t="s">
        <v>74</v>
      </c>
      <c r="BE952" t="s">
        <v>17957</v>
      </c>
      <c r="BF952" t="str">
        <f>HYPERLINK("http://dx.doi.org/10.1016/j.ocemod.2016.05.003","http://dx.doi.org/10.1016/j.ocemod.2016.05.003")</f>
        <v>http://dx.doi.org/10.1016/j.ocemod.2016.05.003</v>
      </c>
      <c r="BG952" t="s">
        <v>74</v>
      </c>
      <c r="BH952" t="s">
        <v>74</v>
      </c>
      <c r="BI952">
        <v>17</v>
      </c>
      <c r="BJ952" t="s">
        <v>8464</v>
      </c>
      <c r="BK952" t="s">
        <v>156</v>
      </c>
      <c r="BL952" t="s">
        <v>8464</v>
      </c>
      <c r="BM952" t="s">
        <v>17958</v>
      </c>
      <c r="BN952" t="s">
        <v>74</v>
      </c>
      <c r="BO952" t="s">
        <v>74</v>
      </c>
      <c r="BP952" t="s">
        <v>74</v>
      </c>
      <c r="BQ952" t="s">
        <v>74</v>
      </c>
      <c r="BR952" t="s">
        <v>105</v>
      </c>
      <c r="BS952" t="s">
        <v>17959</v>
      </c>
      <c r="BT952" t="str">
        <f>HYPERLINK("https%3A%2F%2Fwww.webofscience.com%2Fwos%2Fwoscc%2Ffull-record%2FWOS:000377391600007","View Full Record in Web of Science")</f>
        <v>View Full Record in Web of Science</v>
      </c>
    </row>
    <row r="953" spans="1:72" x14ac:dyDescent="0.15">
      <c r="A953" t="s">
        <v>72</v>
      </c>
      <c r="B953" t="s">
        <v>17960</v>
      </c>
      <c r="C953" t="s">
        <v>74</v>
      </c>
      <c r="D953" t="s">
        <v>74</v>
      </c>
      <c r="E953" t="s">
        <v>74</v>
      </c>
      <c r="F953" t="s">
        <v>17961</v>
      </c>
      <c r="G953" t="s">
        <v>74</v>
      </c>
      <c r="H953" t="s">
        <v>74</v>
      </c>
      <c r="I953" t="s">
        <v>17962</v>
      </c>
      <c r="J953" t="s">
        <v>17963</v>
      </c>
      <c r="K953" t="s">
        <v>74</v>
      </c>
      <c r="L953" t="s">
        <v>74</v>
      </c>
      <c r="M953" t="s">
        <v>78</v>
      </c>
      <c r="N953" t="s">
        <v>79</v>
      </c>
      <c r="O953" t="s">
        <v>74</v>
      </c>
      <c r="P953" t="s">
        <v>74</v>
      </c>
      <c r="Q953" t="s">
        <v>74</v>
      </c>
      <c r="R953" t="s">
        <v>74</v>
      </c>
      <c r="S953" t="s">
        <v>74</v>
      </c>
      <c r="T953" t="s">
        <v>74</v>
      </c>
      <c r="U953" t="s">
        <v>17964</v>
      </c>
      <c r="V953" t="s">
        <v>17965</v>
      </c>
      <c r="W953" t="s">
        <v>17966</v>
      </c>
      <c r="X953" t="s">
        <v>17967</v>
      </c>
      <c r="Y953" t="s">
        <v>17968</v>
      </c>
      <c r="Z953" t="s">
        <v>17969</v>
      </c>
      <c r="AA953" t="s">
        <v>17970</v>
      </c>
      <c r="AB953" t="s">
        <v>17971</v>
      </c>
      <c r="AC953" t="s">
        <v>17972</v>
      </c>
      <c r="AD953" t="s">
        <v>17973</v>
      </c>
      <c r="AE953" t="s">
        <v>17974</v>
      </c>
      <c r="AF953" t="s">
        <v>74</v>
      </c>
      <c r="AG953">
        <v>93</v>
      </c>
      <c r="AH953">
        <v>25</v>
      </c>
      <c r="AI953">
        <v>25</v>
      </c>
      <c r="AJ953">
        <v>1</v>
      </c>
      <c r="AK953">
        <v>41</v>
      </c>
      <c r="AL953" t="s">
        <v>122</v>
      </c>
      <c r="AM953" t="s">
        <v>123</v>
      </c>
      <c r="AN953" t="s">
        <v>124</v>
      </c>
      <c r="AO953" t="s">
        <v>17975</v>
      </c>
      <c r="AP953" t="s">
        <v>17976</v>
      </c>
      <c r="AQ953" t="s">
        <v>74</v>
      </c>
      <c r="AR953" t="s">
        <v>17977</v>
      </c>
      <c r="AS953" t="s">
        <v>17978</v>
      </c>
      <c r="AT953" t="s">
        <v>16960</v>
      </c>
      <c r="AU953">
        <v>2016</v>
      </c>
      <c r="AV953">
        <v>82</v>
      </c>
      <c r="AW953">
        <v>12</v>
      </c>
      <c r="AX953" t="s">
        <v>74</v>
      </c>
      <c r="AY953" t="s">
        <v>74</v>
      </c>
      <c r="AZ953" t="s">
        <v>74</v>
      </c>
      <c r="BA953" t="s">
        <v>74</v>
      </c>
      <c r="BB953">
        <v>3659</v>
      </c>
      <c r="BC953">
        <v>3670</v>
      </c>
      <c r="BD953" t="s">
        <v>74</v>
      </c>
      <c r="BE953" t="s">
        <v>17979</v>
      </c>
      <c r="BF953" t="str">
        <f>HYPERLINK("http://dx.doi.org/10.1128/AEM.00478-16","http://dx.doi.org/10.1128/AEM.00478-16")</f>
        <v>http://dx.doi.org/10.1128/AEM.00478-16</v>
      </c>
      <c r="BG953" t="s">
        <v>74</v>
      </c>
      <c r="BH953" t="s">
        <v>74</v>
      </c>
      <c r="BI953">
        <v>12</v>
      </c>
      <c r="BJ953" t="s">
        <v>14139</v>
      </c>
      <c r="BK953" t="s">
        <v>156</v>
      </c>
      <c r="BL953" t="s">
        <v>14139</v>
      </c>
      <c r="BM953" t="s">
        <v>17980</v>
      </c>
      <c r="BN953">
        <v>27084010</v>
      </c>
      <c r="BO953" t="s">
        <v>2462</v>
      </c>
      <c r="BP953" t="s">
        <v>74</v>
      </c>
      <c r="BQ953" t="s">
        <v>74</v>
      </c>
      <c r="BR953" t="s">
        <v>105</v>
      </c>
      <c r="BS953" t="s">
        <v>17981</v>
      </c>
      <c r="BT953" t="str">
        <f>HYPERLINK("https%3A%2F%2Fwww.webofscience.com%2Fwos%2Fwoscc%2Ffull-record%2FWOS:000377018400024","View Full Record in Web of Science")</f>
        <v>View Full Record in Web of Science</v>
      </c>
    </row>
    <row r="954" spans="1:72" x14ac:dyDescent="0.15">
      <c r="A954" t="s">
        <v>72</v>
      </c>
      <c r="B954" t="s">
        <v>17982</v>
      </c>
      <c r="C954" t="s">
        <v>74</v>
      </c>
      <c r="D954" t="s">
        <v>74</v>
      </c>
      <c r="E954" t="s">
        <v>74</v>
      </c>
      <c r="F954" t="s">
        <v>17983</v>
      </c>
      <c r="G954" t="s">
        <v>74</v>
      </c>
      <c r="H954" t="s">
        <v>74</v>
      </c>
      <c r="I954" t="s">
        <v>17984</v>
      </c>
      <c r="J954" t="s">
        <v>17985</v>
      </c>
      <c r="K954" t="s">
        <v>74</v>
      </c>
      <c r="L954" t="s">
        <v>74</v>
      </c>
      <c r="M954" t="s">
        <v>78</v>
      </c>
      <c r="N954" t="s">
        <v>79</v>
      </c>
      <c r="O954" t="s">
        <v>74</v>
      </c>
      <c r="P954" t="s">
        <v>74</v>
      </c>
      <c r="Q954" t="s">
        <v>74</v>
      </c>
      <c r="R954" t="s">
        <v>74</v>
      </c>
      <c r="S954" t="s">
        <v>74</v>
      </c>
      <c r="T954" t="s">
        <v>17986</v>
      </c>
      <c r="U954" t="s">
        <v>17987</v>
      </c>
      <c r="V954" t="s">
        <v>17988</v>
      </c>
      <c r="W954" t="s">
        <v>17989</v>
      </c>
      <c r="X954" t="s">
        <v>17990</v>
      </c>
      <c r="Y954" t="s">
        <v>17991</v>
      </c>
      <c r="Z954" t="s">
        <v>74</v>
      </c>
      <c r="AA954" t="s">
        <v>17992</v>
      </c>
      <c r="AB954" t="s">
        <v>17993</v>
      </c>
      <c r="AC954" t="s">
        <v>17994</v>
      </c>
      <c r="AD954" t="s">
        <v>17995</v>
      </c>
      <c r="AE954" t="s">
        <v>17996</v>
      </c>
      <c r="AF954" t="s">
        <v>74</v>
      </c>
      <c r="AG954">
        <v>42</v>
      </c>
      <c r="AH954">
        <v>3</v>
      </c>
      <c r="AI954">
        <v>3</v>
      </c>
      <c r="AJ954">
        <v>0</v>
      </c>
      <c r="AK954">
        <v>8</v>
      </c>
      <c r="AL954" t="s">
        <v>501</v>
      </c>
      <c r="AM954" t="s">
        <v>502</v>
      </c>
      <c r="AN954" t="s">
        <v>503</v>
      </c>
      <c r="AO954" t="s">
        <v>17997</v>
      </c>
      <c r="AP954" t="s">
        <v>17998</v>
      </c>
      <c r="AQ954" t="s">
        <v>74</v>
      </c>
      <c r="AR954" t="s">
        <v>17999</v>
      </c>
      <c r="AS954" t="s">
        <v>18000</v>
      </c>
      <c r="AT954" t="s">
        <v>16960</v>
      </c>
      <c r="AU954">
        <v>2016</v>
      </c>
      <c r="AV954">
        <v>98</v>
      </c>
      <c r="AW954">
        <v>2</v>
      </c>
      <c r="AX954" t="s">
        <v>74</v>
      </c>
      <c r="AY954" t="s">
        <v>74</v>
      </c>
      <c r="AZ954" t="s">
        <v>74</v>
      </c>
      <c r="BA954" t="s">
        <v>74</v>
      </c>
      <c r="BB954">
        <v>97</v>
      </c>
      <c r="BC954">
        <v>109</v>
      </c>
      <c r="BD954" t="s">
        <v>74</v>
      </c>
      <c r="BE954" t="s">
        <v>18001</v>
      </c>
      <c r="BF954" t="str">
        <f>HYPERLINK("http://dx.doi.org/10.1111/geoa.12126","http://dx.doi.org/10.1111/geoa.12126")</f>
        <v>http://dx.doi.org/10.1111/geoa.12126</v>
      </c>
      <c r="BG954" t="s">
        <v>74</v>
      </c>
      <c r="BH954" t="s">
        <v>74</v>
      </c>
      <c r="BI954">
        <v>13</v>
      </c>
      <c r="BJ954" t="s">
        <v>15528</v>
      </c>
      <c r="BK954" t="s">
        <v>156</v>
      </c>
      <c r="BL954" t="s">
        <v>204</v>
      </c>
      <c r="BM954" t="s">
        <v>18002</v>
      </c>
      <c r="BN954" t="s">
        <v>74</v>
      </c>
      <c r="BO954" t="s">
        <v>74</v>
      </c>
      <c r="BP954" t="s">
        <v>74</v>
      </c>
      <c r="BQ954" t="s">
        <v>74</v>
      </c>
      <c r="BR954" t="s">
        <v>105</v>
      </c>
      <c r="BS954" t="s">
        <v>18003</v>
      </c>
      <c r="BT954" t="str">
        <f>HYPERLINK("https%3A%2F%2Fwww.webofscience.com%2Fwos%2Fwoscc%2Ffull-record%2FWOS:000377220400001","View Full Record in Web of Science")</f>
        <v>View Full Record in Web of Science</v>
      </c>
    </row>
    <row r="955" spans="1:72" x14ac:dyDescent="0.15">
      <c r="A955" t="s">
        <v>72</v>
      </c>
      <c r="B955" t="s">
        <v>18004</v>
      </c>
      <c r="C955" t="s">
        <v>74</v>
      </c>
      <c r="D955" t="s">
        <v>74</v>
      </c>
      <c r="E955" t="s">
        <v>74</v>
      </c>
      <c r="F955" t="s">
        <v>18005</v>
      </c>
      <c r="G955" t="s">
        <v>74</v>
      </c>
      <c r="H955" t="s">
        <v>74</v>
      </c>
      <c r="I955" t="s">
        <v>18006</v>
      </c>
      <c r="J955" t="s">
        <v>18007</v>
      </c>
      <c r="K955" t="s">
        <v>74</v>
      </c>
      <c r="L955" t="s">
        <v>74</v>
      </c>
      <c r="M955" t="s">
        <v>78</v>
      </c>
      <c r="N955" t="s">
        <v>18008</v>
      </c>
      <c r="O955" t="s">
        <v>74</v>
      </c>
      <c r="P955" t="s">
        <v>74</v>
      </c>
      <c r="Q955" t="s">
        <v>74</v>
      </c>
      <c r="R955" t="s">
        <v>74</v>
      </c>
      <c r="S955" t="s">
        <v>74</v>
      </c>
      <c r="T955" t="s">
        <v>74</v>
      </c>
      <c r="U955" t="s">
        <v>74</v>
      </c>
      <c r="V955" t="s">
        <v>74</v>
      </c>
      <c r="W955" t="s">
        <v>18009</v>
      </c>
      <c r="X955" t="s">
        <v>18010</v>
      </c>
      <c r="Y955" t="s">
        <v>18011</v>
      </c>
      <c r="Z955" t="s">
        <v>18012</v>
      </c>
      <c r="AA955" t="s">
        <v>18013</v>
      </c>
      <c r="AB955" t="s">
        <v>6656</v>
      </c>
      <c r="AC955" t="s">
        <v>74</v>
      </c>
      <c r="AD955" t="s">
        <v>74</v>
      </c>
      <c r="AE955" t="s">
        <v>74</v>
      </c>
      <c r="AF955" t="s">
        <v>74</v>
      </c>
      <c r="AG955">
        <v>1</v>
      </c>
      <c r="AH955">
        <v>1</v>
      </c>
      <c r="AI955">
        <v>1</v>
      </c>
      <c r="AJ955">
        <v>0</v>
      </c>
      <c r="AK955">
        <v>3</v>
      </c>
      <c r="AL955" t="s">
        <v>6637</v>
      </c>
      <c r="AM955" t="s">
        <v>6638</v>
      </c>
      <c r="AN955" t="s">
        <v>6639</v>
      </c>
      <c r="AO955" t="s">
        <v>18014</v>
      </c>
      <c r="AP955" t="s">
        <v>18015</v>
      </c>
      <c r="AQ955" t="s">
        <v>74</v>
      </c>
      <c r="AR955" t="s">
        <v>18016</v>
      </c>
      <c r="AS955" t="s">
        <v>18017</v>
      </c>
      <c r="AT955" t="s">
        <v>16960</v>
      </c>
      <c r="AU955">
        <v>2016</v>
      </c>
      <c r="AV955">
        <v>27</v>
      </c>
      <c r="AW955">
        <v>1</v>
      </c>
      <c r="AX955" t="s">
        <v>74</v>
      </c>
      <c r="AY955" t="s">
        <v>74</v>
      </c>
      <c r="AZ955" t="s">
        <v>74</v>
      </c>
      <c r="BA955" t="s">
        <v>74</v>
      </c>
      <c r="BB955">
        <v>81</v>
      </c>
      <c r="BC955">
        <v>91</v>
      </c>
      <c r="BD955" t="s">
        <v>74</v>
      </c>
      <c r="BE955" t="s">
        <v>18018</v>
      </c>
      <c r="BF955" t="str">
        <f>HYPERLINK("http://dx.doi.org/10.1071/HR16002","http://dx.doi.org/10.1071/HR16002")</f>
        <v>http://dx.doi.org/10.1071/HR16002</v>
      </c>
      <c r="BG955" t="s">
        <v>74</v>
      </c>
      <c r="BH955" t="s">
        <v>74</v>
      </c>
      <c r="BI955">
        <v>11</v>
      </c>
      <c r="BJ955" t="s">
        <v>11988</v>
      </c>
      <c r="BK955" t="s">
        <v>6377</v>
      </c>
      <c r="BL955" t="s">
        <v>11990</v>
      </c>
      <c r="BM955" t="s">
        <v>18019</v>
      </c>
      <c r="BN955" t="s">
        <v>74</v>
      </c>
      <c r="BO955" t="s">
        <v>74</v>
      </c>
      <c r="BP955" t="s">
        <v>74</v>
      </c>
      <c r="BQ955" t="s">
        <v>74</v>
      </c>
      <c r="BR955" t="s">
        <v>105</v>
      </c>
      <c r="BS955" t="s">
        <v>18020</v>
      </c>
      <c r="BT955" t="str">
        <f>HYPERLINK("https%3A%2F%2Fwww.webofscience.com%2Fwos%2Fwoscc%2Ffull-record%2FWOS:000376853900008","View Full Record in Web of Science")</f>
        <v>View Full Record in Web of Science</v>
      </c>
    </row>
    <row r="956" spans="1:72" x14ac:dyDescent="0.15">
      <c r="A956" t="s">
        <v>72</v>
      </c>
      <c r="B956" t="s">
        <v>18021</v>
      </c>
      <c r="C956" t="s">
        <v>74</v>
      </c>
      <c r="D956" t="s">
        <v>74</v>
      </c>
      <c r="E956" t="s">
        <v>74</v>
      </c>
      <c r="F956" t="s">
        <v>18022</v>
      </c>
      <c r="G956" t="s">
        <v>74</v>
      </c>
      <c r="H956" t="s">
        <v>74</v>
      </c>
      <c r="I956" t="s">
        <v>18023</v>
      </c>
      <c r="J956" t="s">
        <v>14473</v>
      </c>
      <c r="K956" t="s">
        <v>74</v>
      </c>
      <c r="L956" t="s">
        <v>74</v>
      </c>
      <c r="M956" t="s">
        <v>78</v>
      </c>
      <c r="N956" t="s">
        <v>79</v>
      </c>
      <c r="O956" t="s">
        <v>74</v>
      </c>
      <c r="P956" t="s">
        <v>74</v>
      </c>
      <c r="Q956" t="s">
        <v>74</v>
      </c>
      <c r="R956" t="s">
        <v>74</v>
      </c>
      <c r="S956" t="s">
        <v>74</v>
      </c>
      <c r="T956" t="s">
        <v>18024</v>
      </c>
      <c r="U956" t="s">
        <v>18025</v>
      </c>
      <c r="V956" t="s">
        <v>18026</v>
      </c>
      <c r="W956" t="s">
        <v>18027</v>
      </c>
      <c r="X956" t="s">
        <v>18028</v>
      </c>
      <c r="Y956" t="s">
        <v>18029</v>
      </c>
      <c r="Z956" t="s">
        <v>18030</v>
      </c>
      <c r="AA956" t="s">
        <v>18031</v>
      </c>
      <c r="AB956" t="s">
        <v>18032</v>
      </c>
      <c r="AC956" t="s">
        <v>18033</v>
      </c>
      <c r="AD956" t="s">
        <v>18034</v>
      </c>
      <c r="AE956" t="s">
        <v>18035</v>
      </c>
      <c r="AF956" t="s">
        <v>74</v>
      </c>
      <c r="AG956">
        <v>33</v>
      </c>
      <c r="AH956">
        <v>16</v>
      </c>
      <c r="AI956">
        <v>18</v>
      </c>
      <c r="AJ956">
        <v>1</v>
      </c>
      <c r="AK956">
        <v>29</v>
      </c>
      <c r="AL956" t="s">
        <v>14486</v>
      </c>
      <c r="AM956" t="s">
        <v>2026</v>
      </c>
      <c r="AN956" t="s">
        <v>14487</v>
      </c>
      <c r="AO956" t="s">
        <v>14488</v>
      </c>
      <c r="AP956" t="s">
        <v>14489</v>
      </c>
      <c r="AQ956" t="s">
        <v>74</v>
      </c>
      <c r="AR956" t="s">
        <v>14490</v>
      </c>
      <c r="AS956" t="s">
        <v>14491</v>
      </c>
      <c r="AT956" t="s">
        <v>16960</v>
      </c>
      <c r="AU956">
        <v>2016</v>
      </c>
      <c r="AV956">
        <v>219</v>
      </c>
      <c r="AW956">
        <v>11</v>
      </c>
      <c r="AX956" t="s">
        <v>74</v>
      </c>
      <c r="AY956" t="s">
        <v>74</v>
      </c>
      <c r="AZ956" t="s">
        <v>74</v>
      </c>
      <c r="BA956" t="s">
        <v>74</v>
      </c>
      <c r="BB956">
        <v>1717</v>
      </c>
      <c r="BC956">
        <v>1724</v>
      </c>
      <c r="BD956" t="s">
        <v>74</v>
      </c>
      <c r="BE956" t="s">
        <v>18036</v>
      </c>
      <c r="BF956" t="str">
        <f>HYPERLINK("http://dx.doi.org/10.1242/jeb.132878","http://dx.doi.org/10.1242/jeb.132878")</f>
        <v>http://dx.doi.org/10.1242/jeb.132878</v>
      </c>
      <c r="BG956" t="s">
        <v>74</v>
      </c>
      <c r="BH956" t="s">
        <v>74</v>
      </c>
      <c r="BI956">
        <v>8</v>
      </c>
      <c r="BJ956" t="s">
        <v>2614</v>
      </c>
      <c r="BK956" t="s">
        <v>156</v>
      </c>
      <c r="BL956" t="s">
        <v>2615</v>
      </c>
      <c r="BM956" t="s">
        <v>18037</v>
      </c>
      <c r="BN956">
        <v>27026715</v>
      </c>
      <c r="BO956" t="s">
        <v>2462</v>
      </c>
      <c r="BP956" t="s">
        <v>74</v>
      </c>
      <c r="BQ956" t="s">
        <v>74</v>
      </c>
      <c r="BR956" t="s">
        <v>105</v>
      </c>
      <c r="BS956" t="s">
        <v>18038</v>
      </c>
      <c r="BT956" t="str">
        <f>HYPERLINK("https%3A%2F%2Fwww.webofscience.com%2Fwos%2Fwoscc%2Ffull-record%2FWOS:000376878000022","View Full Record in Web of Science")</f>
        <v>View Full Record in Web of Science</v>
      </c>
    </row>
    <row r="957" spans="1:72" x14ac:dyDescent="0.15">
      <c r="A957" t="s">
        <v>72</v>
      </c>
      <c r="B957" t="s">
        <v>18039</v>
      </c>
      <c r="C957" t="s">
        <v>74</v>
      </c>
      <c r="D957" t="s">
        <v>74</v>
      </c>
      <c r="E957" t="s">
        <v>74</v>
      </c>
      <c r="F957" t="s">
        <v>18040</v>
      </c>
      <c r="G957" t="s">
        <v>74</v>
      </c>
      <c r="H957" t="s">
        <v>74</v>
      </c>
      <c r="I957" t="s">
        <v>18041</v>
      </c>
      <c r="J957" t="s">
        <v>18042</v>
      </c>
      <c r="K957" t="s">
        <v>74</v>
      </c>
      <c r="L957" t="s">
        <v>74</v>
      </c>
      <c r="M957" t="s">
        <v>78</v>
      </c>
      <c r="N957" t="s">
        <v>79</v>
      </c>
      <c r="O957" t="s">
        <v>74</v>
      </c>
      <c r="P957" t="s">
        <v>74</v>
      </c>
      <c r="Q957" t="s">
        <v>74</v>
      </c>
      <c r="R957" t="s">
        <v>74</v>
      </c>
      <c r="S957" t="s">
        <v>74</v>
      </c>
      <c r="T957" t="s">
        <v>18043</v>
      </c>
      <c r="U957" t="s">
        <v>18044</v>
      </c>
      <c r="V957" t="s">
        <v>18045</v>
      </c>
      <c r="W957" t="s">
        <v>18046</v>
      </c>
      <c r="X957" t="s">
        <v>18047</v>
      </c>
      <c r="Y957" t="s">
        <v>18048</v>
      </c>
      <c r="Z957" t="s">
        <v>18049</v>
      </c>
      <c r="AA957" t="s">
        <v>18050</v>
      </c>
      <c r="AB957" t="s">
        <v>74</v>
      </c>
      <c r="AC957" t="s">
        <v>18051</v>
      </c>
      <c r="AD957" t="s">
        <v>18052</v>
      </c>
      <c r="AE957" t="s">
        <v>18053</v>
      </c>
      <c r="AF957" t="s">
        <v>74</v>
      </c>
      <c r="AG957">
        <v>49</v>
      </c>
      <c r="AH957">
        <v>13</v>
      </c>
      <c r="AI957">
        <v>15</v>
      </c>
      <c r="AJ957">
        <v>5</v>
      </c>
      <c r="AK957">
        <v>36</v>
      </c>
      <c r="AL957" t="s">
        <v>2501</v>
      </c>
      <c r="AM957" t="s">
        <v>304</v>
      </c>
      <c r="AN957" t="s">
        <v>2502</v>
      </c>
      <c r="AO957" t="s">
        <v>18054</v>
      </c>
      <c r="AP957" t="s">
        <v>18055</v>
      </c>
      <c r="AQ957" t="s">
        <v>74</v>
      </c>
      <c r="AR957" t="s">
        <v>18056</v>
      </c>
      <c r="AS957" t="s">
        <v>18057</v>
      </c>
      <c r="AT957" t="s">
        <v>16960</v>
      </c>
      <c r="AU957">
        <v>2016</v>
      </c>
      <c r="AV957">
        <v>43</v>
      </c>
      <c r="AW957">
        <v>6</v>
      </c>
      <c r="AX957" t="s">
        <v>74</v>
      </c>
      <c r="AY957" t="s">
        <v>74</v>
      </c>
      <c r="AZ957" t="s">
        <v>74</v>
      </c>
      <c r="BA957" t="s">
        <v>74</v>
      </c>
      <c r="BB957">
        <v>829</v>
      </c>
      <c r="BC957">
        <v>840</v>
      </c>
      <c r="BD957" t="s">
        <v>74</v>
      </c>
      <c r="BE957" t="s">
        <v>18058</v>
      </c>
      <c r="BF957" t="str">
        <f>HYPERLINK("http://dx.doi.org/10.1007/s10295-016-1749-3","http://dx.doi.org/10.1007/s10295-016-1749-3")</f>
        <v>http://dx.doi.org/10.1007/s10295-016-1749-3</v>
      </c>
      <c r="BG957" t="s">
        <v>74</v>
      </c>
      <c r="BH957" t="s">
        <v>74</v>
      </c>
      <c r="BI957">
        <v>12</v>
      </c>
      <c r="BJ957" t="s">
        <v>12891</v>
      </c>
      <c r="BK957" t="s">
        <v>156</v>
      </c>
      <c r="BL957" t="s">
        <v>12891</v>
      </c>
      <c r="BM957" t="s">
        <v>18059</v>
      </c>
      <c r="BN957">
        <v>27001262</v>
      </c>
      <c r="BO957" t="s">
        <v>74</v>
      </c>
      <c r="BP957" t="s">
        <v>74</v>
      </c>
      <c r="BQ957" t="s">
        <v>74</v>
      </c>
      <c r="BR957" t="s">
        <v>105</v>
      </c>
      <c r="BS957" t="s">
        <v>18060</v>
      </c>
      <c r="BT957" t="str">
        <f>HYPERLINK("https%3A%2F%2Fwww.webofscience.com%2Fwos%2Fwoscc%2Ffull-record%2FWOS:000376930500010","View Full Record in Web of Science")</f>
        <v>View Full Record in Web of Science</v>
      </c>
    </row>
    <row r="958" spans="1:72" x14ac:dyDescent="0.15">
      <c r="A958" t="s">
        <v>72</v>
      </c>
      <c r="B958" t="s">
        <v>18061</v>
      </c>
      <c r="C958" t="s">
        <v>74</v>
      </c>
      <c r="D958" t="s">
        <v>74</v>
      </c>
      <c r="E958" t="s">
        <v>74</v>
      </c>
      <c r="F958" t="s">
        <v>18062</v>
      </c>
      <c r="G958" t="s">
        <v>74</v>
      </c>
      <c r="H958" t="s">
        <v>74</v>
      </c>
      <c r="I958" t="s">
        <v>18063</v>
      </c>
      <c r="J958" t="s">
        <v>14853</v>
      </c>
      <c r="K958" t="s">
        <v>74</v>
      </c>
      <c r="L958" t="s">
        <v>74</v>
      </c>
      <c r="M958" t="s">
        <v>78</v>
      </c>
      <c r="N958" t="s">
        <v>79</v>
      </c>
      <c r="O958" t="s">
        <v>74</v>
      </c>
      <c r="P958" t="s">
        <v>74</v>
      </c>
      <c r="Q958" t="s">
        <v>74</v>
      </c>
      <c r="R958" t="s">
        <v>74</v>
      </c>
      <c r="S958" t="s">
        <v>74</v>
      </c>
      <c r="T958" t="s">
        <v>18064</v>
      </c>
      <c r="U958" t="s">
        <v>18065</v>
      </c>
      <c r="V958" t="s">
        <v>18066</v>
      </c>
      <c r="W958" t="s">
        <v>18067</v>
      </c>
      <c r="X958" t="s">
        <v>18068</v>
      </c>
      <c r="Y958" t="s">
        <v>18069</v>
      </c>
      <c r="Z958" t="s">
        <v>18070</v>
      </c>
      <c r="AA958" t="s">
        <v>18071</v>
      </c>
      <c r="AB958" t="s">
        <v>18072</v>
      </c>
      <c r="AC958" t="s">
        <v>18073</v>
      </c>
      <c r="AD958" t="s">
        <v>18074</v>
      </c>
      <c r="AE958" t="s">
        <v>18075</v>
      </c>
      <c r="AF958" t="s">
        <v>74</v>
      </c>
      <c r="AG958">
        <v>33</v>
      </c>
      <c r="AH958">
        <v>27</v>
      </c>
      <c r="AI958">
        <v>30</v>
      </c>
      <c r="AJ958">
        <v>6</v>
      </c>
      <c r="AK958">
        <v>81</v>
      </c>
      <c r="AL958" t="s">
        <v>644</v>
      </c>
      <c r="AM958" t="s">
        <v>740</v>
      </c>
      <c r="AN958" t="s">
        <v>741</v>
      </c>
      <c r="AO958" t="s">
        <v>14866</v>
      </c>
      <c r="AP958" t="s">
        <v>14867</v>
      </c>
      <c r="AQ958" t="s">
        <v>74</v>
      </c>
      <c r="AR958" t="s">
        <v>14868</v>
      </c>
      <c r="AS958" t="s">
        <v>14869</v>
      </c>
      <c r="AT958" t="s">
        <v>16960</v>
      </c>
      <c r="AU958">
        <v>2016</v>
      </c>
      <c r="AV958">
        <v>18</v>
      </c>
      <c r="AW958">
        <v>6</v>
      </c>
      <c r="AX958" t="s">
        <v>74</v>
      </c>
      <c r="AY958" t="s">
        <v>74</v>
      </c>
      <c r="AZ958" t="s">
        <v>74</v>
      </c>
      <c r="BA958" t="s">
        <v>74</v>
      </c>
      <c r="BB958">
        <v>1679</v>
      </c>
      <c r="BC958">
        <v>1688</v>
      </c>
      <c r="BD958" t="s">
        <v>74</v>
      </c>
      <c r="BE958" t="s">
        <v>18076</v>
      </c>
      <c r="BF958" t="str">
        <f>HYPERLINK("http://dx.doi.org/10.1007/s10530-016-1110-9","http://dx.doi.org/10.1007/s10530-016-1110-9")</f>
        <v>http://dx.doi.org/10.1007/s10530-016-1110-9</v>
      </c>
      <c r="BG958" t="s">
        <v>74</v>
      </c>
      <c r="BH958" t="s">
        <v>74</v>
      </c>
      <c r="BI958">
        <v>10</v>
      </c>
      <c r="BJ958" t="s">
        <v>652</v>
      </c>
      <c r="BK958" t="s">
        <v>156</v>
      </c>
      <c r="BL958" t="s">
        <v>653</v>
      </c>
      <c r="BM958" t="s">
        <v>18077</v>
      </c>
      <c r="BN958" t="s">
        <v>74</v>
      </c>
      <c r="BO958" t="s">
        <v>74</v>
      </c>
      <c r="BP958" t="s">
        <v>74</v>
      </c>
      <c r="BQ958" t="s">
        <v>74</v>
      </c>
      <c r="BR958" t="s">
        <v>105</v>
      </c>
      <c r="BS958" t="s">
        <v>18078</v>
      </c>
      <c r="BT958" t="str">
        <f>HYPERLINK("https%3A%2F%2Fwww.webofscience.com%2Fwos%2Fwoscc%2Ffull-record%2FWOS:000376663400013","View Full Record in Web of Science")</f>
        <v>View Full Record in Web of Science</v>
      </c>
    </row>
    <row r="959" spans="1:72" x14ac:dyDescent="0.15">
      <c r="A959" t="s">
        <v>72</v>
      </c>
      <c r="B959" t="s">
        <v>18079</v>
      </c>
      <c r="C959" t="s">
        <v>74</v>
      </c>
      <c r="D959" t="s">
        <v>74</v>
      </c>
      <c r="E959" t="s">
        <v>74</v>
      </c>
      <c r="F959" t="s">
        <v>18080</v>
      </c>
      <c r="G959" t="s">
        <v>74</v>
      </c>
      <c r="H959" t="s">
        <v>74</v>
      </c>
      <c r="I959" t="s">
        <v>18081</v>
      </c>
      <c r="J959" t="s">
        <v>6003</v>
      </c>
      <c r="K959" t="s">
        <v>74</v>
      </c>
      <c r="L959" t="s">
        <v>74</v>
      </c>
      <c r="M959" t="s">
        <v>78</v>
      </c>
      <c r="N959" t="s">
        <v>79</v>
      </c>
      <c r="O959" t="s">
        <v>74</v>
      </c>
      <c r="P959" t="s">
        <v>74</v>
      </c>
      <c r="Q959" t="s">
        <v>74</v>
      </c>
      <c r="R959" t="s">
        <v>74</v>
      </c>
      <c r="S959" t="s">
        <v>74</v>
      </c>
      <c r="T959" t="s">
        <v>18082</v>
      </c>
      <c r="U959" t="s">
        <v>18083</v>
      </c>
      <c r="V959" t="s">
        <v>18084</v>
      </c>
      <c r="W959" t="s">
        <v>18085</v>
      </c>
      <c r="X959" t="s">
        <v>18086</v>
      </c>
      <c r="Y959" t="s">
        <v>18087</v>
      </c>
      <c r="Z959" t="s">
        <v>18088</v>
      </c>
      <c r="AA959" t="s">
        <v>18089</v>
      </c>
      <c r="AB959" t="s">
        <v>18090</v>
      </c>
      <c r="AC959" t="s">
        <v>18091</v>
      </c>
      <c r="AD959" t="s">
        <v>18092</v>
      </c>
      <c r="AE959" t="s">
        <v>18093</v>
      </c>
      <c r="AF959" t="s">
        <v>74</v>
      </c>
      <c r="AG959">
        <v>72</v>
      </c>
      <c r="AH959">
        <v>12</v>
      </c>
      <c r="AI959">
        <v>12</v>
      </c>
      <c r="AJ959">
        <v>3</v>
      </c>
      <c r="AK959">
        <v>26</v>
      </c>
      <c r="AL959" t="s">
        <v>303</v>
      </c>
      <c r="AM959" t="s">
        <v>304</v>
      </c>
      <c r="AN959" t="s">
        <v>305</v>
      </c>
      <c r="AO959" t="s">
        <v>6016</v>
      </c>
      <c r="AP959" t="s">
        <v>6017</v>
      </c>
      <c r="AQ959" t="s">
        <v>74</v>
      </c>
      <c r="AR959" t="s">
        <v>6018</v>
      </c>
      <c r="AS959" t="s">
        <v>6019</v>
      </c>
      <c r="AT959" t="s">
        <v>16960</v>
      </c>
      <c r="AU959">
        <v>2016</v>
      </c>
      <c r="AV959">
        <v>112</v>
      </c>
      <c r="AW959" t="s">
        <v>74</v>
      </c>
      <c r="AX959" t="s">
        <v>74</v>
      </c>
      <c r="AY959" t="s">
        <v>74</v>
      </c>
      <c r="AZ959" t="s">
        <v>74</v>
      </c>
      <c r="BA959" t="s">
        <v>74</v>
      </c>
      <c r="BB959">
        <v>57</v>
      </c>
      <c r="BC959">
        <v>67</v>
      </c>
      <c r="BD959" t="s">
        <v>74</v>
      </c>
      <c r="BE959" t="s">
        <v>18094</v>
      </c>
      <c r="BF959" t="str">
        <f>HYPERLINK("http://dx.doi.org/10.1016/j.dsr.2016.03.007","http://dx.doi.org/10.1016/j.dsr.2016.03.007")</f>
        <v>http://dx.doi.org/10.1016/j.dsr.2016.03.007</v>
      </c>
      <c r="BG959" t="s">
        <v>74</v>
      </c>
      <c r="BH959" t="s">
        <v>74</v>
      </c>
      <c r="BI959">
        <v>11</v>
      </c>
      <c r="BJ959" t="s">
        <v>405</v>
      </c>
      <c r="BK959" t="s">
        <v>156</v>
      </c>
      <c r="BL959" t="s">
        <v>405</v>
      </c>
      <c r="BM959" t="s">
        <v>18095</v>
      </c>
      <c r="BN959" t="s">
        <v>74</v>
      </c>
      <c r="BO959" t="s">
        <v>74</v>
      </c>
      <c r="BP959" t="s">
        <v>74</v>
      </c>
      <c r="BQ959" t="s">
        <v>74</v>
      </c>
      <c r="BR959" t="s">
        <v>105</v>
      </c>
      <c r="BS959" t="s">
        <v>18096</v>
      </c>
      <c r="BT959" t="str">
        <f>HYPERLINK("https%3A%2F%2Fwww.webofscience.com%2Fwos%2Fwoscc%2Ffull-record%2FWOS:000376544800006","View Full Record in Web of Science")</f>
        <v>View Full Record in Web of Science</v>
      </c>
    </row>
    <row r="960" spans="1:72" x14ac:dyDescent="0.15">
      <c r="A960" t="s">
        <v>72</v>
      </c>
      <c r="B960" t="s">
        <v>18097</v>
      </c>
      <c r="C960" t="s">
        <v>74</v>
      </c>
      <c r="D960" t="s">
        <v>74</v>
      </c>
      <c r="E960" t="s">
        <v>74</v>
      </c>
      <c r="F960" t="s">
        <v>18098</v>
      </c>
      <c r="G960" t="s">
        <v>74</v>
      </c>
      <c r="H960" t="s">
        <v>74</v>
      </c>
      <c r="I960" t="s">
        <v>18099</v>
      </c>
      <c r="J960" t="s">
        <v>6003</v>
      </c>
      <c r="K960" t="s">
        <v>74</v>
      </c>
      <c r="L960" t="s">
        <v>74</v>
      </c>
      <c r="M960" t="s">
        <v>78</v>
      </c>
      <c r="N960" t="s">
        <v>79</v>
      </c>
      <c r="O960" t="s">
        <v>74</v>
      </c>
      <c r="P960" t="s">
        <v>74</v>
      </c>
      <c r="Q960" t="s">
        <v>74</v>
      </c>
      <c r="R960" t="s">
        <v>74</v>
      </c>
      <c r="S960" t="s">
        <v>74</v>
      </c>
      <c r="T960" t="s">
        <v>74</v>
      </c>
      <c r="U960" t="s">
        <v>18100</v>
      </c>
      <c r="V960" t="s">
        <v>18101</v>
      </c>
      <c r="W960" t="s">
        <v>18102</v>
      </c>
      <c r="X960" t="s">
        <v>18103</v>
      </c>
      <c r="Y960" t="s">
        <v>18104</v>
      </c>
      <c r="Z960" t="s">
        <v>74</v>
      </c>
      <c r="AA960" t="s">
        <v>18105</v>
      </c>
      <c r="AB960" t="s">
        <v>18106</v>
      </c>
      <c r="AC960" t="s">
        <v>18107</v>
      </c>
      <c r="AD960" t="s">
        <v>18108</v>
      </c>
      <c r="AE960" t="s">
        <v>18109</v>
      </c>
      <c r="AF960" t="s">
        <v>74</v>
      </c>
      <c r="AG960">
        <v>91</v>
      </c>
      <c r="AH960">
        <v>6</v>
      </c>
      <c r="AI960">
        <v>8</v>
      </c>
      <c r="AJ960">
        <v>2</v>
      </c>
      <c r="AK960">
        <v>26</v>
      </c>
      <c r="AL960" t="s">
        <v>303</v>
      </c>
      <c r="AM960" t="s">
        <v>304</v>
      </c>
      <c r="AN960" t="s">
        <v>305</v>
      </c>
      <c r="AO960" t="s">
        <v>6016</v>
      </c>
      <c r="AP960" t="s">
        <v>6017</v>
      </c>
      <c r="AQ960" t="s">
        <v>74</v>
      </c>
      <c r="AR960" t="s">
        <v>6018</v>
      </c>
      <c r="AS960" t="s">
        <v>6019</v>
      </c>
      <c r="AT960" t="s">
        <v>16960</v>
      </c>
      <c r="AU960">
        <v>2016</v>
      </c>
      <c r="AV960">
        <v>112</v>
      </c>
      <c r="AW960" t="s">
        <v>74</v>
      </c>
      <c r="AX960" t="s">
        <v>74</v>
      </c>
      <c r="AY960" t="s">
        <v>74</v>
      </c>
      <c r="AZ960" t="s">
        <v>74</v>
      </c>
      <c r="BA960" t="s">
        <v>74</v>
      </c>
      <c r="BB960">
        <v>68</v>
      </c>
      <c r="BC960">
        <v>78</v>
      </c>
      <c r="BD960" t="s">
        <v>74</v>
      </c>
      <c r="BE960" t="s">
        <v>18110</v>
      </c>
      <c r="BF960" t="str">
        <f>HYPERLINK("http://dx.doi.org/10.1016/j.dsr.2016.02.018","http://dx.doi.org/10.1016/j.dsr.2016.02.018")</f>
        <v>http://dx.doi.org/10.1016/j.dsr.2016.02.018</v>
      </c>
      <c r="BG960" t="s">
        <v>74</v>
      </c>
      <c r="BH960" t="s">
        <v>74</v>
      </c>
      <c r="BI960">
        <v>11</v>
      </c>
      <c r="BJ960" t="s">
        <v>405</v>
      </c>
      <c r="BK960" t="s">
        <v>156</v>
      </c>
      <c r="BL960" t="s">
        <v>405</v>
      </c>
      <c r="BM960" t="s">
        <v>18095</v>
      </c>
      <c r="BN960" t="s">
        <v>74</v>
      </c>
      <c r="BO960" t="s">
        <v>104</v>
      </c>
      <c r="BP960" t="s">
        <v>74</v>
      </c>
      <c r="BQ960" t="s">
        <v>74</v>
      </c>
      <c r="BR960" t="s">
        <v>105</v>
      </c>
      <c r="BS960" t="s">
        <v>18111</v>
      </c>
      <c r="BT960" t="str">
        <f>HYPERLINK("https%3A%2F%2Fwww.webofscience.com%2Fwos%2Fwoscc%2Ffull-record%2FWOS:000376544800007","View Full Record in Web of Science")</f>
        <v>View Full Record in Web of Science</v>
      </c>
    </row>
    <row r="961" spans="1:72" x14ac:dyDescent="0.15">
      <c r="A961" t="s">
        <v>72</v>
      </c>
      <c r="B961" t="s">
        <v>18112</v>
      </c>
      <c r="C961" t="s">
        <v>74</v>
      </c>
      <c r="D961" t="s">
        <v>74</v>
      </c>
      <c r="E961" t="s">
        <v>74</v>
      </c>
      <c r="F961" t="s">
        <v>18113</v>
      </c>
      <c r="G961" t="s">
        <v>74</v>
      </c>
      <c r="H961" t="s">
        <v>74</v>
      </c>
      <c r="I961" t="s">
        <v>18114</v>
      </c>
      <c r="J961" t="s">
        <v>6003</v>
      </c>
      <c r="K961" t="s">
        <v>74</v>
      </c>
      <c r="L961" t="s">
        <v>74</v>
      </c>
      <c r="M961" t="s">
        <v>78</v>
      </c>
      <c r="N961" t="s">
        <v>79</v>
      </c>
      <c r="O961" t="s">
        <v>74</v>
      </c>
      <c r="P961" t="s">
        <v>74</v>
      </c>
      <c r="Q961" t="s">
        <v>74</v>
      </c>
      <c r="R961" t="s">
        <v>74</v>
      </c>
      <c r="S961" t="s">
        <v>74</v>
      </c>
      <c r="T961" t="s">
        <v>18115</v>
      </c>
      <c r="U961" t="s">
        <v>18116</v>
      </c>
      <c r="V961" t="s">
        <v>18117</v>
      </c>
      <c r="W961" t="s">
        <v>18118</v>
      </c>
      <c r="X961" t="s">
        <v>18119</v>
      </c>
      <c r="Y961" t="s">
        <v>18120</v>
      </c>
      <c r="Z961" t="s">
        <v>18121</v>
      </c>
      <c r="AA961" t="s">
        <v>74</v>
      </c>
      <c r="AB961" t="s">
        <v>18122</v>
      </c>
      <c r="AC961" t="s">
        <v>18123</v>
      </c>
      <c r="AD961" t="s">
        <v>18124</v>
      </c>
      <c r="AE961" t="s">
        <v>18125</v>
      </c>
      <c r="AF961" t="s">
        <v>74</v>
      </c>
      <c r="AG961">
        <v>43</v>
      </c>
      <c r="AH961">
        <v>5</v>
      </c>
      <c r="AI961">
        <v>5</v>
      </c>
      <c r="AJ961">
        <v>1</v>
      </c>
      <c r="AK961">
        <v>8</v>
      </c>
      <c r="AL961" t="s">
        <v>303</v>
      </c>
      <c r="AM961" t="s">
        <v>304</v>
      </c>
      <c r="AN961" t="s">
        <v>305</v>
      </c>
      <c r="AO961" t="s">
        <v>6016</v>
      </c>
      <c r="AP961" t="s">
        <v>6017</v>
      </c>
      <c r="AQ961" t="s">
        <v>74</v>
      </c>
      <c r="AR961" t="s">
        <v>6018</v>
      </c>
      <c r="AS961" t="s">
        <v>6019</v>
      </c>
      <c r="AT961" t="s">
        <v>16960</v>
      </c>
      <c r="AU961">
        <v>2016</v>
      </c>
      <c r="AV961">
        <v>112</v>
      </c>
      <c r="AW961" t="s">
        <v>74</v>
      </c>
      <c r="AX961" t="s">
        <v>74</v>
      </c>
      <c r="AY961" t="s">
        <v>74</v>
      </c>
      <c r="AZ961" t="s">
        <v>74</v>
      </c>
      <c r="BA961" t="s">
        <v>74</v>
      </c>
      <c r="BB961">
        <v>79</v>
      </c>
      <c r="BC961">
        <v>93</v>
      </c>
      <c r="BD961" t="s">
        <v>74</v>
      </c>
      <c r="BE961" t="s">
        <v>18126</v>
      </c>
      <c r="BF961" t="str">
        <f>HYPERLINK("http://dx.doi.org/10.1016/j.dsr.2015.12.016","http://dx.doi.org/10.1016/j.dsr.2015.12.016")</f>
        <v>http://dx.doi.org/10.1016/j.dsr.2015.12.016</v>
      </c>
      <c r="BG961" t="s">
        <v>74</v>
      </c>
      <c r="BH961" t="s">
        <v>74</v>
      </c>
      <c r="BI961">
        <v>15</v>
      </c>
      <c r="BJ961" t="s">
        <v>405</v>
      </c>
      <c r="BK961" t="s">
        <v>156</v>
      </c>
      <c r="BL961" t="s">
        <v>405</v>
      </c>
      <c r="BM961" t="s">
        <v>18095</v>
      </c>
      <c r="BN961" t="s">
        <v>74</v>
      </c>
      <c r="BO961" t="s">
        <v>805</v>
      </c>
      <c r="BP961" t="s">
        <v>74</v>
      </c>
      <c r="BQ961" t="s">
        <v>74</v>
      </c>
      <c r="BR961" t="s">
        <v>105</v>
      </c>
      <c r="BS961" t="s">
        <v>18127</v>
      </c>
      <c r="BT961" t="str">
        <f>HYPERLINK("https%3A%2F%2Fwww.webofscience.com%2Fwos%2Fwoscc%2Ffull-record%2FWOS:000376544800008","View Full Record in Web of Science")</f>
        <v>View Full Record in Web of Science</v>
      </c>
    </row>
    <row r="962" spans="1:72" x14ac:dyDescent="0.15">
      <c r="A962" t="s">
        <v>72</v>
      </c>
      <c r="B962" t="s">
        <v>18128</v>
      </c>
      <c r="C962" t="s">
        <v>74</v>
      </c>
      <c r="D962" t="s">
        <v>74</v>
      </c>
      <c r="E962" t="s">
        <v>74</v>
      </c>
      <c r="F962" t="s">
        <v>18129</v>
      </c>
      <c r="G962" t="s">
        <v>74</v>
      </c>
      <c r="H962" t="s">
        <v>74</v>
      </c>
      <c r="I962" t="s">
        <v>18130</v>
      </c>
      <c r="J962" t="s">
        <v>18131</v>
      </c>
      <c r="K962" t="s">
        <v>74</v>
      </c>
      <c r="L962" t="s">
        <v>74</v>
      </c>
      <c r="M962" t="s">
        <v>78</v>
      </c>
      <c r="N962" t="s">
        <v>79</v>
      </c>
      <c r="O962" t="s">
        <v>74</v>
      </c>
      <c r="P962" t="s">
        <v>74</v>
      </c>
      <c r="Q962" t="s">
        <v>74</v>
      </c>
      <c r="R962" t="s">
        <v>74</v>
      </c>
      <c r="S962" t="s">
        <v>74</v>
      </c>
      <c r="T962" t="s">
        <v>18132</v>
      </c>
      <c r="U962" t="s">
        <v>18133</v>
      </c>
      <c r="V962" t="s">
        <v>18134</v>
      </c>
      <c r="W962" t="s">
        <v>18135</v>
      </c>
      <c r="X962" t="s">
        <v>18136</v>
      </c>
      <c r="Y962" t="s">
        <v>18137</v>
      </c>
      <c r="Z962" t="s">
        <v>18138</v>
      </c>
      <c r="AA962" t="s">
        <v>18139</v>
      </c>
      <c r="AB962" t="s">
        <v>18140</v>
      </c>
      <c r="AC962" t="s">
        <v>74</v>
      </c>
      <c r="AD962" t="s">
        <v>74</v>
      </c>
      <c r="AE962" t="s">
        <v>74</v>
      </c>
      <c r="AF962" t="s">
        <v>74</v>
      </c>
      <c r="AG962">
        <v>47</v>
      </c>
      <c r="AH962">
        <v>24</v>
      </c>
      <c r="AI962">
        <v>25</v>
      </c>
      <c r="AJ962">
        <v>6</v>
      </c>
      <c r="AK962">
        <v>59</v>
      </c>
      <c r="AL962" t="s">
        <v>644</v>
      </c>
      <c r="AM962" t="s">
        <v>740</v>
      </c>
      <c r="AN962" t="s">
        <v>741</v>
      </c>
      <c r="AO962" t="s">
        <v>18141</v>
      </c>
      <c r="AP962" t="s">
        <v>18142</v>
      </c>
      <c r="AQ962" t="s">
        <v>74</v>
      </c>
      <c r="AR962" t="s">
        <v>18143</v>
      </c>
      <c r="AS962" t="s">
        <v>18144</v>
      </c>
      <c r="AT962" t="s">
        <v>16960</v>
      </c>
      <c r="AU962">
        <v>2016</v>
      </c>
      <c r="AV962">
        <v>64</v>
      </c>
      <c r="AW962">
        <v>2</v>
      </c>
      <c r="AX962" t="s">
        <v>74</v>
      </c>
      <c r="AY962" t="s">
        <v>74</v>
      </c>
      <c r="AZ962" t="s">
        <v>74</v>
      </c>
      <c r="BA962" t="s">
        <v>74</v>
      </c>
      <c r="BB962">
        <v>225</v>
      </c>
      <c r="BC962">
        <v>253</v>
      </c>
      <c r="BD962" t="s">
        <v>74</v>
      </c>
      <c r="BE962" t="s">
        <v>18145</v>
      </c>
      <c r="BF962" t="str">
        <f>HYPERLINK("http://dx.doi.org/10.1007/s10640-014-9866-9","http://dx.doi.org/10.1007/s10640-014-9866-9")</f>
        <v>http://dx.doi.org/10.1007/s10640-014-9866-9</v>
      </c>
      <c r="BG962" t="s">
        <v>74</v>
      </c>
      <c r="BH962" t="s">
        <v>74</v>
      </c>
      <c r="BI962">
        <v>29</v>
      </c>
      <c r="BJ962" t="s">
        <v>18146</v>
      </c>
      <c r="BK962" t="s">
        <v>482</v>
      </c>
      <c r="BL962" t="s">
        <v>18147</v>
      </c>
      <c r="BM962" t="s">
        <v>18148</v>
      </c>
      <c r="BN962" t="s">
        <v>74</v>
      </c>
      <c r="BO962" t="s">
        <v>1002</v>
      </c>
      <c r="BP962" t="s">
        <v>74</v>
      </c>
      <c r="BQ962" t="s">
        <v>74</v>
      </c>
      <c r="BR962" t="s">
        <v>105</v>
      </c>
      <c r="BS962" t="s">
        <v>18149</v>
      </c>
      <c r="BT962" t="str">
        <f>HYPERLINK("https%3A%2F%2Fwww.webofscience.com%2Fwos%2Fwoscc%2Ffull-record%2FWOS:000376683300004","View Full Record in Web of Science")</f>
        <v>View Full Record in Web of Science</v>
      </c>
    </row>
    <row r="963" spans="1:72" x14ac:dyDescent="0.15">
      <c r="A963" t="s">
        <v>72</v>
      </c>
      <c r="B963" t="s">
        <v>18150</v>
      </c>
      <c r="C963" t="s">
        <v>74</v>
      </c>
      <c r="D963" t="s">
        <v>74</v>
      </c>
      <c r="E963" t="s">
        <v>74</v>
      </c>
      <c r="F963" t="s">
        <v>18151</v>
      </c>
      <c r="G963" t="s">
        <v>74</v>
      </c>
      <c r="H963" t="s">
        <v>74</v>
      </c>
      <c r="I963" t="s">
        <v>18152</v>
      </c>
      <c r="J963" t="s">
        <v>11257</v>
      </c>
      <c r="K963" t="s">
        <v>74</v>
      </c>
      <c r="L963" t="s">
        <v>74</v>
      </c>
      <c r="M963" t="s">
        <v>78</v>
      </c>
      <c r="N963" t="s">
        <v>79</v>
      </c>
      <c r="O963" t="s">
        <v>74</v>
      </c>
      <c r="P963" t="s">
        <v>74</v>
      </c>
      <c r="Q963" t="s">
        <v>74</v>
      </c>
      <c r="R963" t="s">
        <v>74</v>
      </c>
      <c r="S963" t="s">
        <v>74</v>
      </c>
      <c r="T963" t="s">
        <v>18153</v>
      </c>
      <c r="U963" t="s">
        <v>18154</v>
      </c>
      <c r="V963" t="s">
        <v>18155</v>
      </c>
      <c r="W963" t="s">
        <v>18156</v>
      </c>
      <c r="X963" t="s">
        <v>18157</v>
      </c>
      <c r="Y963" t="s">
        <v>18158</v>
      </c>
      <c r="Z963" t="s">
        <v>18159</v>
      </c>
      <c r="AA963" t="s">
        <v>18160</v>
      </c>
      <c r="AB963" t="s">
        <v>18161</v>
      </c>
      <c r="AC963" t="s">
        <v>18162</v>
      </c>
      <c r="AD963" t="s">
        <v>18163</v>
      </c>
      <c r="AE963" t="s">
        <v>18164</v>
      </c>
      <c r="AF963" t="s">
        <v>74</v>
      </c>
      <c r="AG963">
        <v>82</v>
      </c>
      <c r="AH963">
        <v>35</v>
      </c>
      <c r="AI963">
        <v>38</v>
      </c>
      <c r="AJ963">
        <v>0</v>
      </c>
      <c r="AK963">
        <v>32</v>
      </c>
      <c r="AL963" t="s">
        <v>2501</v>
      </c>
      <c r="AM963" t="s">
        <v>304</v>
      </c>
      <c r="AN963" t="s">
        <v>2502</v>
      </c>
      <c r="AO963" t="s">
        <v>11270</v>
      </c>
      <c r="AP963" t="s">
        <v>11271</v>
      </c>
      <c r="AQ963" t="s">
        <v>74</v>
      </c>
      <c r="AR963" t="s">
        <v>11272</v>
      </c>
      <c r="AS963" t="s">
        <v>11273</v>
      </c>
      <c r="AT963" t="s">
        <v>16960</v>
      </c>
      <c r="AU963">
        <v>2016</v>
      </c>
      <c r="AV963">
        <v>205</v>
      </c>
      <c r="AW963">
        <v>3</v>
      </c>
      <c r="AX963" t="s">
        <v>74</v>
      </c>
      <c r="AY963" t="s">
        <v>74</v>
      </c>
      <c r="AZ963" t="s">
        <v>74</v>
      </c>
      <c r="BA963" t="s">
        <v>74</v>
      </c>
      <c r="BB963">
        <v>1637</v>
      </c>
      <c r="BC963">
        <v>1664</v>
      </c>
      <c r="BD963" t="s">
        <v>74</v>
      </c>
      <c r="BE963" t="s">
        <v>18165</v>
      </c>
      <c r="BF963" t="str">
        <f>HYPERLINK("http://dx.doi.org/10.1093/gji/ggw087","http://dx.doi.org/10.1093/gji/ggw087")</f>
        <v>http://dx.doi.org/10.1093/gji/ggw087</v>
      </c>
      <c r="BG963" t="s">
        <v>74</v>
      </c>
      <c r="BH963" t="s">
        <v>74</v>
      </c>
      <c r="BI963">
        <v>28</v>
      </c>
      <c r="BJ963" t="s">
        <v>155</v>
      </c>
      <c r="BK963" t="s">
        <v>156</v>
      </c>
      <c r="BL963" t="s">
        <v>155</v>
      </c>
      <c r="BM963" t="s">
        <v>18166</v>
      </c>
      <c r="BN963" t="s">
        <v>74</v>
      </c>
      <c r="BO963" t="s">
        <v>18167</v>
      </c>
      <c r="BP963" t="s">
        <v>74</v>
      </c>
      <c r="BQ963" t="s">
        <v>74</v>
      </c>
      <c r="BR963" t="s">
        <v>105</v>
      </c>
      <c r="BS963" t="s">
        <v>18168</v>
      </c>
      <c r="BT963" t="str">
        <f>HYPERLINK("https%3A%2F%2Fwww.webofscience.com%2Fwos%2Fwoscc%2Ffull-record%2FWOS:000376380000021","View Full Record in Web of Science")</f>
        <v>View Full Record in Web of Science</v>
      </c>
    </row>
    <row r="964" spans="1:72" x14ac:dyDescent="0.15">
      <c r="A964" t="s">
        <v>72</v>
      </c>
      <c r="B964" t="s">
        <v>18169</v>
      </c>
      <c r="C964" t="s">
        <v>74</v>
      </c>
      <c r="D964" t="s">
        <v>74</v>
      </c>
      <c r="E964" t="s">
        <v>74</v>
      </c>
      <c r="F964" t="s">
        <v>18170</v>
      </c>
      <c r="G964" t="s">
        <v>74</v>
      </c>
      <c r="H964" t="s">
        <v>74</v>
      </c>
      <c r="I964" t="s">
        <v>18171</v>
      </c>
      <c r="J964" t="s">
        <v>1654</v>
      </c>
      <c r="K964" t="s">
        <v>74</v>
      </c>
      <c r="L964" t="s">
        <v>74</v>
      </c>
      <c r="M964" t="s">
        <v>78</v>
      </c>
      <c r="N964" t="s">
        <v>317</v>
      </c>
      <c r="O964" t="s">
        <v>74</v>
      </c>
      <c r="P964" t="s">
        <v>74</v>
      </c>
      <c r="Q964" t="s">
        <v>74</v>
      </c>
      <c r="R964" t="s">
        <v>74</v>
      </c>
      <c r="S964" t="s">
        <v>74</v>
      </c>
      <c r="T964" t="s">
        <v>18172</v>
      </c>
      <c r="U964" t="s">
        <v>18173</v>
      </c>
      <c r="V964" t="s">
        <v>18174</v>
      </c>
      <c r="W964" t="s">
        <v>18175</v>
      </c>
      <c r="X964" t="s">
        <v>18176</v>
      </c>
      <c r="Y964" t="s">
        <v>18177</v>
      </c>
      <c r="Z964" t="s">
        <v>18178</v>
      </c>
      <c r="AA964" t="s">
        <v>18179</v>
      </c>
      <c r="AB964" t="s">
        <v>18180</v>
      </c>
      <c r="AC964" t="s">
        <v>18181</v>
      </c>
      <c r="AD964" t="s">
        <v>18182</v>
      </c>
      <c r="AE964" t="s">
        <v>18183</v>
      </c>
      <c r="AF964" t="s">
        <v>74</v>
      </c>
      <c r="AG964">
        <v>91</v>
      </c>
      <c r="AH964">
        <v>20</v>
      </c>
      <c r="AI964">
        <v>21</v>
      </c>
      <c r="AJ964">
        <v>0</v>
      </c>
      <c r="AK964">
        <v>23</v>
      </c>
      <c r="AL964" t="s">
        <v>303</v>
      </c>
      <c r="AM964" t="s">
        <v>304</v>
      </c>
      <c r="AN964" t="s">
        <v>305</v>
      </c>
      <c r="AO964" t="s">
        <v>1666</v>
      </c>
      <c r="AP964" t="s">
        <v>74</v>
      </c>
      <c r="AQ964" t="s">
        <v>74</v>
      </c>
      <c r="AR964" t="s">
        <v>1668</v>
      </c>
      <c r="AS964" t="s">
        <v>1669</v>
      </c>
      <c r="AT964" t="s">
        <v>17000</v>
      </c>
      <c r="AU964">
        <v>2016</v>
      </c>
      <c r="AV964">
        <v>141</v>
      </c>
      <c r="AW964" t="s">
        <v>74</v>
      </c>
      <c r="AX964" t="s">
        <v>74</v>
      </c>
      <c r="AY964" t="s">
        <v>74</v>
      </c>
      <c r="AZ964" t="s">
        <v>74</v>
      </c>
      <c r="BA964" t="s">
        <v>74</v>
      </c>
      <c r="BB964">
        <v>26</v>
      </c>
      <c r="BC964">
        <v>37</v>
      </c>
      <c r="BD964" t="s">
        <v>74</v>
      </c>
      <c r="BE964" t="s">
        <v>18184</v>
      </c>
      <c r="BF964" t="str">
        <f>HYPERLINK("http://dx.doi.org/10.1016/j.quascirev.2016.03.023","http://dx.doi.org/10.1016/j.quascirev.2016.03.023")</f>
        <v>http://dx.doi.org/10.1016/j.quascirev.2016.03.023</v>
      </c>
      <c r="BG964" t="s">
        <v>74</v>
      </c>
      <c r="BH964" t="s">
        <v>74</v>
      </c>
      <c r="BI964">
        <v>12</v>
      </c>
      <c r="BJ964" t="s">
        <v>203</v>
      </c>
      <c r="BK964" t="s">
        <v>156</v>
      </c>
      <c r="BL964" t="s">
        <v>204</v>
      </c>
      <c r="BM964" t="s">
        <v>18185</v>
      </c>
      <c r="BN964" t="s">
        <v>74</v>
      </c>
      <c r="BO964" t="s">
        <v>104</v>
      </c>
      <c r="BP964" t="s">
        <v>74</v>
      </c>
      <c r="BQ964" t="s">
        <v>74</v>
      </c>
      <c r="BR964" t="s">
        <v>105</v>
      </c>
      <c r="BS964" t="s">
        <v>18186</v>
      </c>
      <c r="BT964" t="str">
        <f>HYPERLINK("https%3A%2F%2Fwww.webofscience.com%2Fwos%2Fwoscc%2Ffull-record%2FWOS:000376699800003","View Full Record in Web of Science")</f>
        <v>View Full Record in Web of Science</v>
      </c>
    </row>
    <row r="965" spans="1:72" x14ac:dyDescent="0.15">
      <c r="A965" t="s">
        <v>72</v>
      </c>
      <c r="B965" t="s">
        <v>18187</v>
      </c>
      <c r="C965" t="s">
        <v>74</v>
      </c>
      <c r="D965" t="s">
        <v>74</v>
      </c>
      <c r="E965" t="s">
        <v>74</v>
      </c>
      <c r="F965" t="s">
        <v>18188</v>
      </c>
      <c r="G965" t="s">
        <v>74</v>
      </c>
      <c r="H965" t="s">
        <v>74</v>
      </c>
      <c r="I965" t="s">
        <v>18189</v>
      </c>
      <c r="J965" t="s">
        <v>3176</v>
      </c>
      <c r="K965" t="s">
        <v>74</v>
      </c>
      <c r="L965" t="s">
        <v>74</v>
      </c>
      <c r="M965" t="s">
        <v>78</v>
      </c>
      <c r="N965" t="s">
        <v>79</v>
      </c>
      <c r="O965" t="s">
        <v>74</v>
      </c>
      <c r="P965" t="s">
        <v>74</v>
      </c>
      <c r="Q965" t="s">
        <v>74</v>
      </c>
      <c r="R965" t="s">
        <v>74</v>
      </c>
      <c r="S965" t="s">
        <v>74</v>
      </c>
      <c r="T965" t="s">
        <v>18190</v>
      </c>
      <c r="U965" t="s">
        <v>18191</v>
      </c>
      <c r="V965" t="s">
        <v>18192</v>
      </c>
      <c r="W965" t="s">
        <v>18193</v>
      </c>
      <c r="X965" t="s">
        <v>18194</v>
      </c>
      <c r="Y965" t="s">
        <v>18195</v>
      </c>
      <c r="Z965" t="s">
        <v>18196</v>
      </c>
      <c r="AA965" t="s">
        <v>18197</v>
      </c>
      <c r="AB965" t="s">
        <v>18198</v>
      </c>
      <c r="AC965" t="s">
        <v>18199</v>
      </c>
      <c r="AD965" t="s">
        <v>18200</v>
      </c>
      <c r="AE965" t="s">
        <v>18201</v>
      </c>
      <c r="AF965" t="s">
        <v>74</v>
      </c>
      <c r="AG965">
        <v>178</v>
      </c>
      <c r="AH965">
        <v>32</v>
      </c>
      <c r="AI965">
        <v>33</v>
      </c>
      <c r="AJ965">
        <v>0</v>
      </c>
      <c r="AK965">
        <v>19</v>
      </c>
      <c r="AL965" t="s">
        <v>2670</v>
      </c>
      <c r="AM965" t="s">
        <v>594</v>
      </c>
      <c r="AN965" t="s">
        <v>3187</v>
      </c>
      <c r="AO965" t="s">
        <v>3188</v>
      </c>
      <c r="AP965" t="s">
        <v>3189</v>
      </c>
      <c r="AQ965" t="s">
        <v>74</v>
      </c>
      <c r="AR965" t="s">
        <v>3190</v>
      </c>
      <c r="AS965" t="s">
        <v>3191</v>
      </c>
      <c r="AT965" t="s">
        <v>16960</v>
      </c>
      <c r="AU965">
        <v>2016</v>
      </c>
      <c r="AV965">
        <v>28</v>
      </c>
      <c r="AW965">
        <v>3</v>
      </c>
      <c r="AX965" t="s">
        <v>74</v>
      </c>
      <c r="AY965" t="s">
        <v>74</v>
      </c>
      <c r="AZ965" t="s">
        <v>74</v>
      </c>
      <c r="BA965" t="s">
        <v>74</v>
      </c>
      <c r="BB965">
        <v>153</v>
      </c>
      <c r="BC965">
        <v>173</v>
      </c>
      <c r="BD965" t="s">
        <v>74</v>
      </c>
      <c r="BE965" t="s">
        <v>18202</v>
      </c>
      <c r="BF965" t="str">
        <f>HYPERLINK("http://dx.doi.org/10.1017/S0954102016000018","http://dx.doi.org/10.1017/S0954102016000018")</f>
        <v>http://dx.doi.org/10.1017/S0954102016000018</v>
      </c>
      <c r="BG965" t="s">
        <v>74</v>
      </c>
      <c r="BH965" t="s">
        <v>74</v>
      </c>
      <c r="BI965">
        <v>21</v>
      </c>
      <c r="BJ965" t="s">
        <v>3193</v>
      </c>
      <c r="BK965" t="s">
        <v>156</v>
      </c>
      <c r="BL965" t="s">
        <v>3194</v>
      </c>
      <c r="BM965" t="s">
        <v>18203</v>
      </c>
      <c r="BN965" t="s">
        <v>74</v>
      </c>
      <c r="BO965" t="s">
        <v>1002</v>
      </c>
      <c r="BP965" t="s">
        <v>74</v>
      </c>
      <c r="BQ965" t="s">
        <v>74</v>
      </c>
      <c r="BR965" t="s">
        <v>105</v>
      </c>
      <c r="BS965" t="s">
        <v>18204</v>
      </c>
      <c r="BT965" t="str">
        <f>HYPERLINK("https%3A%2F%2Fwww.webofscience.com%2Fwos%2Fwoscc%2Ffull-record%2FWOS:000376039000002","View Full Record in Web of Science")</f>
        <v>View Full Record in Web of Science</v>
      </c>
    </row>
    <row r="966" spans="1:72" x14ac:dyDescent="0.15">
      <c r="A966" t="s">
        <v>72</v>
      </c>
      <c r="B966" t="s">
        <v>18205</v>
      </c>
      <c r="C966" t="s">
        <v>74</v>
      </c>
      <c r="D966" t="s">
        <v>74</v>
      </c>
      <c r="E966" t="s">
        <v>74</v>
      </c>
      <c r="F966" t="s">
        <v>18206</v>
      </c>
      <c r="G966" t="s">
        <v>74</v>
      </c>
      <c r="H966" t="s">
        <v>74</v>
      </c>
      <c r="I966" t="s">
        <v>18207</v>
      </c>
      <c r="J966" t="s">
        <v>3176</v>
      </c>
      <c r="K966" t="s">
        <v>74</v>
      </c>
      <c r="L966" t="s">
        <v>74</v>
      </c>
      <c r="M966" t="s">
        <v>78</v>
      </c>
      <c r="N966" t="s">
        <v>79</v>
      </c>
      <c r="O966" t="s">
        <v>74</v>
      </c>
      <c r="P966" t="s">
        <v>74</v>
      </c>
      <c r="Q966" t="s">
        <v>74</v>
      </c>
      <c r="R966" t="s">
        <v>74</v>
      </c>
      <c r="S966" t="s">
        <v>74</v>
      </c>
      <c r="T966" t="s">
        <v>18208</v>
      </c>
      <c r="U966" t="s">
        <v>18209</v>
      </c>
      <c r="V966" t="s">
        <v>18210</v>
      </c>
      <c r="W966" t="s">
        <v>18211</v>
      </c>
      <c r="X966" t="s">
        <v>13471</v>
      </c>
      <c r="Y966" t="s">
        <v>18212</v>
      </c>
      <c r="Z966" t="s">
        <v>18213</v>
      </c>
      <c r="AA966" t="s">
        <v>74</v>
      </c>
      <c r="AB966" t="s">
        <v>74</v>
      </c>
      <c r="AC966" t="s">
        <v>18214</v>
      </c>
      <c r="AD966" t="s">
        <v>18215</v>
      </c>
      <c r="AE966" t="s">
        <v>18216</v>
      </c>
      <c r="AF966" t="s">
        <v>74</v>
      </c>
      <c r="AG966">
        <v>39</v>
      </c>
      <c r="AH966">
        <v>9</v>
      </c>
      <c r="AI966">
        <v>10</v>
      </c>
      <c r="AJ966">
        <v>0</v>
      </c>
      <c r="AK966">
        <v>5</v>
      </c>
      <c r="AL966" t="s">
        <v>2670</v>
      </c>
      <c r="AM966" t="s">
        <v>594</v>
      </c>
      <c r="AN966" t="s">
        <v>3187</v>
      </c>
      <c r="AO966" t="s">
        <v>3188</v>
      </c>
      <c r="AP966" t="s">
        <v>3189</v>
      </c>
      <c r="AQ966" t="s">
        <v>74</v>
      </c>
      <c r="AR966" t="s">
        <v>3190</v>
      </c>
      <c r="AS966" t="s">
        <v>3191</v>
      </c>
      <c r="AT966" t="s">
        <v>16960</v>
      </c>
      <c r="AU966">
        <v>2016</v>
      </c>
      <c r="AV966">
        <v>28</v>
      </c>
      <c r="AW966">
        <v>3</v>
      </c>
      <c r="AX966" t="s">
        <v>74</v>
      </c>
      <c r="AY966" t="s">
        <v>74</v>
      </c>
      <c r="AZ966" t="s">
        <v>74</v>
      </c>
      <c r="BA966" t="s">
        <v>74</v>
      </c>
      <c r="BB966">
        <v>205</v>
      </c>
      <c r="BC966">
        <v>215</v>
      </c>
      <c r="BD966" t="s">
        <v>74</v>
      </c>
      <c r="BE966" t="s">
        <v>18217</v>
      </c>
      <c r="BF966" t="str">
        <f>HYPERLINK("http://dx.doi.org/10.1017/S0954102015000656","http://dx.doi.org/10.1017/S0954102015000656")</f>
        <v>http://dx.doi.org/10.1017/S0954102015000656</v>
      </c>
      <c r="BG966" t="s">
        <v>74</v>
      </c>
      <c r="BH966" t="s">
        <v>74</v>
      </c>
      <c r="BI966">
        <v>11</v>
      </c>
      <c r="BJ966" t="s">
        <v>3193</v>
      </c>
      <c r="BK966" t="s">
        <v>156</v>
      </c>
      <c r="BL966" t="s">
        <v>3194</v>
      </c>
      <c r="BM966" t="s">
        <v>18203</v>
      </c>
      <c r="BN966" t="s">
        <v>74</v>
      </c>
      <c r="BO966" t="s">
        <v>74</v>
      </c>
      <c r="BP966" t="s">
        <v>74</v>
      </c>
      <c r="BQ966" t="s">
        <v>74</v>
      </c>
      <c r="BR966" t="s">
        <v>105</v>
      </c>
      <c r="BS966" t="s">
        <v>18218</v>
      </c>
      <c r="BT966" t="str">
        <f>HYPERLINK("https%3A%2F%2Fwww.webofscience.com%2Fwos%2Fwoscc%2Ffull-record%2FWOS:000376039000006","View Full Record in Web of Science")</f>
        <v>View Full Record in Web of Science</v>
      </c>
    </row>
    <row r="967" spans="1:72" x14ac:dyDescent="0.15">
      <c r="A967" t="s">
        <v>72</v>
      </c>
      <c r="B967" t="s">
        <v>18219</v>
      </c>
      <c r="C967" t="s">
        <v>74</v>
      </c>
      <c r="D967" t="s">
        <v>74</v>
      </c>
      <c r="E967" t="s">
        <v>74</v>
      </c>
      <c r="F967" t="s">
        <v>18220</v>
      </c>
      <c r="G967" t="s">
        <v>74</v>
      </c>
      <c r="H967" t="s">
        <v>74</v>
      </c>
      <c r="I967" t="s">
        <v>18221</v>
      </c>
      <c r="J967" t="s">
        <v>3176</v>
      </c>
      <c r="K967" t="s">
        <v>74</v>
      </c>
      <c r="L967" t="s">
        <v>74</v>
      </c>
      <c r="M967" t="s">
        <v>78</v>
      </c>
      <c r="N967" t="s">
        <v>79</v>
      </c>
      <c r="O967" t="s">
        <v>74</v>
      </c>
      <c r="P967" t="s">
        <v>74</v>
      </c>
      <c r="Q967" t="s">
        <v>74</v>
      </c>
      <c r="R967" t="s">
        <v>74</v>
      </c>
      <c r="S967" t="s">
        <v>74</v>
      </c>
      <c r="T967" t="s">
        <v>74</v>
      </c>
      <c r="U967" t="s">
        <v>74</v>
      </c>
      <c r="V967" t="s">
        <v>74</v>
      </c>
      <c r="W967" t="s">
        <v>18222</v>
      </c>
      <c r="X967" t="s">
        <v>18223</v>
      </c>
      <c r="Y967" t="s">
        <v>18224</v>
      </c>
      <c r="Z967" t="s">
        <v>18225</v>
      </c>
      <c r="AA967" t="s">
        <v>18226</v>
      </c>
      <c r="AB967" t="s">
        <v>18227</v>
      </c>
      <c r="AC967" t="s">
        <v>18228</v>
      </c>
      <c r="AD967" t="s">
        <v>18229</v>
      </c>
      <c r="AE967" t="s">
        <v>18230</v>
      </c>
      <c r="AF967" t="s">
        <v>74</v>
      </c>
      <c r="AG967">
        <v>7</v>
      </c>
      <c r="AH967">
        <v>3</v>
      </c>
      <c r="AI967">
        <v>4</v>
      </c>
      <c r="AJ967">
        <v>0</v>
      </c>
      <c r="AK967">
        <v>4</v>
      </c>
      <c r="AL967" t="s">
        <v>2670</v>
      </c>
      <c r="AM967" t="s">
        <v>594</v>
      </c>
      <c r="AN967" t="s">
        <v>3187</v>
      </c>
      <c r="AO967" t="s">
        <v>3188</v>
      </c>
      <c r="AP967" t="s">
        <v>3189</v>
      </c>
      <c r="AQ967" t="s">
        <v>74</v>
      </c>
      <c r="AR967" t="s">
        <v>3190</v>
      </c>
      <c r="AS967" t="s">
        <v>3191</v>
      </c>
      <c r="AT967" t="s">
        <v>16960</v>
      </c>
      <c r="AU967">
        <v>2016</v>
      </c>
      <c r="AV967">
        <v>28</v>
      </c>
      <c r="AW967">
        <v>3</v>
      </c>
      <c r="AX967" t="s">
        <v>74</v>
      </c>
      <c r="AY967" t="s">
        <v>74</v>
      </c>
      <c r="AZ967" t="s">
        <v>74</v>
      </c>
      <c r="BA967" t="s">
        <v>74</v>
      </c>
      <c r="BB967">
        <v>217</v>
      </c>
      <c r="BC967">
        <v>218</v>
      </c>
      <c r="BD967" t="s">
        <v>74</v>
      </c>
      <c r="BE967" t="s">
        <v>18231</v>
      </c>
      <c r="BF967" t="str">
        <f>HYPERLINK("http://dx.doi.org/10.1017/S0954102015000668","http://dx.doi.org/10.1017/S0954102015000668")</f>
        <v>http://dx.doi.org/10.1017/S0954102015000668</v>
      </c>
      <c r="BG967" t="s">
        <v>74</v>
      </c>
      <c r="BH967" t="s">
        <v>74</v>
      </c>
      <c r="BI967">
        <v>2</v>
      </c>
      <c r="BJ967" t="s">
        <v>3193</v>
      </c>
      <c r="BK967" t="s">
        <v>156</v>
      </c>
      <c r="BL967" t="s">
        <v>3194</v>
      </c>
      <c r="BM967" t="s">
        <v>18203</v>
      </c>
      <c r="BN967" t="s">
        <v>74</v>
      </c>
      <c r="BO967" t="s">
        <v>74</v>
      </c>
      <c r="BP967" t="s">
        <v>74</v>
      </c>
      <c r="BQ967" t="s">
        <v>74</v>
      </c>
      <c r="BR967" t="s">
        <v>105</v>
      </c>
      <c r="BS967" t="s">
        <v>18232</v>
      </c>
      <c r="BT967" t="str">
        <f>HYPERLINK("https%3A%2F%2Fwww.webofscience.com%2Fwos%2Fwoscc%2Ffull-record%2FWOS:000376039000007","View Full Record in Web of Science")</f>
        <v>View Full Record in Web of Science</v>
      </c>
    </row>
    <row r="968" spans="1:72" x14ac:dyDescent="0.15">
      <c r="A968" t="s">
        <v>72</v>
      </c>
      <c r="B968" t="s">
        <v>18233</v>
      </c>
      <c r="C968" t="s">
        <v>74</v>
      </c>
      <c r="D968" t="s">
        <v>74</v>
      </c>
      <c r="E968" t="s">
        <v>74</v>
      </c>
      <c r="F968" t="s">
        <v>18234</v>
      </c>
      <c r="G968" t="s">
        <v>74</v>
      </c>
      <c r="H968" t="s">
        <v>74</v>
      </c>
      <c r="I968" t="s">
        <v>18235</v>
      </c>
      <c r="J968" t="s">
        <v>3176</v>
      </c>
      <c r="K968" t="s">
        <v>74</v>
      </c>
      <c r="L968" t="s">
        <v>74</v>
      </c>
      <c r="M968" t="s">
        <v>78</v>
      </c>
      <c r="N968" t="s">
        <v>79</v>
      </c>
      <c r="O968" t="s">
        <v>74</v>
      </c>
      <c r="P968" t="s">
        <v>74</v>
      </c>
      <c r="Q968" t="s">
        <v>74</v>
      </c>
      <c r="R968" t="s">
        <v>74</v>
      </c>
      <c r="S968" t="s">
        <v>74</v>
      </c>
      <c r="T968" t="s">
        <v>18236</v>
      </c>
      <c r="U968" t="s">
        <v>18237</v>
      </c>
      <c r="V968" t="s">
        <v>18238</v>
      </c>
      <c r="W968" t="s">
        <v>18239</v>
      </c>
      <c r="X968" t="s">
        <v>18240</v>
      </c>
      <c r="Y968" t="s">
        <v>18241</v>
      </c>
      <c r="Z968" t="s">
        <v>18242</v>
      </c>
      <c r="AA968" t="s">
        <v>18243</v>
      </c>
      <c r="AB968" t="s">
        <v>18244</v>
      </c>
      <c r="AC968" t="s">
        <v>18245</v>
      </c>
      <c r="AD968" t="s">
        <v>18246</v>
      </c>
      <c r="AE968" t="s">
        <v>18247</v>
      </c>
      <c r="AF968" t="s">
        <v>74</v>
      </c>
      <c r="AG968">
        <v>40</v>
      </c>
      <c r="AH968">
        <v>1</v>
      </c>
      <c r="AI968">
        <v>2</v>
      </c>
      <c r="AJ968">
        <v>0</v>
      </c>
      <c r="AK968">
        <v>17</v>
      </c>
      <c r="AL968" t="s">
        <v>2670</v>
      </c>
      <c r="AM968" t="s">
        <v>594</v>
      </c>
      <c r="AN968" t="s">
        <v>3187</v>
      </c>
      <c r="AO968" t="s">
        <v>3188</v>
      </c>
      <c r="AP968" t="s">
        <v>3189</v>
      </c>
      <c r="AQ968" t="s">
        <v>74</v>
      </c>
      <c r="AR968" t="s">
        <v>3190</v>
      </c>
      <c r="AS968" t="s">
        <v>3191</v>
      </c>
      <c r="AT968" t="s">
        <v>16960</v>
      </c>
      <c r="AU968">
        <v>2016</v>
      </c>
      <c r="AV968">
        <v>28</v>
      </c>
      <c r="AW968">
        <v>3</v>
      </c>
      <c r="AX968" t="s">
        <v>74</v>
      </c>
      <c r="AY968" t="s">
        <v>74</v>
      </c>
      <c r="AZ968" t="s">
        <v>74</v>
      </c>
      <c r="BA968" t="s">
        <v>74</v>
      </c>
      <c r="BB968">
        <v>219</v>
      </c>
      <c r="BC968">
        <v>231</v>
      </c>
      <c r="BD968" t="s">
        <v>74</v>
      </c>
      <c r="BE968" t="s">
        <v>18248</v>
      </c>
      <c r="BF968" t="str">
        <f>HYPERLINK("http://dx.doi.org/10.1017/S0954102015000589","http://dx.doi.org/10.1017/S0954102015000589")</f>
        <v>http://dx.doi.org/10.1017/S0954102015000589</v>
      </c>
      <c r="BG968" t="s">
        <v>74</v>
      </c>
      <c r="BH968" t="s">
        <v>74</v>
      </c>
      <c r="BI968">
        <v>13</v>
      </c>
      <c r="BJ968" t="s">
        <v>3193</v>
      </c>
      <c r="BK968" t="s">
        <v>156</v>
      </c>
      <c r="BL968" t="s">
        <v>3194</v>
      </c>
      <c r="BM968" t="s">
        <v>18203</v>
      </c>
      <c r="BN968" t="s">
        <v>74</v>
      </c>
      <c r="BO968" t="s">
        <v>74</v>
      </c>
      <c r="BP968" t="s">
        <v>74</v>
      </c>
      <c r="BQ968" t="s">
        <v>74</v>
      </c>
      <c r="BR968" t="s">
        <v>105</v>
      </c>
      <c r="BS968" t="s">
        <v>18249</v>
      </c>
      <c r="BT968" t="str">
        <f>HYPERLINK("https%3A%2F%2Fwww.webofscience.com%2Fwos%2Fwoscc%2Ffull-record%2FWOS:000376039000008","View Full Record in Web of Science")</f>
        <v>View Full Record in Web of Science</v>
      </c>
    </row>
    <row r="969" spans="1:72" x14ac:dyDescent="0.15">
      <c r="A969" t="s">
        <v>72</v>
      </c>
      <c r="B969" t="s">
        <v>18250</v>
      </c>
      <c r="C969" t="s">
        <v>74</v>
      </c>
      <c r="D969" t="s">
        <v>74</v>
      </c>
      <c r="E969" t="s">
        <v>74</v>
      </c>
      <c r="F969" t="s">
        <v>18251</v>
      </c>
      <c r="G969" t="s">
        <v>74</v>
      </c>
      <c r="H969" t="s">
        <v>74</v>
      </c>
      <c r="I969" t="s">
        <v>18252</v>
      </c>
      <c r="J969" t="s">
        <v>17963</v>
      </c>
      <c r="K969" t="s">
        <v>74</v>
      </c>
      <c r="L969" t="s">
        <v>74</v>
      </c>
      <c r="M969" t="s">
        <v>78</v>
      </c>
      <c r="N969" t="s">
        <v>79</v>
      </c>
      <c r="O969" t="s">
        <v>74</v>
      </c>
      <c r="P969" t="s">
        <v>74</v>
      </c>
      <c r="Q969" t="s">
        <v>74</v>
      </c>
      <c r="R969" t="s">
        <v>74</v>
      </c>
      <c r="S969" t="s">
        <v>74</v>
      </c>
      <c r="T969" t="s">
        <v>74</v>
      </c>
      <c r="U969" t="s">
        <v>18253</v>
      </c>
      <c r="V969" t="s">
        <v>18254</v>
      </c>
      <c r="W969" t="s">
        <v>18255</v>
      </c>
      <c r="X969" t="s">
        <v>18256</v>
      </c>
      <c r="Y969" t="s">
        <v>18257</v>
      </c>
      <c r="Z969" t="s">
        <v>2084</v>
      </c>
      <c r="AA969" t="s">
        <v>18258</v>
      </c>
      <c r="AB969" t="s">
        <v>18259</v>
      </c>
      <c r="AC969" t="s">
        <v>18260</v>
      </c>
      <c r="AD969" t="s">
        <v>18261</v>
      </c>
      <c r="AE969" t="s">
        <v>18262</v>
      </c>
      <c r="AF969" t="s">
        <v>74</v>
      </c>
      <c r="AG969">
        <v>54</v>
      </c>
      <c r="AH969">
        <v>19</v>
      </c>
      <c r="AI969">
        <v>22</v>
      </c>
      <c r="AJ969">
        <v>1</v>
      </c>
      <c r="AK969">
        <v>25</v>
      </c>
      <c r="AL969" t="s">
        <v>122</v>
      </c>
      <c r="AM969" t="s">
        <v>123</v>
      </c>
      <c r="AN969" t="s">
        <v>124</v>
      </c>
      <c r="AO969" t="s">
        <v>17975</v>
      </c>
      <c r="AP969" t="s">
        <v>17976</v>
      </c>
      <c r="AQ969" t="s">
        <v>74</v>
      </c>
      <c r="AR969" t="s">
        <v>17977</v>
      </c>
      <c r="AS969" t="s">
        <v>17978</v>
      </c>
      <c r="AT969" t="s">
        <v>16960</v>
      </c>
      <c r="AU969">
        <v>2016</v>
      </c>
      <c r="AV969">
        <v>82</v>
      </c>
      <c r="AW969">
        <v>11</v>
      </c>
      <c r="AX969" t="s">
        <v>74</v>
      </c>
      <c r="AY969" t="s">
        <v>74</v>
      </c>
      <c r="AZ969" t="s">
        <v>74</v>
      </c>
      <c r="BA969" t="s">
        <v>74</v>
      </c>
      <c r="BB969">
        <v>3165</v>
      </c>
      <c r="BC969">
        <v>3173</v>
      </c>
      <c r="BD969" t="s">
        <v>74</v>
      </c>
      <c r="BE969" t="s">
        <v>18263</v>
      </c>
      <c r="BF969" t="str">
        <f>HYPERLINK("http://dx.doi.org/10.1128/AEM.00473-16","http://dx.doi.org/10.1128/AEM.00473-16")</f>
        <v>http://dx.doi.org/10.1128/AEM.00473-16</v>
      </c>
      <c r="BG969" t="s">
        <v>74</v>
      </c>
      <c r="BH969" t="s">
        <v>74</v>
      </c>
      <c r="BI969">
        <v>9</v>
      </c>
      <c r="BJ969" t="s">
        <v>14139</v>
      </c>
      <c r="BK969" t="s">
        <v>156</v>
      </c>
      <c r="BL969" t="s">
        <v>14139</v>
      </c>
      <c r="BM969" t="s">
        <v>18264</v>
      </c>
      <c r="BN969">
        <v>26994078</v>
      </c>
      <c r="BO969" t="s">
        <v>2462</v>
      </c>
      <c r="BP969" t="s">
        <v>74</v>
      </c>
      <c r="BQ969" t="s">
        <v>74</v>
      </c>
      <c r="BR969" t="s">
        <v>105</v>
      </c>
      <c r="BS969" t="s">
        <v>18265</v>
      </c>
      <c r="BT969" t="str">
        <f>HYPERLINK("https%3A%2F%2Fwww.webofscience.com%2Fwos%2Fwoscc%2Ffull-record%2FWOS:000376159400002","View Full Record in Web of Science")</f>
        <v>View Full Record in Web of Science</v>
      </c>
    </row>
    <row r="970" spans="1:72" x14ac:dyDescent="0.15">
      <c r="A970" t="s">
        <v>72</v>
      </c>
      <c r="B970" t="s">
        <v>18266</v>
      </c>
      <c r="C970" t="s">
        <v>74</v>
      </c>
      <c r="D970" t="s">
        <v>74</v>
      </c>
      <c r="E970" t="s">
        <v>74</v>
      </c>
      <c r="F970" t="s">
        <v>18267</v>
      </c>
      <c r="G970" t="s">
        <v>74</v>
      </c>
      <c r="H970" t="s">
        <v>74</v>
      </c>
      <c r="I970" t="s">
        <v>18268</v>
      </c>
      <c r="J970" t="s">
        <v>3036</v>
      </c>
      <c r="K970" t="s">
        <v>74</v>
      </c>
      <c r="L970" t="s">
        <v>74</v>
      </c>
      <c r="M970" t="s">
        <v>78</v>
      </c>
      <c r="N970" t="s">
        <v>79</v>
      </c>
      <c r="O970" t="s">
        <v>74</v>
      </c>
      <c r="P970" t="s">
        <v>74</v>
      </c>
      <c r="Q970" t="s">
        <v>74</v>
      </c>
      <c r="R970" t="s">
        <v>74</v>
      </c>
      <c r="S970" t="s">
        <v>74</v>
      </c>
      <c r="T970" t="s">
        <v>74</v>
      </c>
      <c r="U970" t="s">
        <v>18269</v>
      </c>
      <c r="V970" t="s">
        <v>18270</v>
      </c>
      <c r="W970" t="s">
        <v>18271</v>
      </c>
      <c r="X970" t="s">
        <v>12774</v>
      </c>
      <c r="Y970" t="s">
        <v>18272</v>
      </c>
      <c r="Z970" t="s">
        <v>18273</v>
      </c>
      <c r="AA970" t="s">
        <v>18274</v>
      </c>
      <c r="AB970" t="s">
        <v>18275</v>
      </c>
      <c r="AC970" t="s">
        <v>18276</v>
      </c>
      <c r="AD970" t="s">
        <v>18277</v>
      </c>
      <c r="AE970" t="s">
        <v>18278</v>
      </c>
      <c r="AF970" t="s">
        <v>74</v>
      </c>
      <c r="AG970">
        <v>58</v>
      </c>
      <c r="AH970">
        <v>22</v>
      </c>
      <c r="AI970">
        <v>28</v>
      </c>
      <c r="AJ970">
        <v>1</v>
      </c>
      <c r="AK970">
        <v>13</v>
      </c>
      <c r="AL970" t="s">
        <v>397</v>
      </c>
      <c r="AM970" t="s">
        <v>398</v>
      </c>
      <c r="AN970" t="s">
        <v>399</v>
      </c>
      <c r="AO970" t="s">
        <v>3048</v>
      </c>
      <c r="AP970" t="s">
        <v>3049</v>
      </c>
      <c r="AQ970" t="s">
        <v>74</v>
      </c>
      <c r="AR970" t="s">
        <v>3050</v>
      </c>
      <c r="AS970" t="s">
        <v>3051</v>
      </c>
      <c r="AT970" t="s">
        <v>16960</v>
      </c>
      <c r="AU970">
        <v>2016</v>
      </c>
      <c r="AV970">
        <v>29</v>
      </c>
      <c r="AW970">
        <v>11</v>
      </c>
      <c r="AX970" t="s">
        <v>74</v>
      </c>
      <c r="AY970" t="s">
        <v>74</v>
      </c>
      <c r="AZ970" t="s">
        <v>74</v>
      </c>
      <c r="BA970" t="s">
        <v>74</v>
      </c>
      <c r="BB970">
        <v>4137</v>
      </c>
      <c r="BC970">
        <v>4153</v>
      </c>
      <c r="BD970" t="s">
        <v>74</v>
      </c>
      <c r="BE970" t="s">
        <v>18279</v>
      </c>
      <c r="BF970" t="str">
        <f>HYPERLINK("http://dx.doi.org/10.1175/JCLI-D-15-0442.1","http://dx.doi.org/10.1175/JCLI-D-15-0442.1")</f>
        <v>http://dx.doi.org/10.1175/JCLI-D-15-0442.1</v>
      </c>
      <c r="BG970" t="s">
        <v>74</v>
      </c>
      <c r="BH970" t="s">
        <v>74</v>
      </c>
      <c r="BI970">
        <v>17</v>
      </c>
      <c r="BJ970" t="s">
        <v>2482</v>
      </c>
      <c r="BK970" t="s">
        <v>156</v>
      </c>
      <c r="BL970" t="s">
        <v>2482</v>
      </c>
      <c r="BM970" t="s">
        <v>18280</v>
      </c>
      <c r="BN970" t="s">
        <v>74</v>
      </c>
      <c r="BO970" t="s">
        <v>104</v>
      </c>
      <c r="BP970" t="s">
        <v>74</v>
      </c>
      <c r="BQ970" t="s">
        <v>74</v>
      </c>
      <c r="BR970" t="s">
        <v>105</v>
      </c>
      <c r="BS970" t="s">
        <v>18281</v>
      </c>
      <c r="BT970" t="str">
        <f>HYPERLINK("https%3A%2F%2Fwww.webofscience.com%2Fwos%2Fwoscc%2Ffull-record%2FWOS:000376197900013","View Full Record in Web of Science")</f>
        <v>View Full Record in Web of Science</v>
      </c>
    </row>
    <row r="971" spans="1:72" x14ac:dyDescent="0.15">
      <c r="A971" t="s">
        <v>72</v>
      </c>
      <c r="B971" t="s">
        <v>18282</v>
      </c>
      <c r="C971" t="s">
        <v>74</v>
      </c>
      <c r="D971" t="s">
        <v>74</v>
      </c>
      <c r="E971" t="s">
        <v>74</v>
      </c>
      <c r="F971" t="s">
        <v>18283</v>
      </c>
      <c r="G971" t="s">
        <v>74</v>
      </c>
      <c r="H971" t="s">
        <v>74</v>
      </c>
      <c r="I971" t="s">
        <v>18284</v>
      </c>
      <c r="J971" t="s">
        <v>12413</v>
      </c>
      <c r="K971" t="s">
        <v>74</v>
      </c>
      <c r="L971" t="s">
        <v>74</v>
      </c>
      <c r="M971" t="s">
        <v>78</v>
      </c>
      <c r="N971" t="s">
        <v>79</v>
      </c>
      <c r="O971" t="s">
        <v>74</v>
      </c>
      <c r="P971" t="s">
        <v>74</v>
      </c>
      <c r="Q971" t="s">
        <v>74</v>
      </c>
      <c r="R971" t="s">
        <v>74</v>
      </c>
      <c r="S971" t="s">
        <v>74</v>
      </c>
      <c r="T971" t="s">
        <v>18285</v>
      </c>
      <c r="U971" t="s">
        <v>18286</v>
      </c>
      <c r="V971" t="s">
        <v>18287</v>
      </c>
      <c r="W971" t="s">
        <v>18288</v>
      </c>
      <c r="X971" t="s">
        <v>18289</v>
      </c>
      <c r="Y971" t="s">
        <v>18290</v>
      </c>
      <c r="Z971" t="s">
        <v>18291</v>
      </c>
      <c r="AA971" t="s">
        <v>74</v>
      </c>
      <c r="AB971" t="s">
        <v>18292</v>
      </c>
      <c r="AC971" t="s">
        <v>18293</v>
      </c>
      <c r="AD971" t="s">
        <v>18294</v>
      </c>
      <c r="AE971" t="s">
        <v>18295</v>
      </c>
      <c r="AF971" t="s">
        <v>74</v>
      </c>
      <c r="AG971">
        <v>86</v>
      </c>
      <c r="AH971">
        <v>28</v>
      </c>
      <c r="AI971">
        <v>32</v>
      </c>
      <c r="AJ971">
        <v>0</v>
      </c>
      <c r="AK971">
        <v>24</v>
      </c>
      <c r="AL971" t="s">
        <v>196</v>
      </c>
      <c r="AM971" t="s">
        <v>93</v>
      </c>
      <c r="AN971" t="s">
        <v>197</v>
      </c>
      <c r="AO971" t="s">
        <v>12426</v>
      </c>
      <c r="AP971" t="s">
        <v>12427</v>
      </c>
      <c r="AQ971" t="s">
        <v>74</v>
      </c>
      <c r="AR971" t="s">
        <v>12428</v>
      </c>
      <c r="AS971" t="s">
        <v>12429</v>
      </c>
      <c r="AT971" t="s">
        <v>17000</v>
      </c>
      <c r="AU971">
        <v>2016</v>
      </c>
      <c r="AV971">
        <v>376</v>
      </c>
      <c r="AW971" t="s">
        <v>74</v>
      </c>
      <c r="AX971" t="s">
        <v>74</v>
      </c>
      <c r="AY971" t="s">
        <v>74</v>
      </c>
      <c r="AZ971" t="s">
        <v>74</v>
      </c>
      <c r="BA971" t="s">
        <v>74</v>
      </c>
      <c r="BB971">
        <v>69</v>
      </c>
      <c r="BC971">
        <v>85</v>
      </c>
      <c r="BD971" t="s">
        <v>74</v>
      </c>
      <c r="BE971" t="s">
        <v>18296</v>
      </c>
      <c r="BF971" t="str">
        <f>HYPERLINK("http://dx.doi.org/10.1016/j.margeo.2016.03.013","http://dx.doi.org/10.1016/j.margeo.2016.03.013")</f>
        <v>http://dx.doi.org/10.1016/j.margeo.2016.03.013</v>
      </c>
      <c r="BG971" t="s">
        <v>74</v>
      </c>
      <c r="BH971" t="s">
        <v>74</v>
      </c>
      <c r="BI971">
        <v>17</v>
      </c>
      <c r="BJ971" t="s">
        <v>11313</v>
      </c>
      <c r="BK971" t="s">
        <v>156</v>
      </c>
      <c r="BL971" t="s">
        <v>11314</v>
      </c>
      <c r="BM971" t="s">
        <v>18297</v>
      </c>
      <c r="BN971" t="s">
        <v>74</v>
      </c>
      <c r="BO971" t="s">
        <v>74</v>
      </c>
      <c r="BP971" t="s">
        <v>74</v>
      </c>
      <c r="BQ971" t="s">
        <v>74</v>
      </c>
      <c r="BR971" t="s">
        <v>105</v>
      </c>
      <c r="BS971" t="s">
        <v>18298</v>
      </c>
      <c r="BT971" t="str">
        <f>HYPERLINK("https%3A%2F%2Fwww.webofscience.com%2Fwos%2Fwoscc%2Ffull-record%2FWOS:000376050500006","View Full Record in Web of Science")</f>
        <v>View Full Record in Web of Science</v>
      </c>
    </row>
    <row r="972" spans="1:72" x14ac:dyDescent="0.15">
      <c r="A972" t="s">
        <v>72</v>
      </c>
      <c r="B972" t="s">
        <v>18299</v>
      </c>
      <c r="C972" t="s">
        <v>74</v>
      </c>
      <c r="D972" t="s">
        <v>74</v>
      </c>
      <c r="E972" t="s">
        <v>74</v>
      </c>
      <c r="F972" t="s">
        <v>18300</v>
      </c>
      <c r="G972" t="s">
        <v>74</v>
      </c>
      <c r="H972" t="s">
        <v>74</v>
      </c>
      <c r="I972" t="s">
        <v>18301</v>
      </c>
      <c r="J972" t="s">
        <v>5055</v>
      </c>
      <c r="K972" t="s">
        <v>74</v>
      </c>
      <c r="L972" t="s">
        <v>74</v>
      </c>
      <c r="M972" t="s">
        <v>78</v>
      </c>
      <c r="N972" t="s">
        <v>79</v>
      </c>
      <c r="O972" t="s">
        <v>74</v>
      </c>
      <c r="P972" t="s">
        <v>74</v>
      </c>
      <c r="Q972" t="s">
        <v>74</v>
      </c>
      <c r="R972" t="s">
        <v>74</v>
      </c>
      <c r="S972" t="s">
        <v>74</v>
      </c>
      <c r="T972" t="s">
        <v>18302</v>
      </c>
      <c r="U972" t="s">
        <v>18303</v>
      </c>
      <c r="V972" t="s">
        <v>18304</v>
      </c>
      <c r="W972" t="s">
        <v>18305</v>
      </c>
      <c r="X972" t="s">
        <v>7116</v>
      </c>
      <c r="Y972" t="s">
        <v>18306</v>
      </c>
      <c r="Z972" t="s">
        <v>18307</v>
      </c>
      <c r="AA972" t="s">
        <v>18308</v>
      </c>
      <c r="AB972" t="s">
        <v>18309</v>
      </c>
      <c r="AC972" t="s">
        <v>18310</v>
      </c>
      <c r="AD972" t="s">
        <v>18311</v>
      </c>
      <c r="AE972" t="s">
        <v>18312</v>
      </c>
      <c r="AF972" t="s">
        <v>74</v>
      </c>
      <c r="AG972">
        <v>26</v>
      </c>
      <c r="AH972">
        <v>11</v>
      </c>
      <c r="AI972">
        <v>21</v>
      </c>
      <c r="AJ972">
        <v>0</v>
      </c>
      <c r="AK972">
        <v>31</v>
      </c>
      <c r="AL972" t="s">
        <v>474</v>
      </c>
      <c r="AM972" t="s">
        <v>304</v>
      </c>
      <c r="AN972" t="s">
        <v>475</v>
      </c>
      <c r="AO972" t="s">
        <v>5067</v>
      </c>
      <c r="AP972" t="s">
        <v>5068</v>
      </c>
      <c r="AQ972" t="s">
        <v>74</v>
      </c>
      <c r="AR972" t="s">
        <v>5069</v>
      </c>
      <c r="AS972" t="s">
        <v>5070</v>
      </c>
      <c r="AT972" t="s">
        <v>17000</v>
      </c>
      <c r="AU972">
        <v>2016</v>
      </c>
      <c r="AV972">
        <v>57</v>
      </c>
      <c r="AW972">
        <v>11</v>
      </c>
      <c r="AX972" t="s">
        <v>74</v>
      </c>
      <c r="AY972" t="s">
        <v>74</v>
      </c>
      <c r="AZ972" t="s">
        <v>74</v>
      </c>
      <c r="BA972" t="s">
        <v>74</v>
      </c>
      <c r="BB972">
        <v>2376</v>
      </c>
      <c r="BC972">
        <v>2384</v>
      </c>
      <c r="BD972" t="s">
        <v>74</v>
      </c>
      <c r="BE972" t="s">
        <v>18313</v>
      </c>
      <c r="BF972" t="str">
        <f>HYPERLINK("http://dx.doi.org/10.1016/j.asr.2016.03.007","http://dx.doi.org/10.1016/j.asr.2016.03.007")</f>
        <v>http://dx.doi.org/10.1016/j.asr.2016.03.007</v>
      </c>
      <c r="BG972" t="s">
        <v>74</v>
      </c>
      <c r="BH972" t="s">
        <v>74</v>
      </c>
      <c r="BI972">
        <v>9</v>
      </c>
      <c r="BJ972" t="s">
        <v>5072</v>
      </c>
      <c r="BK972" t="s">
        <v>156</v>
      </c>
      <c r="BL972" t="s">
        <v>5073</v>
      </c>
      <c r="BM972" t="s">
        <v>18314</v>
      </c>
      <c r="BN972" t="s">
        <v>74</v>
      </c>
      <c r="BO972" t="s">
        <v>74</v>
      </c>
      <c r="BP972" t="s">
        <v>74</v>
      </c>
      <c r="BQ972" t="s">
        <v>74</v>
      </c>
      <c r="BR972" t="s">
        <v>105</v>
      </c>
      <c r="BS972" t="s">
        <v>18315</v>
      </c>
      <c r="BT972" t="str">
        <f>HYPERLINK("https%3A%2F%2Fwww.webofscience.com%2Fwos%2Fwoscc%2Ffull-record%2FWOS:000375815500010","View Full Record in Web of Science")</f>
        <v>View Full Record in Web of Science</v>
      </c>
    </row>
    <row r="973" spans="1:72" x14ac:dyDescent="0.15">
      <c r="A973" t="s">
        <v>72</v>
      </c>
      <c r="B973" t="s">
        <v>18316</v>
      </c>
      <c r="C973" t="s">
        <v>74</v>
      </c>
      <c r="D973" t="s">
        <v>74</v>
      </c>
      <c r="E973" t="s">
        <v>74</v>
      </c>
      <c r="F973" t="s">
        <v>18317</v>
      </c>
      <c r="G973" t="s">
        <v>74</v>
      </c>
      <c r="H973" t="s">
        <v>74</v>
      </c>
      <c r="I973" t="s">
        <v>18318</v>
      </c>
      <c r="J973" t="s">
        <v>18319</v>
      </c>
      <c r="K973" t="s">
        <v>74</v>
      </c>
      <c r="L973" t="s">
        <v>74</v>
      </c>
      <c r="M973" t="s">
        <v>78</v>
      </c>
      <c r="N973" t="s">
        <v>79</v>
      </c>
      <c r="O973" t="s">
        <v>74</v>
      </c>
      <c r="P973" t="s">
        <v>74</v>
      </c>
      <c r="Q973" t="s">
        <v>74</v>
      </c>
      <c r="R973" t="s">
        <v>74</v>
      </c>
      <c r="S973" t="s">
        <v>74</v>
      </c>
      <c r="T973" t="s">
        <v>18320</v>
      </c>
      <c r="U973" t="s">
        <v>18321</v>
      </c>
      <c r="V973" t="s">
        <v>18322</v>
      </c>
      <c r="W973" t="s">
        <v>18323</v>
      </c>
      <c r="X973" t="s">
        <v>18324</v>
      </c>
      <c r="Y973" t="s">
        <v>18325</v>
      </c>
      <c r="Z973" t="s">
        <v>18326</v>
      </c>
      <c r="AA973" t="s">
        <v>74</v>
      </c>
      <c r="AB973" t="s">
        <v>18327</v>
      </c>
      <c r="AC973" t="s">
        <v>18328</v>
      </c>
      <c r="AD973" t="s">
        <v>18329</v>
      </c>
      <c r="AE973" t="s">
        <v>18330</v>
      </c>
      <c r="AF973" t="s">
        <v>74</v>
      </c>
      <c r="AG973">
        <v>59</v>
      </c>
      <c r="AH973">
        <v>20</v>
      </c>
      <c r="AI973">
        <v>27</v>
      </c>
      <c r="AJ973">
        <v>39</v>
      </c>
      <c r="AK973">
        <v>212</v>
      </c>
      <c r="AL973" t="s">
        <v>2112</v>
      </c>
      <c r="AM973" t="s">
        <v>250</v>
      </c>
      <c r="AN973" t="s">
        <v>2113</v>
      </c>
      <c r="AO973" t="s">
        <v>18331</v>
      </c>
      <c r="AP973" t="s">
        <v>18332</v>
      </c>
      <c r="AQ973" t="s">
        <v>74</v>
      </c>
      <c r="AR973" t="s">
        <v>18333</v>
      </c>
      <c r="AS973" t="s">
        <v>18334</v>
      </c>
      <c r="AT973" t="s">
        <v>16960</v>
      </c>
      <c r="AU973">
        <v>2016</v>
      </c>
      <c r="AV973">
        <v>116</v>
      </c>
      <c r="AW973" t="s">
        <v>74</v>
      </c>
      <c r="AX973" t="s">
        <v>74</v>
      </c>
      <c r="AY973" t="s">
        <v>74</v>
      </c>
      <c r="AZ973" t="s">
        <v>74</v>
      </c>
      <c r="BA973" t="s">
        <v>74</v>
      </c>
      <c r="BB973">
        <v>223</v>
      </c>
      <c r="BC973">
        <v>235</v>
      </c>
      <c r="BD973" t="s">
        <v>74</v>
      </c>
      <c r="BE973" t="s">
        <v>18335</v>
      </c>
      <c r="BF973" t="str">
        <f>HYPERLINK("http://dx.doi.org/10.1016/j.anbehav.2016.03.034","http://dx.doi.org/10.1016/j.anbehav.2016.03.034")</f>
        <v>http://dx.doi.org/10.1016/j.anbehav.2016.03.034</v>
      </c>
      <c r="BG973" t="s">
        <v>74</v>
      </c>
      <c r="BH973" t="s">
        <v>74</v>
      </c>
      <c r="BI973">
        <v>13</v>
      </c>
      <c r="BJ973" t="s">
        <v>14787</v>
      </c>
      <c r="BK973" t="s">
        <v>156</v>
      </c>
      <c r="BL973" t="s">
        <v>14787</v>
      </c>
      <c r="BM973" t="s">
        <v>18336</v>
      </c>
      <c r="BN973" t="s">
        <v>74</v>
      </c>
      <c r="BO973" t="s">
        <v>104</v>
      </c>
      <c r="BP973" t="s">
        <v>74</v>
      </c>
      <c r="BQ973" t="s">
        <v>74</v>
      </c>
      <c r="BR973" t="s">
        <v>105</v>
      </c>
      <c r="BS973" t="s">
        <v>18337</v>
      </c>
      <c r="BT973" t="str">
        <f>HYPERLINK("https%3A%2F%2Fwww.webofscience.com%2Fwos%2Fwoscc%2Ffull-record%2FWOS:000377286700024","View Full Record in Web of Science")</f>
        <v>View Full Record in Web of Science</v>
      </c>
    </row>
    <row r="974" spans="1:72" x14ac:dyDescent="0.15">
      <c r="A974" t="s">
        <v>72</v>
      </c>
      <c r="B974" t="s">
        <v>18338</v>
      </c>
      <c r="C974" t="s">
        <v>74</v>
      </c>
      <c r="D974" t="s">
        <v>74</v>
      </c>
      <c r="E974" t="s">
        <v>74</v>
      </c>
      <c r="F974" t="s">
        <v>18339</v>
      </c>
      <c r="G974" t="s">
        <v>74</v>
      </c>
      <c r="H974" t="s">
        <v>74</v>
      </c>
      <c r="I974" t="s">
        <v>18340</v>
      </c>
      <c r="J974" t="s">
        <v>18341</v>
      </c>
      <c r="K974" t="s">
        <v>74</v>
      </c>
      <c r="L974" t="s">
        <v>74</v>
      </c>
      <c r="M974" t="s">
        <v>78</v>
      </c>
      <c r="N974" t="s">
        <v>79</v>
      </c>
      <c r="O974" t="s">
        <v>74</v>
      </c>
      <c r="P974" t="s">
        <v>74</v>
      </c>
      <c r="Q974" t="s">
        <v>74</v>
      </c>
      <c r="R974" t="s">
        <v>74</v>
      </c>
      <c r="S974" t="s">
        <v>74</v>
      </c>
      <c r="T974" t="s">
        <v>18342</v>
      </c>
      <c r="U974" t="s">
        <v>18343</v>
      </c>
      <c r="V974" t="s">
        <v>18344</v>
      </c>
      <c r="W974" t="s">
        <v>18345</v>
      </c>
      <c r="X974" t="s">
        <v>18346</v>
      </c>
      <c r="Y974" t="s">
        <v>18347</v>
      </c>
      <c r="Z974" t="s">
        <v>18348</v>
      </c>
      <c r="AA974" t="s">
        <v>18349</v>
      </c>
      <c r="AB974" t="s">
        <v>18350</v>
      </c>
      <c r="AC974" t="s">
        <v>18351</v>
      </c>
      <c r="AD974" t="s">
        <v>18352</v>
      </c>
      <c r="AE974" t="s">
        <v>18353</v>
      </c>
      <c r="AF974" t="s">
        <v>74</v>
      </c>
      <c r="AG974">
        <v>58</v>
      </c>
      <c r="AH974">
        <v>25</v>
      </c>
      <c r="AI974">
        <v>25</v>
      </c>
      <c r="AJ974">
        <v>5</v>
      </c>
      <c r="AK974">
        <v>33</v>
      </c>
      <c r="AL974" t="s">
        <v>2541</v>
      </c>
      <c r="AM974" t="s">
        <v>502</v>
      </c>
      <c r="AN974" t="s">
        <v>503</v>
      </c>
      <c r="AO974" t="s">
        <v>18354</v>
      </c>
      <c r="AP974" t="s">
        <v>18355</v>
      </c>
      <c r="AQ974" t="s">
        <v>74</v>
      </c>
      <c r="AR974" t="s">
        <v>18356</v>
      </c>
      <c r="AS974" t="s">
        <v>18357</v>
      </c>
      <c r="AT974" t="s">
        <v>16960</v>
      </c>
      <c r="AU974">
        <v>2016</v>
      </c>
      <c r="AV974">
        <v>19</v>
      </c>
      <c r="AW974">
        <v>3</v>
      </c>
      <c r="AX974" t="s">
        <v>74</v>
      </c>
      <c r="AY974" t="s">
        <v>74</v>
      </c>
      <c r="AZ974" t="s">
        <v>74</v>
      </c>
      <c r="BA974" t="s">
        <v>74</v>
      </c>
      <c r="BB974">
        <v>281</v>
      </c>
      <c r="BC974">
        <v>295</v>
      </c>
      <c r="BD974" t="s">
        <v>74</v>
      </c>
      <c r="BE974" t="s">
        <v>18358</v>
      </c>
      <c r="BF974" t="str">
        <f>HYPERLINK("http://dx.doi.org/10.1111/acv.12245","http://dx.doi.org/10.1111/acv.12245")</f>
        <v>http://dx.doi.org/10.1111/acv.12245</v>
      </c>
      <c r="BG974" t="s">
        <v>74</v>
      </c>
      <c r="BH974" t="s">
        <v>74</v>
      </c>
      <c r="BI974">
        <v>15</v>
      </c>
      <c r="BJ974" t="s">
        <v>652</v>
      </c>
      <c r="BK974" t="s">
        <v>156</v>
      </c>
      <c r="BL974" t="s">
        <v>653</v>
      </c>
      <c r="BM974" t="s">
        <v>18359</v>
      </c>
      <c r="BN974" t="s">
        <v>74</v>
      </c>
      <c r="BO974" t="s">
        <v>459</v>
      </c>
      <c r="BP974" t="s">
        <v>74</v>
      </c>
      <c r="BQ974" t="s">
        <v>74</v>
      </c>
      <c r="BR974" t="s">
        <v>105</v>
      </c>
      <c r="BS974" t="s">
        <v>18360</v>
      </c>
      <c r="BT974" t="str">
        <f>HYPERLINK("https%3A%2F%2Fwww.webofscience.com%2Fwos%2Fwoscc%2Ffull-record%2FWOS:000378939500011","View Full Record in Web of Science")</f>
        <v>View Full Record in Web of Science</v>
      </c>
    </row>
    <row r="975" spans="1:72" x14ac:dyDescent="0.15">
      <c r="A975" t="s">
        <v>72</v>
      </c>
      <c r="B975" t="s">
        <v>18361</v>
      </c>
      <c r="C975" t="s">
        <v>74</v>
      </c>
      <c r="D975" t="s">
        <v>74</v>
      </c>
      <c r="E975" t="s">
        <v>74</v>
      </c>
      <c r="F975" t="s">
        <v>18362</v>
      </c>
      <c r="G975" t="s">
        <v>74</v>
      </c>
      <c r="H975" t="s">
        <v>74</v>
      </c>
      <c r="I975" t="s">
        <v>18363</v>
      </c>
      <c r="J975" t="s">
        <v>3176</v>
      </c>
      <c r="K975" t="s">
        <v>74</v>
      </c>
      <c r="L975" t="s">
        <v>74</v>
      </c>
      <c r="M975" t="s">
        <v>78</v>
      </c>
      <c r="N975" t="s">
        <v>587</v>
      </c>
      <c r="O975" t="s">
        <v>74</v>
      </c>
      <c r="P975" t="s">
        <v>74</v>
      </c>
      <c r="Q975" t="s">
        <v>74</v>
      </c>
      <c r="R975" t="s">
        <v>74</v>
      </c>
      <c r="S975" t="s">
        <v>74</v>
      </c>
      <c r="T975" t="s">
        <v>74</v>
      </c>
      <c r="U975" t="s">
        <v>74</v>
      </c>
      <c r="V975" t="s">
        <v>74</v>
      </c>
      <c r="W975" t="s">
        <v>74</v>
      </c>
      <c r="X975" t="s">
        <v>74</v>
      </c>
      <c r="Y975" t="s">
        <v>74</v>
      </c>
      <c r="Z975" t="s">
        <v>74</v>
      </c>
      <c r="AA975" t="s">
        <v>74</v>
      </c>
      <c r="AB975" t="s">
        <v>74</v>
      </c>
      <c r="AC975" t="s">
        <v>74</v>
      </c>
      <c r="AD975" t="s">
        <v>74</v>
      </c>
      <c r="AE975" t="s">
        <v>74</v>
      </c>
      <c r="AF975" t="s">
        <v>74</v>
      </c>
      <c r="AG975">
        <v>0</v>
      </c>
      <c r="AH975">
        <v>0</v>
      </c>
      <c r="AI975">
        <v>0</v>
      </c>
      <c r="AJ975">
        <v>0</v>
      </c>
      <c r="AK975">
        <v>1</v>
      </c>
      <c r="AL975" t="s">
        <v>2670</v>
      </c>
      <c r="AM975" t="s">
        <v>594</v>
      </c>
      <c r="AN975" t="s">
        <v>3187</v>
      </c>
      <c r="AO975" t="s">
        <v>3188</v>
      </c>
      <c r="AP975" t="s">
        <v>3189</v>
      </c>
      <c r="AQ975" t="s">
        <v>74</v>
      </c>
      <c r="AR975" t="s">
        <v>3190</v>
      </c>
      <c r="AS975" t="s">
        <v>3191</v>
      </c>
      <c r="AT975" t="s">
        <v>16960</v>
      </c>
      <c r="AU975">
        <v>2016</v>
      </c>
      <c r="AV975">
        <v>28</v>
      </c>
      <c r="AW975">
        <v>3</v>
      </c>
      <c r="AX975" t="s">
        <v>74</v>
      </c>
      <c r="AY975" t="s">
        <v>74</v>
      </c>
      <c r="AZ975" t="s">
        <v>74</v>
      </c>
      <c r="BA975" t="s">
        <v>74</v>
      </c>
      <c r="BB975">
        <v>151</v>
      </c>
      <c r="BC975">
        <v>151</v>
      </c>
      <c r="BD975" t="s">
        <v>74</v>
      </c>
      <c r="BE975" t="s">
        <v>18364</v>
      </c>
      <c r="BF975" t="str">
        <f>HYPERLINK("http://dx.doi.org/10.1017/S0954102016000146","http://dx.doi.org/10.1017/S0954102016000146")</f>
        <v>http://dx.doi.org/10.1017/S0954102016000146</v>
      </c>
      <c r="BG975" t="s">
        <v>74</v>
      </c>
      <c r="BH975" t="s">
        <v>74</v>
      </c>
      <c r="BI975">
        <v>1</v>
      </c>
      <c r="BJ975" t="s">
        <v>3193</v>
      </c>
      <c r="BK975" t="s">
        <v>156</v>
      </c>
      <c r="BL975" t="s">
        <v>3194</v>
      </c>
      <c r="BM975" t="s">
        <v>18203</v>
      </c>
      <c r="BN975" t="s">
        <v>74</v>
      </c>
      <c r="BO975" t="s">
        <v>258</v>
      </c>
      <c r="BP975" t="s">
        <v>74</v>
      </c>
      <c r="BQ975" t="s">
        <v>74</v>
      </c>
      <c r="BR975" t="s">
        <v>105</v>
      </c>
      <c r="BS975" t="s">
        <v>18365</v>
      </c>
      <c r="BT975" t="str">
        <f>HYPERLINK("https%3A%2F%2Fwww.webofscience.com%2Fwos%2Fwoscc%2Ffull-record%2FWOS:000376039000001","View Full Record in Web of Science")</f>
        <v>View Full Record in Web of Science</v>
      </c>
    </row>
    <row r="976" spans="1:72" x14ac:dyDescent="0.15">
      <c r="A976" t="s">
        <v>72</v>
      </c>
      <c r="B976" t="s">
        <v>18366</v>
      </c>
      <c r="C976" t="s">
        <v>74</v>
      </c>
      <c r="D976" t="s">
        <v>74</v>
      </c>
      <c r="E976" t="s">
        <v>74</v>
      </c>
      <c r="F976" t="s">
        <v>18367</v>
      </c>
      <c r="G976" t="s">
        <v>74</v>
      </c>
      <c r="H976" t="s">
        <v>74</v>
      </c>
      <c r="I976" t="s">
        <v>18368</v>
      </c>
      <c r="J976" t="s">
        <v>3176</v>
      </c>
      <c r="K976" t="s">
        <v>74</v>
      </c>
      <c r="L976" t="s">
        <v>74</v>
      </c>
      <c r="M976" t="s">
        <v>78</v>
      </c>
      <c r="N976" t="s">
        <v>79</v>
      </c>
      <c r="O976" t="s">
        <v>74</v>
      </c>
      <c r="P976" t="s">
        <v>74</v>
      </c>
      <c r="Q976" t="s">
        <v>74</v>
      </c>
      <c r="R976" t="s">
        <v>74</v>
      </c>
      <c r="S976" t="s">
        <v>74</v>
      </c>
      <c r="T976" t="s">
        <v>18369</v>
      </c>
      <c r="U976" t="s">
        <v>18370</v>
      </c>
      <c r="V976" t="s">
        <v>18371</v>
      </c>
      <c r="W976" t="s">
        <v>18372</v>
      </c>
      <c r="X976" t="s">
        <v>18373</v>
      </c>
      <c r="Y976" t="s">
        <v>18374</v>
      </c>
      <c r="Z976" t="s">
        <v>18375</v>
      </c>
      <c r="AA976" t="s">
        <v>18376</v>
      </c>
      <c r="AB976" t="s">
        <v>18377</v>
      </c>
      <c r="AC976" t="s">
        <v>18378</v>
      </c>
      <c r="AD976" t="s">
        <v>18379</v>
      </c>
      <c r="AE976" t="s">
        <v>18380</v>
      </c>
      <c r="AF976" t="s">
        <v>74</v>
      </c>
      <c r="AG976">
        <v>40</v>
      </c>
      <c r="AH976">
        <v>16</v>
      </c>
      <c r="AI976">
        <v>17</v>
      </c>
      <c r="AJ976">
        <v>2</v>
      </c>
      <c r="AK976">
        <v>31</v>
      </c>
      <c r="AL976" t="s">
        <v>2670</v>
      </c>
      <c r="AM976" t="s">
        <v>594</v>
      </c>
      <c r="AN976" t="s">
        <v>3187</v>
      </c>
      <c r="AO976" t="s">
        <v>3188</v>
      </c>
      <c r="AP976" t="s">
        <v>3189</v>
      </c>
      <c r="AQ976" t="s">
        <v>74</v>
      </c>
      <c r="AR976" t="s">
        <v>3190</v>
      </c>
      <c r="AS976" t="s">
        <v>3191</v>
      </c>
      <c r="AT976" t="s">
        <v>16960</v>
      </c>
      <c r="AU976">
        <v>2016</v>
      </c>
      <c r="AV976">
        <v>28</v>
      </c>
      <c r="AW976">
        <v>3</v>
      </c>
      <c r="AX976" t="s">
        <v>74</v>
      </c>
      <c r="AY976" t="s">
        <v>74</v>
      </c>
      <c r="AZ976" t="s">
        <v>74</v>
      </c>
      <c r="BA976" t="s">
        <v>74</v>
      </c>
      <c r="BB976">
        <v>175</v>
      </c>
      <c r="BC976">
        <v>186</v>
      </c>
      <c r="BD976" t="s">
        <v>74</v>
      </c>
      <c r="BE976" t="s">
        <v>18381</v>
      </c>
      <c r="BF976" t="str">
        <f>HYPERLINK("http://dx.doi.org/10.1017/S0954102015000607","http://dx.doi.org/10.1017/S0954102015000607")</f>
        <v>http://dx.doi.org/10.1017/S0954102015000607</v>
      </c>
      <c r="BG976" t="s">
        <v>74</v>
      </c>
      <c r="BH976" t="s">
        <v>74</v>
      </c>
      <c r="BI976">
        <v>12</v>
      </c>
      <c r="BJ976" t="s">
        <v>3193</v>
      </c>
      <c r="BK976" t="s">
        <v>156</v>
      </c>
      <c r="BL976" t="s">
        <v>3194</v>
      </c>
      <c r="BM976" t="s">
        <v>18203</v>
      </c>
      <c r="BN976" t="s">
        <v>74</v>
      </c>
      <c r="BO976" t="s">
        <v>459</v>
      </c>
      <c r="BP976" t="s">
        <v>74</v>
      </c>
      <c r="BQ976" t="s">
        <v>74</v>
      </c>
      <c r="BR976" t="s">
        <v>105</v>
      </c>
      <c r="BS976" t="s">
        <v>18382</v>
      </c>
      <c r="BT976" t="str">
        <f>HYPERLINK("https%3A%2F%2Fwww.webofscience.com%2Fwos%2Fwoscc%2Ffull-record%2FWOS:000376039000003","View Full Record in Web of Science")</f>
        <v>View Full Record in Web of Science</v>
      </c>
    </row>
    <row r="977" spans="1:72" x14ac:dyDescent="0.15">
      <c r="A977" t="s">
        <v>72</v>
      </c>
      <c r="B977" t="s">
        <v>18383</v>
      </c>
      <c r="C977" t="s">
        <v>74</v>
      </c>
      <c r="D977" t="s">
        <v>74</v>
      </c>
      <c r="E977" t="s">
        <v>74</v>
      </c>
      <c r="F977" t="s">
        <v>18384</v>
      </c>
      <c r="G977" t="s">
        <v>74</v>
      </c>
      <c r="H977" t="s">
        <v>74</v>
      </c>
      <c r="I977" t="s">
        <v>18385</v>
      </c>
      <c r="J977" t="s">
        <v>3176</v>
      </c>
      <c r="K977" t="s">
        <v>74</v>
      </c>
      <c r="L977" t="s">
        <v>74</v>
      </c>
      <c r="M977" t="s">
        <v>78</v>
      </c>
      <c r="N977" t="s">
        <v>79</v>
      </c>
      <c r="O977" t="s">
        <v>74</v>
      </c>
      <c r="P977" t="s">
        <v>74</v>
      </c>
      <c r="Q977" t="s">
        <v>74</v>
      </c>
      <c r="R977" t="s">
        <v>74</v>
      </c>
      <c r="S977" t="s">
        <v>74</v>
      </c>
      <c r="T977" t="s">
        <v>18386</v>
      </c>
      <c r="U977" t="s">
        <v>18387</v>
      </c>
      <c r="V977" t="s">
        <v>18388</v>
      </c>
      <c r="W977" t="s">
        <v>18389</v>
      </c>
      <c r="X977" t="s">
        <v>18390</v>
      </c>
      <c r="Y977" t="s">
        <v>18391</v>
      </c>
      <c r="Z977" t="s">
        <v>18392</v>
      </c>
      <c r="AA977" t="s">
        <v>18393</v>
      </c>
      <c r="AB977" t="s">
        <v>18394</v>
      </c>
      <c r="AC977" t="s">
        <v>18395</v>
      </c>
      <c r="AD977" t="s">
        <v>3746</v>
      </c>
      <c r="AE977" t="s">
        <v>18396</v>
      </c>
      <c r="AF977" t="s">
        <v>74</v>
      </c>
      <c r="AG977">
        <v>31</v>
      </c>
      <c r="AH977">
        <v>16</v>
      </c>
      <c r="AI977">
        <v>18</v>
      </c>
      <c r="AJ977">
        <v>0</v>
      </c>
      <c r="AK977">
        <v>18</v>
      </c>
      <c r="AL977" t="s">
        <v>2670</v>
      </c>
      <c r="AM977" t="s">
        <v>594</v>
      </c>
      <c r="AN977" t="s">
        <v>3187</v>
      </c>
      <c r="AO977" t="s">
        <v>3188</v>
      </c>
      <c r="AP977" t="s">
        <v>3189</v>
      </c>
      <c r="AQ977" t="s">
        <v>74</v>
      </c>
      <c r="AR977" t="s">
        <v>3190</v>
      </c>
      <c r="AS977" t="s">
        <v>3191</v>
      </c>
      <c r="AT977" t="s">
        <v>16960</v>
      </c>
      <c r="AU977">
        <v>2016</v>
      </c>
      <c r="AV977">
        <v>28</v>
      </c>
      <c r="AW977">
        <v>3</v>
      </c>
      <c r="AX977" t="s">
        <v>74</v>
      </c>
      <c r="AY977" t="s">
        <v>74</v>
      </c>
      <c r="AZ977" t="s">
        <v>74</v>
      </c>
      <c r="BA977" t="s">
        <v>74</v>
      </c>
      <c r="BB977">
        <v>187</v>
      </c>
      <c r="BC977">
        <v>193</v>
      </c>
      <c r="BD977" t="s">
        <v>74</v>
      </c>
      <c r="BE977" t="s">
        <v>18397</v>
      </c>
      <c r="BF977" t="str">
        <f>HYPERLINK("http://dx.doi.org/10.1017/S0954102015000644","http://dx.doi.org/10.1017/S0954102015000644")</f>
        <v>http://dx.doi.org/10.1017/S0954102015000644</v>
      </c>
      <c r="BG977" t="s">
        <v>74</v>
      </c>
      <c r="BH977" t="s">
        <v>74</v>
      </c>
      <c r="BI977">
        <v>7</v>
      </c>
      <c r="BJ977" t="s">
        <v>3193</v>
      </c>
      <c r="BK977" t="s">
        <v>156</v>
      </c>
      <c r="BL977" t="s">
        <v>3194</v>
      </c>
      <c r="BM977" t="s">
        <v>18203</v>
      </c>
      <c r="BN977" t="s">
        <v>74</v>
      </c>
      <c r="BO977" t="s">
        <v>74</v>
      </c>
      <c r="BP977" t="s">
        <v>74</v>
      </c>
      <c r="BQ977" t="s">
        <v>74</v>
      </c>
      <c r="BR977" t="s">
        <v>105</v>
      </c>
      <c r="BS977" t="s">
        <v>18398</v>
      </c>
      <c r="BT977" t="str">
        <f>HYPERLINK("https%3A%2F%2Fwww.webofscience.com%2Fwos%2Fwoscc%2Ffull-record%2FWOS:000376039000004","View Full Record in Web of Science")</f>
        <v>View Full Record in Web of Science</v>
      </c>
    </row>
    <row r="978" spans="1:72" x14ac:dyDescent="0.15">
      <c r="A978" t="s">
        <v>72</v>
      </c>
      <c r="B978" t="s">
        <v>18399</v>
      </c>
      <c r="C978" t="s">
        <v>74</v>
      </c>
      <c r="D978" t="s">
        <v>74</v>
      </c>
      <c r="E978" t="s">
        <v>74</v>
      </c>
      <c r="F978" t="s">
        <v>18400</v>
      </c>
      <c r="G978" t="s">
        <v>74</v>
      </c>
      <c r="H978" t="s">
        <v>74</v>
      </c>
      <c r="I978" t="s">
        <v>18401</v>
      </c>
      <c r="J978" t="s">
        <v>3176</v>
      </c>
      <c r="K978" t="s">
        <v>74</v>
      </c>
      <c r="L978" t="s">
        <v>74</v>
      </c>
      <c r="M978" t="s">
        <v>78</v>
      </c>
      <c r="N978" t="s">
        <v>79</v>
      </c>
      <c r="O978" t="s">
        <v>74</v>
      </c>
      <c r="P978" t="s">
        <v>74</v>
      </c>
      <c r="Q978" t="s">
        <v>74</v>
      </c>
      <c r="R978" t="s">
        <v>74</v>
      </c>
      <c r="S978" t="s">
        <v>74</v>
      </c>
      <c r="T978" t="s">
        <v>18402</v>
      </c>
      <c r="U978" t="s">
        <v>18403</v>
      </c>
      <c r="V978" t="s">
        <v>18404</v>
      </c>
      <c r="W978" t="s">
        <v>18405</v>
      </c>
      <c r="X978" t="s">
        <v>18406</v>
      </c>
      <c r="Y978" t="s">
        <v>18407</v>
      </c>
      <c r="Z978" t="s">
        <v>18408</v>
      </c>
      <c r="AA978" t="s">
        <v>74</v>
      </c>
      <c r="AB978" t="s">
        <v>74</v>
      </c>
      <c r="AC978" t="s">
        <v>74</v>
      </c>
      <c r="AD978" t="s">
        <v>74</v>
      </c>
      <c r="AE978" t="s">
        <v>74</v>
      </c>
      <c r="AF978" t="s">
        <v>74</v>
      </c>
      <c r="AG978">
        <v>34</v>
      </c>
      <c r="AH978">
        <v>94</v>
      </c>
      <c r="AI978">
        <v>107</v>
      </c>
      <c r="AJ978">
        <v>5</v>
      </c>
      <c r="AK978">
        <v>72</v>
      </c>
      <c r="AL978" t="s">
        <v>2670</v>
      </c>
      <c r="AM978" t="s">
        <v>594</v>
      </c>
      <c r="AN978" t="s">
        <v>3187</v>
      </c>
      <c r="AO978" t="s">
        <v>3188</v>
      </c>
      <c r="AP978" t="s">
        <v>3189</v>
      </c>
      <c r="AQ978" t="s">
        <v>74</v>
      </c>
      <c r="AR978" t="s">
        <v>3190</v>
      </c>
      <c r="AS978" t="s">
        <v>3191</v>
      </c>
      <c r="AT978" t="s">
        <v>16960</v>
      </c>
      <c r="AU978">
        <v>2016</v>
      </c>
      <c r="AV978">
        <v>28</v>
      </c>
      <c r="AW978">
        <v>3</v>
      </c>
      <c r="AX978" t="s">
        <v>74</v>
      </c>
      <c r="AY978" t="s">
        <v>74</v>
      </c>
      <c r="AZ978" t="s">
        <v>74</v>
      </c>
      <c r="BA978" t="s">
        <v>74</v>
      </c>
      <c r="BB978">
        <v>194</v>
      </c>
      <c r="BC978">
        <v>203</v>
      </c>
      <c r="BD978" t="s">
        <v>74</v>
      </c>
      <c r="BE978" t="s">
        <v>18409</v>
      </c>
      <c r="BF978" t="str">
        <f>HYPERLINK("http://dx.doi.org/10.1017/S0954102016000031","http://dx.doi.org/10.1017/S0954102016000031")</f>
        <v>http://dx.doi.org/10.1017/S0954102016000031</v>
      </c>
      <c r="BG978" t="s">
        <v>74</v>
      </c>
      <c r="BH978" t="s">
        <v>74</v>
      </c>
      <c r="BI978">
        <v>10</v>
      </c>
      <c r="BJ978" t="s">
        <v>3193</v>
      </c>
      <c r="BK978" t="s">
        <v>156</v>
      </c>
      <c r="BL978" t="s">
        <v>3194</v>
      </c>
      <c r="BM978" t="s">
        <v>18203</v>
      </c>
      <c r="BN978" t="s">
        <v>74</v>
      </c>
      <c r="BO978" t="s">
        <v>74</v>
      </c>
      <c r="BP978" t="s">
        <v>74</v>
      </c>
      <c r="BQ978" t="s">
        <v>74</v>
      </c>
      <c r="BR978" t="s">
        <v>105</v>
      </c>
      <c r="BS978" t="s">
        <v>18410</v>
      </c>
      <c r="BT978" t="str">
        <f>HYPERLINK("https%3A%2F%2Fwww.webofscience.com%2Fwos%2Fwoscc%2Ffull-record%2FWOS:000376039000005","View Full Record in Web of Science")</f>
        <v>View Full Record in Web of Science</v>
      </c>
    </row>
    <row r="979" spans="1:72" x14ac:dyDescent="0.15">
      <c r="A979" t="s">
        <v>72</v>
      </c>
      <c r="B979" t="s">
        <v>18411</v>
      </c>
      <c r="C979" t="s">
        <v>74</v>
      </c>
      <c r="D979" t="s">
        <v>74</v>
      </c>
      <c r="E979" t="s">
        <v>74</v>
      </c>
      <c r="F979" t="s">
        <v>18412</v>
      </c>
      <c r="G979" t="s">
        <v>74</v>
      </c>
      <c r="H979" t="s">
        <v>74</v>
      </c>
      <c r="I979" t="s">
        <v>18413</v>
      </c>
      <c r="J979" t="s">
        <v>18414</v>
      </c>
      <c r="K979" t="s">
        <v>74</v>
      </c>
      <c r="L979" t="s">
        <v>74</v>
      </c>
      <c r="M979" t="s">
        <v>78</v>
      </c>
      <c r="N979" t="s">
        <v>79</v>
      </c>
      <c r="O979" t="s">
        <v>74</v>
      </c>
      <c r="P979" t="s">
        <v>74</v>
      </c>
      <c r="Q979" t="s">
        <v>74</v>
      </c>
      <c r="R979" t="s">
        <v>74</v>
      </c>
      <c r="S979" t="s">
        <v>74</v>
      </c>
      <c r="T979" t="s">
        <v>18415</v>
      </c>
      <c r="U979" t="s">
        <v>18416</v>
      </c>
      <c r="V979" t="s">
        <v>18417</v>
      </c>
      <c r="W979" t="s">
        <v>18418</v>
      </c>
      <c r="X979" t="s">
        <v>18419</v>
      </c>
      <c r="Y979" t="s">
        <v>18420</v>
      </c>
      <c r="Z979" t="s">
        <v>18421</v>
      </c>
      <c r="AA979" t="s">
        <v>74</v>
      </c>
      <c r="AB979" t="s">
        <v>18422</v>
      </c>
      <c r="AC979" t="s">
        <v>18423</v>
      </c>
      <c r="AD979" t="s">
        <v>18424</v>
      </c>
      <c r="AE979" t="s">
        <v>18425</v>
      </c>
      <c r="AF979" t="s">
        <v>74</v>
      </c>
      <c r="AG979">
        <v>55</v>
      </c>
      <c r="AH979">
        <v>13</v>
      </c>
      <c r="AI979">
        <v>14</v>
      </c>
      <c r="AJ979">
        <v>0</v>
      </c>
      <c r="AK979">
        <v>6</v>
      </c>
      <c r="AL979" t="s">
        <v>1484</v>
      </c>
      <c r="AM979" t="s">
        <v>1485</v>
      </c>
      <c r="AN979" t="s">
        <v>1486</v>
      </c>
      <c r="AO979" t="s">
        <v>18426</v>
      </c>
      <c r="AP979" t="s">
        <v>18427</v>
      </c>
      <c r="AQ979" t="s">
        <v>74</v>
      </c>
      <c r="AR979" t="s">
        <v>18428</v>
      </c>
      <c r="AS979" t="s">
        <v>18429</v>
      </c>
      <c r="AT979" t="s">
        <v>16960</v>
      </c>
      <c r="AU979">
        <v>2016</v>
      </c>
      <c r="AV979">
        <v>151</v>
      </c>
      <c r="AW979">
        <v>6</v>
      </c>
      <c r="AX979" t="s">
        <v>74</v>
      </c>
      <c r="AY979" t="s">
        <v>74</v>
      </c>
      <c r="AZ979" t="s">
        <v>74</v>
      </c>
      <c r="BA979" t="s">
        <v>74</v>
      </c>
      <c r="BB979" t="s">
        <v>74</v>
      </c>
      <c r="BC979" t="s">
        <v>74</v>
      </c>
      <c r="BD979">
        <v>166</v>
      </c>
      <c r="BE979" t="s">
        <v>18430</v>
      </c>
      <c r="BF979" t="str">
        <f>HYPERLINK("http://dx.doi.org/10.3847/0004-6256/151/6/166","http://dx.doi.org/10.3847/0004-6256/151/6/166")</f>
        <v>http://dx.doi.org/10.3847/0004-6256/151/6/166</v>
      </c>
      <c r="BG979" t="s">
        <v>74</v>
      </c>
      <c r="BH979" t="s">
        <v>74</v>
      </c>
      <c r="BI979">
        <v>17</v>
      </c>
      <c r="BJ979" t="s">
        <v>748</v>
      </c>
      <c r="BK979" t="s">
        <v>156</v>
      </c>
      <c r="BL979" t="s">
        <v>748</v>
      </c>
      <c r="BM979" t="s">
        <v>18431</v>
      </c>
      <c r="BN979" t="s">
        <v>74</v>
      </c>
      <c r="BO979" t="s">
        <v>4859</v>
      </c>
      <c r="BP979" t="s">
        <v>74</v>
      </c>
      <c r="BQ979" t="s">
        <v>74</v>
      </c>
      <c r="BR979" t="s">
        <v>105</v>
      </c>
      <c r="BS979" t="s">
        <v>18432</v>
      </c>
      <c r="BT979" t="str">
        <f>HYPERLINK("https%3A%2F%2Fwww.webofscience.com%2Fwos%2Fwoscc%2Ffull-record%2FWOS:000377990300033","View Full Record in Web of Science")</f>
        <v>View Full Record in Web of Science</v>
      </c>
    </row>
    <row r="980" spans="1:72" x14ac:dyDescent="0.15">
      <c r="A980" t="s">
        <v>72</v>
      </c>
      <c r="B980" t="s">
        <v>18433</v>
      </c>
      <c r="C980" t="s">
        <v>74</v>
      </c>
      <c r="D980" t="s">
        <v>74</v>
      </c>
      <c r="E980" t="s">
        <v>74</v>
      </c>
      <c r="F980" t="s">
        <v>18434</v>
      </c>
      <c r="G980" t="s">
        <v>74</v>
      </c>
      <c r="H980" t="s">
        <v>74</v>
      </c>
      <c r="I980" t="s">
        <v>18435</v>
      </c>
      <c r="J980" t="s">
        <v>7394</v>
      </c>
      <c r="K980" t="s">
        <v>74</v>
      </c>
      <c r="L980" t="s">
        <v>74</v>
      </c>
      <c r="M980" t="s">
        <v>78</v>
      </c>
      <c r="N980" t="s">
        <v>79</v>
      </c>
      <c r="O980" t="s">
        <v>74</v>
      </c>
      <c r="P980" t="s">
        <v>74</v>
      </c>
      <c r="Q980" t="s">
        <v>74</v>
      </c>
      <c r="R980" t="s">
        <v>74</v>
      </c>
      <c r="S980" t="s">
        <v>74</v>
      </c>
      <c r="T980" t="s">
        <v>18436</v>
      </c>
      <c r="U980" t="s">
        <v>18437</v>
      </c>
      <c r="V980" t="s">
        <v>18438</v>
      </c>
      <c r="W980" t="s">
        <v>18439</v>
      </c>
      <c r="X980" t="s">
        <v>18440</v>
      </c>
      <c r="Y980" t="s">
        <v>18441</v>
      </c>
      <c r="Z980" t="s">
        <v>18442</v>
      </c>
      <c r="AA980" t="s">
        <v>18443</v>
      </c>
      <c r="AB980" t="s">
        <v>18444</v>
      </c>
      <c r="AC980" t="s">
        <v>18445</v>
      </c>
      <c r="AD980" t="s">
        <v>18446</v>
      </c>
      <c r="AE980" t="s">
        <v>18447</v>
      </c>
      <c r="AF980" t="s">
        <v>74</v>
      </c>
      <c r="AG980">
        <v>32</v>
      </c>
      <c r="AH980">
        <v>18</v>
      </c>
      <c r="AI980">
        <v>19</v>
      </c>
      <c r="AJ980">
        <v>1</v>
      </c>
      <c r="AK980">
        <v>42</v>
      </c>
      <c r="AL980" t="s">
        <v>303</v>
      </c>
      <c r="AM980" t="s">
        <v>304</v>
      </c>
      <c r="AN980" t="s">
        <v>305</v>
      </c>
      <c r="AO980" t="s">
        <v>7407</v>
      </c>
      <c r="AP980" t="s">
        <v>7408</v>
      </c>
      <c r="AQ980" t="s">
        <v>74</v>
      </c>
      <c r="AR980" t="s">
        <v>7409</v>
      </c>
      <c r="AS980" t="s">
        <v>7410</v>
      </c>
      <c r="AT980" t="s">
        <v>16960</v>
      </c>
      <c r="AU980">
        <v>2016</v>
      </c>
      <c r="AV980">
        <v>134</v>
      </c>
      <c r="AW980" t="s">
        <v>74</v>
      </c>
      <c r="AX980" t="s">
        <v>74</v>
      </c>
      <c r="AY980" t="s">
        <v>74</v>
      </c>
      <c r="AZ980" t="s">
        <v>74</v>
      </c>
      <c r="BA980" t="s">
        <v>74</v>
      </c>
      <c r="BB980">
        <v>40</v>
      </c>
      <c r="BC980">
        <v>50</v>
      </c>
      <c r="BD980" t="s">
        <v>74</v>
      </c>
      <c r="BE980" t="s">
        <v>18448</v>
      </c>
      <c r="BF980" t="str">
        <f>HYPERLINK("http://dx.doi.org/10.1016/j.atmosenv.2016.03.016","http://dx.doi.org/10.1016/j.atmosenv.2016.03.016")</f>
        <v>http://dx.doi.org/10.1016/j.atmosenv.2016.03.016</v>
      </c>
      <c r="BG980" t="s">
        <v>74</v>
      </c>
      <c r="BH980" t="s">
        <v>74</v>
      </c>
      <c r="BI980">
        <v>11</v>
      </c>
      <c r="BJ980" t="s">
        <v>1286</v>
      </c>
      <c r="BK980" t="s">
        <v>156</v>
      </c>
      <c r="BL980" t="s">
        <v>825</v>
      </c>
      <c r="BM980" t="s">
        <v>18449</v>
      </c>
      <c r="BN980" t="s">
        <v>74</v>
      </c>
      <c r="BO980" t="s">
        <v>2822</v>
      </c>
      <c r="BP980" t="s">
        <v>74</v>
      </c>
      <c r="BQ980" t="s">
        <v>74</v>
      </c>
      <c r="BR980" t="s">
        <v>105</v>
      </c>
      <c r="BS980" t="s">
        <v>18450</v>
      </c>
      <c r="BT980" t="str">
        <f>HYPERLINK("https%3A%2F%2Fwww.webofscience.com%2Fwos%2Fwoscc%2Ffull-record%2FWOS:000375504100005","View Full Record in Web of Science")</f>
        <v>View Full Record in Web of Science</v>
      </c>
    </row>
    <row r="981" spans="1:72" x14ac:dyDescent="0.15">
      <c r="A981" t="s">
        <v>72</v>
      </c>
      <c r="B981" t="s">
        <v>18451</v>
      </c>
      <c r="C981" t="s">
        <v>74</v>
      </c>
      <c r="D981" t="s">
        <v>74</v>
      </c>
      <c r="E981" t="s">
        <v>74</v>
      </c>
      <c r="F981" t="s">
        <v>18452</v>
      </c>
      <c r="G981" t="s">
        <v>74</v>
      </c>
      <c r="H981" t="s">
        <v>74</v>
      </c>
      <c r="I981" t="s">
        <v>18453</v>
      </c>
      <c r="J981" t="s">
        <v>18454</v>
      </c>
      <c r="K981" t="s">
        <v>74</v>
      </c>
      <c r="L981" t="s">
        <v>74</v>
      </c>
      <c r="M981" t="s">
        <v>78</v>
      </c>
      <c r="N981" t="s">
        <v>79</v>
      </c>
      <c r="O981" t="s">
        <v>74</v>
      </c>
      <c r="P981" t="s">
        <v>74</v>
      </c>
      <c r="Q981" t="s">
        <v>74</v>
      </c>
      <c r="R981" t="s">
        <v>74</v>
      </c>
      <c r="S981" t="s">
        <v>74</v>
      </c>
      <c r="T981" t="s">
        <v>74</v>
      </c>
      <c r="U981" t="s">
        <v>74</v>
      </c>
      <c r="V981" t="s">
        <v>18455</v>
      </c>
      <c r="W981" t="s">
        <v>18456</v>
      </c>
      <c r="X981" t="s">
        <v>18457</v>
      </c>
      <c r="Y981" t="s">
        <v>18458</v>
      </c>
      <c r="Z981" t="s">
        <v>74</v>
      </c>
      <c r="AA981" t="s">
        <v>18459</v>
      </c>
      <c r="AB981" t="s">
        <v>18460</v>
      </c>
      <c r="AC981" t="s">
        <v>18461</v>
      </c>
      <c r="AD981" t="s">
        <v>18461</v>
      </c>
      <c r="AE981" t="s">
        <v>18462</v>
      </c>
      <c r="AF981" t="s">
        <v>74</v>
      </c>
      <c r="AG981">
        <v>10</v>
      </c>
      <c r="AH981">
        <v>3</v>
      </c>
      <c r="AI981">
        <v>3</v>
      </c>
      <c r="AJ981">
        <v>0</v>
      </c>
      <c r="AK981">
        <v>2</v>
      </c>
      <c r="AL981" t="s">
        <v>18463</v>
      </c>
      <c r="AM981" t="s">
        <v>18464</v>
      </c>
      <c r="AN981" t="s">
        <v>18465</v>
      </c>
      <c r="AO981" t="s">
        <v>18466</v>
      </c>
      <c r="AP981" t="s">
        <v>74</v>
      </c>
      <c r="AQ981" t="s">
        <v>74</v>
      </c>
      <c r="AR981" t="s">
        <v>18467</v>
      </c>
      <c r="AS981" t="s">
        <v>18468</v>
      </c>
      <c r="AT981" t="s">
        <v>16960</v>
      </c>
      <c r="AU981">
        <v>2016</v>
      </c>
      <c r="AV981">
        <v>51</v>
      </c>
      <c r="AW981">
        <v>2</v>
      </c>
      <c r="AX981" t="s">
        <v>74</v>
      </c>
      <c r="AY981" t="s">
        <v>74</v>
      </c>
      <c r="AZ981" t="s">
        <v>74</v>
      </c>
      <c r="BA981" t="s">
        <v>74</v>
      </c>
      <c r="BB981">
        <v>29</v>
      </c>
      <c r="BC981">
        <v>33</v>
      </c>
      <c r="BD981" t="s">
        <v>74</v>
      </c>
      <c r="BE981" t="s">
        <v>74</v>
      </c>
      <c r="BF981" t="s">
        <v>74</v>
      </c>
      <c r="BG981" t="s">
        <v>74</v>
      </c>
      <c r="BH981" t="s">
        <v>74</v>
      </c>
      <c r="BI981">
        <v>5</v>
      </c>
      <c r="BJ981" t="s">
        <v>18469</v>
      </c>
      <c r="BK981" t="s">
        <v>131</v>
      </c>
      <c r="BL981" t="s">
        <v>803</v>
      </c>
      <c r="BM981" t="s">
        <v>18470</v>
      </c>
      <c r="BN981" t="s">
        <v>74</v>
      </c>
      <c r="BO981" t="s">
        <v>74</v>
      </c>
      <c r="BP981" t="s">
        <v>74</v>
      </c>
      <c r="BQ981" t="s">
        <v>74</v>
      </c>
      <c r="BR981" t="s">
        <v>105</v>
      </c>
      <c r="BS981" t="s">
        <v>18471</v>
      </c>
      <c r="BT981" t="str">
        <f>HYPERLINK("https%3A%2F%2Fwww.webofscience.com%2Fwos%2Fwoscc%2Ffull-record%2FWOS:000423692200003","View Full Record in Web of Science")</f>
        <v>View Full Record in Web of Science</v>
      </c>
    </row>
    <row r="982" spans="1:72" x14ac:dyDescent="0.15">
      <c r="A982" t="s">
        <v>72</v>
      </c>
      <c r="B982" t="s">
        <v>18472</v>
      </c>
      <c r="C982" t="s">
        <v>74</v>
      </c>
      <c r="D982" t="s">
        <v>74</v>
      </c>
      <c r="E982" t="s">
        <v>74</v>
      </c>
      <c r="F982" t="s">
        <v>18473</v>
      </c>
      <c r="G982" t="s">
        <v>74</v>
      </c>
      <c r="H982" t="s">
        <v>74</v>
      </c>
      <c r="I982" t="s">
        <v>18474</v>
      </c>
      <c r="J982" t="s">
        <v>3443</v>
      </c>
      <c r="K982" t="s">
        <v>74</v>
      </c>
      <c r="L982" t="s">
        <v>74</v>
      </c>
      <c r="M982" t="s">
        <v>78</v>
      </c>
      <c r="N982" t="s">
        <v>79</v>
      </c>
      <c r="O982" t="s">
        <v>74</v>
      </c>
      <c r="P982" t="s">
        <v>74</v>
      </c>
      <c r="Q982" t="s">
        <v>74</v>
      </c>
      <c r="R982" t="s">
        <v>74</v>
      </c>
      <c r="S982" t="s">
        <v>74</v>
      </c>
      <c r="T982" t="s">
        <v>18475</v>
      </c>
      <c r="U982" t="s">
        <v>18476</v>
      </c>
      <c r="V982" t="s">
        <v>18477</v>
      </c>
      <c r="W982" t="s">
        <v>18478</v>
      </c>
      <c r="X982" t="s">
        <v>13208</v>
      </c>
      <c r="Y982" t="s">
        <v>18479</v>
      </c>
      <c r="Z982" t="s">
        <v>18480</v>
      </c>
      <c r="AA982" t="s">
        <v>18481</v>
      </c>
      <c r="AB982" t="s">
        <v>18482</v>
      </c>
      <c r="AC982" t="s">
        <v>18483</v>
      </c>
      <c r="AD982" t="s">
        <v>18484</v>
      </c>
      <c r="AE982" t="s">
        <v>18485</v>
      </c>
      <c r="AF982" t="s">
        <v>74</v>
      </c>
      <c r="AG982">
        <v>67</v>
      </c>
      <c r="AH982">
        <v>16</v>
      </c>
      <c r="AI982">
        <v>16</v>
      </c>
      <c r="AJ982">
        <v>0</v>
      </c>
      <c r="AK982">
        <v>54</v>
      </c>
      <c r="AL982" t="s">
        <v>474</v>
      </c>
      <c r="AM982" t="s">
        <v>304</v>
      </c>
      <c r="AN982" t="s">
        <v>475</v>
      </c>
      <c r="AO982" t="s">
        <v>3455</v>
      </c>
      <c r="AP982" t="s">
        <v>3456</v>
      </c>
      <c r="AQ982" t="s">
        <v>74</v>
      </c>
      <c r="AR982" t="s">
        <v>3457</v>
      </c>
      <c r="AS982" t="s">
        <v>3458</v>
      </c>
      <c r="AT982" t="s">
        <v>16960</v>
      </c>
      <c r="AU982">
        <v>2016</v>
      </c>
      <c r="AV982">
        <v>198</v>
      </c>
      <c r="AW982" t="s">
        <v>74</v>
      </c>
      <c r="AX982" t="s">
        <v>74</v>
      </c>
      <c r="AY982" t="s">
        <v>74</v>
      </c>
      <c r="AZ982" t="s">
        <v>74</v>
      </c>
      <c r="BA982" t="s">
        <v>74</v>
      </c>
      <c r="BB982">
        <v>165</v>
      </c>
      <c r="BC982">
        <v>176</v>
      </c>
      <c r="BD982" t="s">
        <v>74</v>
      </c>
      <c r="BE982" t="s">
        <v>18486</v>
      </c>
      <c r="BF982" t="str">
        <f>HYPERLINK("http://dx.doi.org/10.1016/j.biocon.2016.03.020","http://dx.doi.org/10.1016/j.biocon.2016.03.020")</f>
        <v>http://dx.doi.org/10.1016/j.biocon.2016.03.020</v>
      </c>
      <c r="BG982" t="s">
        <v>74</v>
      </c>
      <c r="BH982" t="s">
        <v>74</v>
      </c>
      <c r="BI982">
        <v>12</v>
      </c>
      <c r="BJ982" t="s">
        <v>3460</v>
      </c>
      <c r="BK982" t="s">
        <v>156</v>
      </c>
      <c r="BL982" t="s">
        <v>653</v>
      </c>
      <c r="BM982" t="s">
        <v>18487</v>
      </c>
      <c r="BN982" t="s">
        <v>74</v>
      </c>
      <c r="BO982" t="s">
        <v>459</v>
      </c>
      <c r="BP982" t="s">
        <v>74</v>
      </c>
      <c r="BQ982" t="s">
        <v>74</v>
      </c>
      <c r="BR982" t="s">
        <v>105</v>
      </c>
      <c r="BS982" t="s">
        <v>18488</v>
      </c>
      <c r="BT982" t="str">
        <f>HYPERLINK("https%3A%2F%2Fwww.webofscience.com%2Fwos%2Fwoscc%2Ffull-record%2FWOS:000377735400019","View Full Record in Web of Science")</f>
        <v>View Full Record in Web of Science</v>
      </c>
    </row>
    <row r="983" spans="1:72" x14ac:dyDescent="0.15">
      <c r="A983" t="s">
        <v>72</v>
      </c>
      <c r="B983" t="s">
        <v>18489</v>
      </c>
      <c r="C983" t="s">
        <v>74</v>
      </c>
      <c r="D983" t="s">
        <v>74</v>
      </c>
      <c r="E983" t="s">
        <v>74</v>
      </c>
      <c r="F983" t="s">
        <v>18490</v>
      </c>
      <c r="G983" t="s">
        <v>74</v>
      </c>
      <c r="H983" t="s">
        <v>74</v>
      </c>
      <c r="I983" t="s">
        <v>18491</v>
      </c>
      <c r="J983" t="s">
        <v>2916</v>
      </c>
      <c r="K983" t="s">
        <v>74</v>
      </c>
      <c r="L983" t="s">
        <v>74</v>
      </c>
      <c r="M983" t="s">
        <v>78</v>
      </c>
      <c r="N983" t="s">
        <v>79</v>
      </c>
      <c r="O983" t="s">
        <v>74</v>
      </c>
      <c r="P983" t="s">
        <v>74</v>
      </c>
      <c r="Q983" t="s">
        <v>74</v>
      </c>
      <c r="R983" t="s">
        <v>74</v>
      </c>
      <c r="S983" t="s">
        <v>74</v>
      </c>
      <c r="T983" t="s">
        <v>18492</v>
      </c>
      <c r="U983" t="s">
        <v>18493</v>
      </c>
      <c r="V983" t="s">
        <v>18494</v>
      </c>
      <c r="W983" t="s">
        <v>18495</v>
      </c>
      <c r="X983" t="s">
        <v>18496</v>
      </c>
      <c r="Y983" t="s">
        <v>18497</v>
      </c>
      <c r="Z983" t="s">
        <v>74</v>
      </c>
      <c r="AA983" t="s">
        <v>18498</v>
      </c>
      <c r="AB983" t="s">
        <v>18499</v>
      </c>
      <c r="AC983" t="s">
        <v>18500</v>
      </c>
      <c r="AD983" t="s">
        <v>18501</v>
      </c>
      <c r="AE983" t="s">
        <v>18502</v>
      </c>
      <c r="AF983" t="s">
        <v>74</v>
      </c>
      <c r="AG983">
        <v>67</v>
      </c>
      <c r="AH983">
        <v>12</v>
      </c>
      <c r="AI983">
        <v>12</v>
      </c>
      <c r="AJ983">
        <v>0</v>
      </c>
      <c r="AK983">
        <v>30</v>
      </c>
      <c r="AL983" t="s">
        <v>2929</v>
      </c>
      <c r="AM983" t="s">
        <v>575</v>
      </c>
      <c r="AN983" t="s">
        <v>2930</v>
      </c>
      <c r="AO983" t="s">
        <v>2931</v>
      </c>
      <c r="AP983" t="s">
        <v>2932</v>
      </c>
      <c r="AQ983" t="s">
        <v>74</v>
      </c>
      <c r="AR983" t="s">
        <v>2933</v>
      </c>
      <c r="AS983" t="s">
        <v>2934</v>
      </c>
      <c r="AT983" t="s">
        <v>16960</v>
      </c>
      <c r="AU983">
        <v>2016</v>
      </c>
      <c r="AV983">
        <v>59</v>
      </c>
      <c r="AW983" t="s">
        <v>17049</v>
      </c>
      <c r="AX983" t="s">
        <v>74</v>
      </c>
      <c r="AY983" t="s">
        <v>74</v>
      </c>
      <c r="AZ983" t="s">
        <v>74</v>
      </c>
      <c r="BA983" t="s">
        <v>74</v>
      </c>
      <c r="BB983">
        <v>105</v>
      </c>
      <c r="BC983">
        <v>121</v>
      </c>
      <c r="BD983" t="s">
        <v>74</v>
      </c>
      <c r="BE983" t="s">
        <v>18503</v>
      </c>
      <c r="BF983" t="str">
        <f>HYPERLINK("http://dx.doi.org/10.1515/bot-2015-0071","http://dx.doi.org/10.1515/bot-2015-0071")</f>
        <v>http://dx.doi.org/10.1515/bot-2015-0071</v>
      </c>
      <c r="BG983" t="s">
        <v>74</v>
      </c>
      <c r="BH983" t="s">
        <v>74</v>
      </c>
      <c r="BI983">
        <v>17</v>
      </c>
      <c r="BJ983" t="s">
        <v>2936</v>
      </c>
      <c r="BK983" t="s">
        <v>156</v>
      </c>
      <c r="BL983" t="s">
        <v>2936</v>
      </c>
      <c r="BM983" t="s">
        <v>18504</v>
      </c>
      <c r="BN983" t="s">
        <v>74</v>
      </c>
      <c r="BO983" t="s">
        <v>1002</v>
      </c>
      <c r="BP983" t="s">
        <v>74</v>
      </c>
      <c r="BQ983" t="s">
        <v>74</v>
      </c>
      <c r="BR983" t="s">
        <v>105</v>
      </c>
      <c r="BS983" t="s">
        <v>18505</v>
      </c>
      <c r="BT983" t="str">
        <f>HYPERLINK("https%3A%2F%2Fwww.webofscience.com%2Fwos%2Fwoscc%2Ffull-record%2FWOS:000377547200003","View Full Record in Web of Science")</f>
        <v>View Full Record in Web of Science</v>
      </c>
    </row>
    <row r="984" spans="1:72" x14ac:dyDescent="0.15">
      <c r="A984" t="s">
        <v>72</v>
      </c>
      <c r="B984" t="s">
        <v>18506</v>
      </c>
      <c r="C984" t="s">
        <v>74</v>
      </c>
      <c r="D984" t="s">
        <v>74</v>
      </c>
      <c r="E984" t="s">
        <v>74</v>
      </c>
      <c r="F984" t="s">
        <v>18507</v>
      </c>
      <c r="G984" t="s">
        <v>74</v>
      </c>
      <c r="H984" t="s">
        <v>74</v>
      </c>
      <c r="I984" t="s">
        <v>18508</v>
      </c>
      <c r="J984" t="s">
        <v>11676</v>
      </c>
      <c r="K984" t="s">
        <v>74</v>
      </c>
      <c r="L984" t="s">
        <v>74</v>
      </c>
      <c r="M984" t="s">
        <v>78</v>
      </c>
      <c r="N984" t="s">
        <v>79</v>
      </c>
      <c r="O984" t="s">
        <v>74</v>
      </c>
      <c r="P984" t="s">
        <v>74</v>
      </c>
      <c r="Q984" t="s">
        <v>74</v>
      </c>
      <c r="R984" t="s">
        <v>74</v>
      </c>
      <c r="S984" t="s">
        <v>74</v>
      </c>
      <c r="T984" t="s">
        <v>74</v>
      </c>
      <c r="U984" t="s">
        <v>18509</v>
      </c>
      <c r="V984" t="s">
        <v>18510</v>
      </c>
      <c r="W984" t="s">
        <v>18511</v>
      </c>
      <c r="X984" t="s">
        <v>18512</v>
      </c>
      <c r="Y984" t="s">
        <v>18513</v>
      </c>
      <c r="Z984" t="s">
        <v>18514</v>
      </c>
      <c r="AA984" t="s">
        <v>18515</v>
      </c>
      <c r="AB984" t="s">
        <v>18516</v>
      </c>
      <c r="AC984" t="s">
        <v>18517</v>
      </c>
      <c r="AD984" t="s">
        <v>18518</v>
      </c>
      <c r="AE984" t="s">
        <v>18519</v>
      </c>
      <c r="AF984" t="s">
        <v>74</v>
      </c>
      <c r="AG984">
        <v>81</v>
      </c>
      <c r="AH984">
        <v>52</v>
      </c>
      <c r="AI984">
        <v>54</v>
      </c>
      <c r="AJ984">
        <v>2</v>
      </c>
      <c r="AK984">
        <v>31</v>
      </c>
      <c r="AL984" t="s">
        <v>397</v>
      </c>
      <c r="AM984" t="s">
        <v>398</v>
      </c>
      <c r="AN984" t="s">
        <v>3379</v>
      </c>
      <c r="AO984" t="s">
        <v>11683</v>
      </c>
      <c r="AP984" t="s">
        <v>11684</v>
      </c>
      <c r="AQ984" t="s">
        <v>74</v>
      </c>
      <c r="AR984" t="s">
        <v>11685</v>
      </c>
      <c r="AS984" t="s">
        <v>11686</v>
      </c>
      <c r="AT984" t="s">
        <v>16960</v>
      </c>
      <c r="AU984">
        <v>2016</v>
      </c>
      <c r="AV984">
        <v>97</v>
      </c>
      <c r="AW984">
        <v>6</v>
      </c>
      <c r="AX984" t="s">
        <v>74</v>
      </c>
      <c r="AY984" t="s">
        <v>74</v>
      </c>
      <c r="AZ984" t="s">
        <v>74</v>
      </c>
      <c r="BA984" t="s">
        <v>74</v>
      </c>
      <c r="BB984">
        <v>1033</v>
      </c>
      <c r="BC984">
        <v>1056</v>
      </c>
      <c r="BD984" t="s">
        <v>74</v>
      </c>
      <c r="BE984" t="s">
        <v>18520</v>
      </c>
      <c r="BF984" t="str">
        <f>HYPERLINK("http://dx.doi.org/10.1175/BAMS-D-14-00145.1","http://dx.doi.org/10.1175/BAMS-D-14-00145.1")</f>
        <v>http://dx.doi.org/10.1175/BAMS-D-14-00145.1</v>
      </c>
      <c r="BG984" t="s">
        <v>74</v>
      </c>
      <c r="BH984" t="s">
        <v>74</v>
      </c>
      <c r="BI984">
        <v>24</v>
      </c>
      <c r="BJ984" t="s">
        <v>2482</v>
      </c>
      <c r="BK984" t="s">
        <v>156</v>
      </c>
      <c r="BL984" t="s">
        <v>2482</v>
      </c>
      <c r="BM984" t="s">
        <v>18521</v>
      </c>
      <c r="BN984" t="s">
        <v>74</v>
      </c>
      <c r="BO984" t="s">
        <v>285</v>
      </c>
      <c r="BP984" t="s">
        <v>74</v>
      </c>
      <c r="BQ984" t="s">
        <v>74</v>
      </c>
      <c r="BR984" t="s">
        <v>105</v>
      </c>
      <c r="BS984" t="s">
        <v>18522</v>
      </c>
      <c r="BT984" t="str">
        <f>HYPERLINK("https%3A%2F%2Fwww.webofscience.com%2Fwos%2Fwoscc%2Ffull-record%2FWOS:000380345200013","View Full Record in Web of Science")</f>
        <v>View Full Record in Web of Science</v>
      </c>
    </row>
    <row r="985" spans="1:72" x14ac:dyDescent="0.15">
      <c r="A985" t="s">
        <v>72</v>
      </c>
      <c r="B985" t="s">
        <v>18523</v>
      </c>
      <c r="C985" t="s">
        <v>74</v>
      </c>
      <c r="D985" t="s">
        <v>74</v>
      </c>
      <c r="E985" t="s">
        <v>74</v>
      </c>
      <c r="F985" t="s">
        <v>18524</v>
      </c>
      <c r="G985" t="s">
        <v>74</v>
      </c>
      <c r="H985" t="s">
        <v>74</v>
      </c>
      <c r="I985" t="s">
        <v>18525</v>
      </c>
      <c r="J985" t="s">
        <v>831</v>
      </c>
      <c r="K985" t="s">
        <v>74</v>
      </c>
      <c r="L985" t="s">
        <v>74</v>
      </c>
      <c r="M985" t="s">
        <v>78</v>
      </c>
      <c r="N985" t="s">
        <v>79</v>
      </c>
      <c r="O985" t="s">
        <v>74</v>
      </c>
      <c r="P985" t="s">
        <v>74</v>
      </c>
      <c r="Q985" t="s">
        <v>74</v>
      </c>
      <c r="R985" t="s">
        <v>74</v>
      </c>
      <c r="S985" t="s">
        <v>74</v>
      </c>
      <c r="T985" t="s">
        <v>18526</v>
      </c>
      <c r="U985" t="s">
        <v>18527</v>
      </c>
      <c r="V985" t="s">
        <v>18528</v>
      </c>
      <c r="W985" t="s">
        <v>18529</v>
      </c>
      <c r="X985" t="s">
        <v>18530</v>
      </c>
      <c r="Y985" t="s">
        <v>18531</v>
      </c>
      <c r="Z985" t="s">
        <v>18532</v>
      </c>
      <c r="AA985" t="s">
        <v>18533</v>
      </c>
      <c r="AB985" t="s">
        <v>18534</v>
      </c>
      <c r="AC985" t="s">
        <v>18535</v>
      </c>
      <c r="AD985" t="s">
        <v>18536</v>
      </c>
      <c r="AE985" t="s">
        <v>18537</v>
      </c>
      <c r="AF985" t="s">
        <v>74</v>
      </c>
      <c r="AG985">
        <v>57</v>
      </c>
      <c r="AH985">
        <v>19</v>
      </c>
      <c r="AI985">
        <v>21</v>
      </c>
      <c r="AJ985">
        <v>0</v>
      </c>
      <c r="AK985">
        <v>55</v>
      </c>
      <c r="AL985" t="s">
        <v>303</v>
      </c>
      <c r="AM985" t="s">
        <v>304</v>
      </c>
      <c r="AN985" t="s">
        <v>305</v>
      </c>
      <c r="AO985" t="s">
        <v>842</v>
      </c>
      <c r="AP985" t="s">
        <v>843</v>
      </c>
      <c r="AQ985" t="s">
        <v>74</v>
      </c>
      <c r="AR985" t="s">
        <v>831</v>
      </c>
      <c r="AS985" t="s">
        <v>844</v>
      </c>
      <c r="AT985" t="s">
        <v>16960</v>
      </c>
      <c r="AU985">
        <v>2016</v>
      </c>
      <c r="AV985">
        <v>152</v>
      </c>
      <c r="AW985" t="s">
        <v>74</v>
      </c>
      <c r="AX985" t="s">
        <v>74</v>
      </c>
      <c r="AY985" t="s">
        <v>74</v>
      </c>
      <c r="AZ985" t="s">
        <v>74</v>
      </c>
      <c r="BA985" t="s">
        <v>74</v>
      </c>
      <c r="BB985">
        <v>142</v>
      </c>
      <c r="BC985">
        <v>157</v>
      </c>
      <c r="BD985" t="s">
        <v>74</v>
      </c>
      <c r="BE985" t="s">
        <v>18538</v>
      </c>
      <c r="BF985" t="str">
        <f>HYPERLINK("http://dx.doi.org/10.1016/j.chemosphere.2016.02.053","http://dx.doi.org/10.1016/j.chemosphere.2016.02.053")</f>
        <v>http://dx.doi.org/10.1016/j.chemosphere.2016.02.053</v>
      </c>
      <c r="BG985" t="s">
        <v>74</v>
      </c>
      <c r="BH985" t="s">
        <v>74</v>
      </c>
      <c r="BI985">
        <v>16</v>
      </c>
      <c r="BJ985" t="s">
        <v>846</v>
      </c>
      <c r="BK985" t="s">
        <v>156</v>
      </c>
      <c r="BL985" t="s">
        <v>532</v>
      </c>
      <c r="BM985" t="s">
        <v>18539</v>
      </c>
      <c r="BN985">
        <v>26966813</v>
      </c>
      <c r="BO985" t="s">
        <v>74</v>
      </c>
      <c r="BP985" t="s">
        <v>74</v>
      </c>
      <c r="BQ985" t="s">
        <v>74</v>
      </c>
      <c r="BR985" t="s">
        <v>105</v>
      </c>
      <c r="BS985" t="s">
        <v>18540</v>
      </c>
      <c r="BT985" t="str">
        <f>HYPERLINK("https%3A%2F%2Fwww.webofscience.com%2Fwos%2Fwoscc%2Ffull-record%2FWOS:000374616600018","View Full Record in Web of Science")</f>
        <v>View Full Record in Web of Science</v>
      </c>
    </row>
    <row r="986" spans="1:72" x14ac:dyDescent="0.15">
      <c r="A986" t="s">
        <v>72</v>
      </c>
      <c r="B986" t="s">
        <v>18541</v>
      </c>
      <c r="C986" t="s">
        <v>74</v>
      </c>
      <c r="D986" t="s">
        <v>74</v>
      </c>
      <c r="E986" t="s">
        <v>74</v>
      </c>
      <c r="F986" t="s">
        <v>18542</v>
      </c>
      <c r="G986" t="s">
        <v>74</v>
      </c>
      <c r="H986" t="s">
        <v>74</v>
      </c>
      <c r="I986" t="s">
        <v>18543</v>
      </c>
      <c r="J986" t="s">
        <v>18544</v>
      </c>
      <c r="K986" t="s">
        <v>74</v>
      </c>
      <c r="L986" t="s">
        <v>74</v>
      </c>
      <c r="M986" t="s">
        <v>78</v>
      </c>
      <c r="N986" t="s">
        <v>79</v>
      </c>
      <c r="O986" t="s">
        <v>74</v>
      </c>
      <c r="P986" t="s">
        <v>74</v>
      </c>
      <c r="Q986" t="s">
        <v>74</v>
      </c>
      <c r="R986" t="s">
        <v>74</v>
      </c>
      <c r="S986" t="s">
        <v>74</v>
      </c>
      <c r="T986" t="s">
        <v>18545</v>
      </c>
      <c r="U986" t="s">
        <v>18546</v>
      </c>
      <c r="V986" t="s">
        <v>18547</v>
      </c>
      <c r="W986" t="s">
        <v>18548</v>
      </c>
      <c r="X986" t="s">
        <v>18549</v>
      </c>
      <c r="Y986" t="s">
        <v>18550</v>
      </c>
      <c r="Z986" t="s">
        <v>18551</v>
      </c>
      <c r="AA986" t="s">
        <v>74</v>
      </c>
      <c r="AB986" t="s">
        <v>18552</v>
      </c>
      <c r="AC986" t="s">
        <v>18553</v>
      </c>
      <c r="AD986" t="s">
        <v>18553</v>
      </c>
      <c r="AE986" t="s">
        <v>18554</v>
      </c>
      <c r="AF986" t="s">
        <v>74</v>
      </c>
      <c r="AG986">
        <v>28</v>
      </c>
      <c r="AH986">
        <v>15</v>
      </c>
      <c r="AI986">
        <v>15</v>
      </c>
      <c r="AJ986">
        <v>3</v>
      </c>
      <c r="AK986">
        <v>26</v>
      </c>
      <c r="AL986" t="s">
        <v>92</v>
      </c>
      <c r="AM986" t="s">
        <v>93</v>
      </c>
      <c r="AN986" t="s">
        <v>94</v>
      </c>
      <c r="AO986" t="s">
        <v>18555</v>
      </c>
      <c r="AP986" t="s">
        <v>18556</v>
      </c>
      <c r="AQ986" t="s">
        <v>74</v>
      </c>
      <c r="AR986" t="s">
        <v>18557</v>
      </c>
      <c r="AS986" t="s">
        <v>18558</v>
      </c>
      <c r="AT986" t="s">
        <v>16960</v>
      </c>
      <c r="AU986">
        <v>2016</v>
      </c>
      <c r="AV986">
        <v>126</v>
      </c>
      <c r="AW986" t="s">
        <v>74</v>
      </c>
      <c r="AX986" t="s">
        <v>74</v>
      </c>
      <c r="AY986" t="s">
        <v>74</v>
      </c>
      <c r="AZ986" t="s">
        <v>74</v>
      </c>
      <c r="BA986" t="s">
        <v>74</v>
      </c>
      <c r="BB986">
        <v>51</v>
      </c>
      <c r="BC986">
        <v>54</v>
      </c>
      <c r="BD986" t="s">
        <v>74</v>
      </c>
      <c r="BE986" t="s">
        <v>18559</v>
      </c>
      <c r="BF986" t="str">
        <f>HYPERLINK("http://dx.doi.org/10.1016/j.coldregions.2016.04.002","http://dx.doi.org/10.1016/j.coldregions.2016.04.002")</f>
        <v>http://dx.doi.org/10.1016/j.coldregions.2016.04.002</v>
      </c>
      <c r="BG986" t="s">
        <v>74</v>
      </c>
      <c r="BH986" t="s">
        <v>74</v>
      </c>
      <c r="BI986">
        <v>4</v>
      </c>
      <c r="BJ986" t="s">
        <v>18560</v>
      </c>
      <c r="BK986" t="s">
        <v>156</v>
      </c>
      <c r="BL986" t="s">
        <v>4474</v>
      </c>
      <c r="BM986" t="s">
        <v>18561</v>
      </c>
      <c r="BN986" t="s">
        <v>74</v>
      </c>
      <c r="BO986" t="s">
        <v>74</v>
      </c>
      <c r="BP986" t="s">
        <v>74</v>
      </c>
      <c r="BQ986" t="s">
        <v>74</v>
      </c>
      <c r="BR986" t="s">
        <v>105</v>
      </c>
      <c r="BS986" t="s">
        <v>18562</v>
      </c>
      <c r="BT986" t="str">
        <f>HYPERLINK("https%3A%2F%2Fwww.webofscience.com%2Fwos%2Fwoscc%2Ffull-record%2FWOS:000374992400007","View Full Record in Web of Science")</f>
        <v>View Full Record in Web of Science</v>
      </c>
    </row>
    <row r="987" spans="1:72" x14ac:dyDescent="0.15">
      <c r="A987" t="s">
        <v>72</v>
      </c>
      <c r="B987" t="s">
        <v>18563</v>
      </c>
      <c r="C987" t="s">
        <v>74</v>
      </c>
      <c r="D987" t="s">
        <v>74</v>
      </c>
      <c r="E987" t="s">
        <v>74</v>
      </c>
      <c r="F987" t="s">
        <v>18564</v>
      </c>
      <c r="G987" t="s">
        <v>74</v>
      </c>
      <c r="H987" t="s">
        <v>74</v>
      </c>
      <c r="I987" t="s">
        <v>18565</v>
      </c>
      <c r="J987" t="s">
        <v>18566</v>
      </c>
      <c r="K987" t="s">
        <v>74</v>
      </c>
      <c r="L987" t="s">
        <v>74</v>
      </c>
      <c r="M987" t="s">
        <v>78</v>
      </c>
      <c r="N987" t="s">
        <v>2730</v>
      </c>
      <c r="O987" t="s">
        <v>18567</v>
      </c>
      <c r="P987" t="s">
        <v>18568</v>
      </c>
      <c r="Q987" t="s">
        <v>18569</v>
      </c>
      <c r="R987" t="s">
        <v>74</v>
      </c>
      <c r="S987" t="s">
        <v>74</v>
      </c>
      <c r="T987" t="s">
        <v>18570</v>
      </c>
      <c r="U987" t="s">
        <v>18571</v>
      </c>
      <c r="V987" t="s">
        <v>18572</v>
      </c>
      <c r="W987" t="s">
        <v>18573</v>
      </c>
      <c r="X987" t="s">
        <v>18574</v>
      </c>
      <c r="Y987" t="s">
        <v>18575</v>
      </c>
      <c r="Z987" t="s">
        <v>18576</v>
      </c>
      <c r="AA987" t="s">
        <v>18577</v>
      </c>
      <c r="AB987" t="s">
        <v>18578</v>
      </c>
      <c r="AC987" t="s">
        <v>74</v>
      </c>
      <c r="AD987" t="s">
        <v>74</v>
      </c>
      <c r="AE987" t="s">
        <v>74</v>
      </c>
      <c r="AF987" t="s">
        <v>74</v>
      </c>
      <c r="AG987">
        <v>28</v>
      </c>
      <c r="AH987">
        <v>4</v>
      </c>
      <c r="AI987">
        <v>4</v>
      </c>
      <c r="AJ987">
        <v>0</v>
      </c>
      <c r="AK987">
        <v>7</v>
      </c>
      <c r="AL987" t="s">
        <v>303</v>
      </c>
      <c r="AM987" t="s">
        <v>304</v>
      </c>
      <c r="AN987" t="s">
        <v>305</v>
      </c>
      <c r="AO987" t="s">
        <v>18579</v>
      </c>
      <c r="AP987" t="s">
        <v>18580</v>
      </c>
      <c r="AQ987" t="s">
        <v>74</v>
      </c>
      <c r="AR987" t="s">
        <v>18581</v>
      </c>
      <c r="AS987" t="s">
        <v>18582</v>
      </c>
      <c r="AT987" t="s">
        <v>16960</v>
      </c>
      <c r="AU987">
        <v>2016</v>
      </c>
      <c r="AV987">
        <v>71</v>
      </c>
      <c r="AW987">
        <v>11</v>
      </c>
      <c r="AX987" t="s">
        <v>74</v>
      </c>
      <c r="AY987" t="s">
        <v>74</v>
      </c>
      <c r="AZ987" t="s">
        <v>74</v>
      </c>
      <c r="BA987" t="s">
        <v>74</v>
      </c>
      <c r="BB987">
        <v>2206</v>
      </c>
      <c r="BC987">
        <v>2217</v>
      </c>
      <c r="BD987" t="s">
        <v>74</v>
      </c>
      <c r="BE987" t="s">
        <v>18583</v>
      </c>
      <c r="BF987" t="str">
        <f>HYPERLINK("http://dx.doi.org/10.1016/j.camwa.2015.12.041","http://dx.doi.org/10.1016/j.camwa.2015.12.041")</f>
        <v>http://dx.doi.org/10.1016/j.camwa.2015.12.041</v>
      </c>
      <c r="BG987" t="s">
        <v>74</v>
      </c>
      <c r="BH987" t="s">
        <v>74</v>
      </c>
      <c r="BI987">
        <v>12</v>
      </c>
      <c r="BJ987" t="s">
        <v>14663</v>
      </c>
      <c r="BK987" t="s">
        <v>2548</v>
      </c>
      <c r="BL987" t="s">
        <v>14664</v>
      </c>
      <c r="BM987" t="s">
        <v>18584</v>
      </c>
      <c r="BN987" t="s">
        <v>74</v>
      </c>
      <c r="BO987" t="s">
        <v>74</v>
      </c>
      <c r="BP987" t="s">
        <v>74</v>
      </c>
      <c r="BQ987" t="s">
        <v>74</v>
      </c>
      <c r="BR987" t="s">
        <v>105</v>
      </c>
      <c r="BS987" t="s">
        <v>18585</v>
      </c>
      <c r="BT987" t="str">
        <f>HYPERLINK("https%3A%2F%2Fwww.webofscience.com%2Fwos%2Fwoscc%2Ffull-record%2FWOS:000377831800006","View Full Record in Web of Science")</f>
        <v>View Full Record in Web of Science</v>
      </c>
    </row>
    <row r="988" spans="1:72" x14ac:dyDescent="0.15">
      <c r="A988" t="s">
        <v>72</v>
      </c>
      <c r="B988" t="s">
        <v>18586</v>
      </c>
      <c r="C988" t="s">
        <v>74</v>
      </c>
      <c r="D988" t="s">
        <v>74</v>
      </c>
      <c r="E988" t="s">
        <v>74</v>
      </c>
      <c r="F988" t="s">
        <v>18587</v>
      </c>
      <c r="G988" t="s">
        <v>74</v>
      </c>
      <c r="H988" t="s">
        <v>74</v>
      </c>
      <c r="I988" t="s">
        <v>18588</v>
      </c>
      <c r="J988" t="s">
        <v>18589</v>
      </c>
      <c r="K988" t="s">
        <v>74</v>
      </c>
      <c r="L988" t="s">
        <v>74</v>
      </c>
      <c r="M988" t="s">
        <v>78</v>
      </c>
      <c r="N988" t="s">
        <v>79</v>
      </c>
      <c r="O988" t="s">
        <v>74</v>
      </c>
      <c r="P988" t="s">
        <v>74</v>
      </c>
      <c r="Q988" t="s">
        <v>74</v>
      </c>
      <c r="R988" t="s">
        <v>74</v>
      </c>
      <c r="S988" t="s">
        <v>74</v>
      </c>
      <c r="T988" t="s">
        <v>18590</v>
      </c>
      <c r="U988" t="s">
        <v>18591</v>
      </c>
      <c r="V988" t="s">
        <v>18592</v>
      </c>
      <c r="W988" t="s">
        <v>18593</v>
      </c>
      <c r="X988" t="s">
        <v>18594</v>
      </c>
      <c r="Y988" t="s">
        <v>18595</v>
      </c>
      <c r="Z988" t="s">
        <v>18596</v>
      </c>
      <c r="AA988" t="s">
        <v>18597</v>
      </c>
      <c r="AB988" t="s">
        <v>18598</v>
      </c>
      <c r="AC988" t="s">
        <v>18599</v>
      </c>
      <c r="AD988" t="s">
        <v>18600</v>
      </c>
      <c r="AE988" t="s">
        <v>18601</v>
      </c>
      <c r="AF988" t="s">
        <v>74</v>
      </c>
      <c r="AG988">
        <v>36</v>
      </c>
      <c r="AH988">
        <v>57</v>
      </c>
      <c r="AI988">
        <v>58</v>
      </c>
      <c r="AJ988">
        <v>1</v>
      </c>
      <c r="AK988">
        <v>41</v>
      </c>
      <c r="AL988" t="s">
        <v>501</v>
      </c>
      <c r="AM988" t="s">
        <v>502</v>
      </c>
      <c r="AN988" t="s">
        <v>503</v>
      </c>
      <c r="AO988" t="s">
        <v>18602</v>
      </c>
      <c r="AP988" t="s">
        <v>18603</v>
      </c>
      <c r="AQ988" t="s">
        <v>74</v>
      </c>
      <c r="AR988" t="s">
        <v>18604</v>
      </c>
      <c r="AS988" t="s">
        <v>18605</v>
      </c>
      <c r="AT988" t="s">
        <v>16960</v>
      </c>
      <c r="AU988">
        <v>2016</v>
      </c>
      <c r="AV988">
        <v>30</v>
      </c>
      <c r="AW988">
        <v>3</v>
      </c>
      <c r="AX988" t="s">
        <v>74</v>
      </c>
      <c r="AY988" t="s">
        <v>74</v>
      </c>
      <c r="AZ988" t="s">
        <v>74</v>
      </c>
      <c r="BA988" t="s">
        <v>74</v>
      </c>
      <c r="BB988">
        <v>571</v>
      </c>
      <c r="BC988">
        <v>581</v>
      </c>
      <c r="BD988" t="s">
        <v>74</v>
      </c>
      <c r="BE988" t="s">
        <v>18606</v>
      </c>
      <c r="BF988" t="str">
        <f>HYPERLINK("http://dx.doi.org/10.1111/cobi.12649","http://dx.doi.org/10.1111/cobi.12649")</f>
        <v>http://dx.doi.org/10.1111/cobi.12649</v>
      </c>
      <c r="BG988" t="s">
        <v>74</v>
      </c>
      <c r="BH988" t="s">
        <v>74</v>
      </c>
      <c r="BI988">
        <v>11</v>
      </c>
      <c r="BJ988" t="s">
        <v>3460</v>
      </c>
      <c r="BK988" t="s">
        <v>156</v>
      </c>
      <c r="BL988" t="s">
        <v>653</v>
      </c>
      <c r="BM988" t="s">
        <v>18607</v>
      </c>
      <c r="BN988">
        <v>26507117</v>
      </c>
      <c r="BO988" t="s">
        <v>18608</v>
      </c>
      <c r="BP988" t="s">
        <v>74</v>
      </c>
      <c r="BQ988" t="s">
        <v>74</v>
      </c>
      <c r="BR988" t="s">
        <v>105</v>
      </c>
      <c r="BS988" t="s">
        <v>18609</v>
      </c>
      <c r="BT988" t="str">
        <f>HYPERLINK("https%3A%2F%2Fwww.webofscience.com%2Fwos%2Fwoscc%2Ffull-record%2FWOS:000379945600014","View Full Record in Web of Science")</f>
        <v>View Full Record in Web of Science</v>
      </c>
    </row>
    <row r="989" spans="1:72" x14ac:dyDescent="0.15">
      <c r="A989" t="s">
        <v>72</v>
      </c>
      <c r="B989" t="s">
        <v>18610</v>
      </c>
      <c r="C989" t="s">
        <v>74</v>
      </c>
      <c r="D989" t="s">
        <v>74</v>
      </c>
      <c r="E989" t="s">
        <v>74</v>
      </c>
      <c r="F989" t="s">
        <v>18611</v>
      </c>
      <c r="G989" t="s">
        <v>74</v>
      </c>
      <c r="H989" t="s">
        <v>74</v>
      </c>
      <c r="I989" t="s">
        <v>18612</v>
      </c>
      <c r="J989" t="s">
        <v>900</v>
      </c>
      <c r="K989" t="s">
        <v>74</v>
      </c>
      <c r="L989" t="s">
        <v>74</v>
      </c>
      <c r="M989" t="s">
        <v>78</v>
      </c>
      <c r="N989" t="s">
        <v>79</v>
      </c>
      <c r="O989" t="s">
        <v>74</v>
      </c>
      <c r="P989" t="s">
        <v>74</v>
      </c>
      <c r="Q989" t="s">
        <v>74</v>
      </c>
      <c r="R989" t="s">
        <v>74</v>
      </c>
      <c r="S989" t="s">
        <v>74</v>
      </c>
      <c r="T989" t="s">
        <v>18613</v>
      </c>
      <c r="U989" t="s">
        <v>18614</v>
      </c>
      <c r="V989" t="s">
        <v>18615</v>
      </c>
      <c r="W989" t="s">
        <v>18616</v>
      </c>
      <c r="X989" t="s">
        <v>18617</v>
      </c>
      <c r="Y989" t="s">
        <v>18618</v>
      </c>
      <c r="Z989" t="s">
        <v>18619</v>
      </c>
      <c r="AA989" t="s">
        <v>18620</v>
      </c>
      <c r="AB989" t="s">
        <v>18621</v>
      </c>
      <c r="AC989" t="s">
        <v>18622</v>
      </c>
      <c r="AD989" t="s">
        <v>18623</v>
      </c>
      <c r="AE989" t="s">
        <v>18624</v>
      </c>
      <c r="AF989" t="s">
        <v>74</v>
      </c>
      <c r="AG989">
        <v>49</v>
      </c>
      <c r="AH989">
        <v>40</v>
      </c>
      <c r="AI989">
        <v>43</v>
      </c>
      <c r="AJ989">
        <v>0</v>
      </c>
      <c r="AK989">
        <v>25</v>
      </c>
      <c r="AL989" t="s">
        <v>196</v>
      </c>
      <c r="AM989" t="s">
        <v>93</v>
      </c>
      <c r="AN989" t="s">
        <v>197</v>
      </c>
      <c r="AO989" t="s">
        <v>913</v>
      </c>
      <c r="AP989" t="s">
        <v>914</v>
      </c>
      <c r="AQ989" t="s">
        <v>74</v>
      </c>
      <c r="AR989" t="s">
        <v>915</v>
      </c>
      <c r="AS989" t="s">
        <v>916</v>
      </c>
      <c r="AT989" t="s">
        <v>17000</v>
      </c>
      <c r="AU989">
        <v>2016</v>
      </c>
      <c r="AV989">
        <v>443</v>
      </c>
      <c r="AW989" t="s">
        <v>74</v>
      </c>
      <c r="AX989" t="s">
        <v>74</v>
      </c>
      <c r="AY989" t="s">
        <v>74</v>
      </c>
      <c r="AZ989" t="s">
        <v>74</v>
      </c>
      <c r="BA989" t="s">
        <v>74</v>
      </c>
      <c r="BB989">
        <v>1</v>
      </c>
      <c r="BC989">
        <v>8</v>
      </c>
      <c r="BD989" t="s">
        <v>74</v>
      </c>
      <c r="BE989" t="s">
        <v>18625</v>
      </c>
      <c r="BF989" t="str">
        <f>HYPERLINK("http://dx.doi.org/10.1016/j.epsl.2016.03.009","http://dx.doi.org/10.1016/j.epsl.2016.03.009")</f>
        <v>http://dx.doi.org/10.1016/j.epsl.2016.03.009</v>
      </c>
      <c r="BG989" t="s">
        <v>74</v>
      </c>
      <c r="BH989" t="s">
        <v>74</v>
      </c>
      <c r="BI989">
        <v>8</v>
      </c>
      <c r="BJ989" t="s">
        <v>155</v>
      </c>
      <c r="BK989" t="s">
        <v>156</v>
      </c>
      <c r="BL989" t="s">
        <v>155</v>
      </c>
      <c r="BM989" t="s">
        <v>18626</v>
      </c>
      <c r="BN989" t="s">
        <v>74</v>
      </c>
      <c r="BO989" t="s">
        <v>4193</v>
      </c>
      <c r="BP989" t="s">
        <v>74</v>
      </c>
      <c r="BQ989" t="s">
        <v>74</v>
      </c>
      <c r="BR989" t="s">
        <v>105</v>
      </c>
      <c r="BS989" t="s">
        <v>18627</v>
      </c>
      <c r="BT989" t="str">
        <f>HYPERLINK("https%3A%2F%2Fwww.webofscience.com%2Fwos%2Fwoscc%2Ffull-record%2FWOS:000375508800001","View Full Record in Web of Science")</f>
        <v>View Full Record in Web of Science</v>
      </c>
    </row>
    <row r="990" spans="1:72" x14ac:dyDescent="0.15">
      <c r="A990" t="s">
        <v>72</v>
      </c>
      <c r="B990" t="s">
        <v>18628</v>
      </c>
      <c r="C990" t="s">
        <v>74</v>
      </c>
      <c r="D990" t="s">
        <v>74</v>
      </c>
      <c r="E990" t="s">
        <v>74</v>
      </c>
      <c r="F990" t="s">
        <v>18629</v>
      </c>
      <c r="G990" t="s">
        <v>74</v>
      </c>
      <c r="H990" t="s">
        <v>74</v>
      </c>
      <c r="I990" t="s">
        <v>18630</v>
      </c>
      <c r="J990" t="s">
        <v>18631</v>
      </c>
      <c r="K990" t="s">
        <v>74</v>
      </c>
      <c r="L990" t="s">
        <v>74</v>
      </c>
      <c r="M990" t="s">
        <v>78</v>
      </c>
      <c r="N990" t="s">
        <v>317</v>
      </c>
      <c r="O990" t="s">
        <v>74</v>
      </c>
      <c r="P990" t="s">
        <v>74</v>
      </c>
      <c r="Q990" t="s">
        <v>74</v>
      </c>
      <c r="R990" t="s">
        <v>74</v>
      </c>
      <c r="S990" t="s">
        <v>74</v>
      </c>
      <c r="T990" t="s">
        <v>18632</v>
      </c>
      <c r="U990" t="s">
        <v>18633</v>
      </c>
      <c r="V990" t="s">
        <v>18634</v>
      </c>
      <c r="W990" t="s">
        <v>18635</v>
      </c>
      <c r="X990" t="s">
        <v>18636</v>
      </c>
      <c r="Y990" t="s">
        <v>18637</v>
      </c>
      <c r="Z990" t="s">
        <v>11620</v>
      </c>
      <c r="AA990" t="s">
        <v>18638</v>
      </c>
      <c r="AB990" t="s">
        <v>18639</v>
      </c>
      <c r="AC990" t="s">
        <v>18640</v>
      </c>
      <c r="AD990" t="s">
        <v>18641</v>
      </c>
      <c r="AE990" t="s">
        <v>18642</v>
      </c>
      <c r="AF990" t="s">
        <v>74</v>
      </c>
      <c r="AG990">
        <v>41</v>
      </c>
      <c r="AH990">
        <v>9</v>
      </c>
      <c r="AI990">
        <v>10</v>
      </c>
      <c r="AJ990">
        <v>0</v>
      </c>
      <c r="AK990">
        <v>51</v>
      </c>
      <c r="AL990" t="s">
        <v>2670</v>
      </c>
      <c r="AM990" t="s">
        <v>594</v>
      </c>
      <c r="AN990" t="s">
        <v>3187</v>
      </c>
      <c r="AO990" t="s">
        <v>18643</v>
      </c>
      <c r="AP990" t="s">
        <v>18644</v>
      </c>
      <c r="AQ990" t="s">
        <v>74</v>
      </c>
      <c r="AR990" t="s">
        <v>18645</v>
      </c>
      <c r="AS990" t="s">
        <v>18646</v>
      </c>
      <c r="AT990" t="s">
        <v>16960</v>
      </c>
      <c r="AU990">
        <v>2016</v>
      </c>
      <c r="AV990">
        <v>43</v>
      </c>
      <c r="AW990">
        <v>2</v>
      </c>
      <c r="AX990" t="s">
        <v>74</v>
      </c>
      <c r="AY990" t="s">
        <v>74</v>
      </c>
      <c r="AZ990" t="s">
        <v>74</v>
      </c>
      <c r="BA990" t="s">
        <v>74</v>
      </c>
      <c r="BB990">
        <v>97</v>
      </c>
      <c r="BC990">
        <v>108</v>
      </c>
      <c r="BD990" t="s">
        <v>74</v>
      </c>
      <c r="BE990" t="s">
        <v>18647</v>
      </c>
      <c r="BF990" t="str">
        <f>HYPERLINK("http://dx.doi.org/10.1017/S0376892915000387","http://dx.doi.org/10.1017/S0376892915000387")</f>
        <v>http://dx.doi.org/10.1017/S0376892915000387</v>
      </c>
      <c r="BG990" t="s">
        <v>74</v>
      </c>
      <c r="BH990" t="s">
        <v>74</v>
      </c>
      <c r="BI990">
        <v>12</v>
      </c>
      <c r="BJ990" t="s">
        <v>18648</v>
      </c>
      <c r="BK990" t="s">
        <v>156</v>
      </c>
      <c r="BL990" t="s">
        <v>653</v>
      </c>
      <c r="BM990" t="s">
        <v>18649</v>
      </c>
      <c r="BN990" t="s">
        <v>74</v>
      </c>
      <c r="BO990" t="s">
        <v>329</v>
      </c>
      <c r="BP990" t="s">
        <v>74</v>
      </c>
      <c r="BQ990" t="s">
        <v>74</v>
      </c>
      <c r="BR990" t="s">
        <v>105</v>
      </c>
      <c r="BS990" t="s">
        <v>18650</v>
      </c>
      <c r="BT990" t="str">
        <f>HYPERLINK("https%3A%2F%2Fwww.webofscience.com%2Fwos%2Fwoscc%2Ffull-record%2FWOS:000376036400001","View Full Record in Web of Science")</f>
        <v>View Full Record in Web of Science</v>
      </c>
    </row>
    <row r="991" spans="1:72" x14ac:dyDescent="0.15">
      <c r="A991" t="s">
        <v>72</v>
      </c>
      <c r="B991" t="s">
        <v>18651</v>
      </c>
      <c r="C991" t="s">
        <v>74</v>
      </c>
      <c r="D991" t="s">
        <v>74</v>
      </c>
      <c r="E991" t="s">
        <v>74</v>
      </c>
      <c r="F991" t="s">
        <v>18652</v>
      </c>
      <c r="G991" t="s">
        <v>74</v>
      </c>
      <c r="H991" t="s">
        <v>74</v>
      </c>
      <c r="I991" t="s">
        <v>18653</v>
      </c>
      <c r="J991" t="s">
        <v>5874</v>
      </c>
      <c r="K991" t="s">
        <v>74</v>
      </c>
      <c r="L991" t="s">
        <v>74</v>
      </c>
      <c r="M991" t="s">
        <v>78</v>
      </c>
      <c r="N991" t="s">
        <v>79</v>
      </c>
      <c r="O991" t="s">
        <v>74</v>
      </c>
      <c r="P991" t="s">
        <v>74</v>
      </c>
      <c r="Q991" t="s">
        <v>74</v>
      </c>
      <c r="R991" t="s">
        <v>74</v>
      </c>
      <c r="S991" t="s">
        <v>74</v>
      </c>
      <c r="T991" t="s">
        <v>74</v>
      </c>
      <c r="U991" t="s">
        <v>18654</v>
      </c>
      <c r="V991" t="s">
        <v>18655</v>
      </c>
      <c r="W991" t="s">
        <v>18656</v>
      </c>
      <c r="X991" t="s">
        <v>18657</v>
      </c>
      <c r="Y991" t="s">
        <v>18658</v>
      </c>
      <c r="Z991" t="s">
        <v>18659</v>
      </c>
      <c r="AA991" t="s">
        <v>18660</v>
      </c>
      <c r="AB991" t="s">
        <v>18661</v>
      </c>
      <c r="AC991" t="s">
        <v>18662</v>
      </c>
      <c r="AD991" t="s">
        <v>18663</v>
      </c>
      <c r="AE991" t="s">
        <v>18664</v>
      </c>
      <c r="AF991" t="s">
        <v>74</v>
      </c>
      <c r="AG991">
        <v>69</v>
      </c>
      <c r="AH991">
        <v>42</v>
      </c>
      <c r="AI991">
        <v>46</v>
      </c>
      <c r="AJ991">
        <v>10</v>
      </c>
      <c r="AK991">
        <v>99</v>
      </c>
      <c r="AL991" t="s">
        <v>501</v>
      </c>
      <c r="AM991" t="s">
        <v>502</v>
      </c>
      <c r="AN991" t="s">
        <v>503</v>
      </c>
      <c r="AO991" t="s">
        <v>5886</v>
      </c>
      <c r="AP991" t="s">
        <v>5887</v>
      </c>
      <c r="AQ991" t="s">
        <v>74</v>
      </c>
      <c r="AR991" t="s">
        <v>5888</v>
      </c>
      <c r="AS991" t="s">
        <v>5889</v>
      </c>
      <c r="AT991" t="s">
        <v>16960</v>
      </c>
      <c r="AU991">
        <v>2016</v>
      </c>
      <c r="AV991">
        <v>18</v>
      </c>
      <c r="AW991">
        <v>6</v>
      </c>
      <c r="AX991" t="s">
        <v>74</v>
      </c>
      <c r="AY991" t="s">
        <v>74</v>
      </c>
      <c r="AZ991" t="s">
        <v>650</v>
      </c>
      <c r="BA991" t="s">
        <v>74</v>
      </c>
      <c r="BB991">
        <v>1834</v>
      </c>
      <c r="BC991">
        <v>1849</v>
      </c>
      <c r="BD991" t="s">
        <v>74</v>
      </c>
      <c r="BE991" t="s">
        <v>18665</v>
      </c>
      <c r="BF991" t="str">
        <f>HYPERLINK("http://dx.doi.org/10.1111/1462-2920.13034","http://dx.doi.org/10.1111/1462-2920.13034")</f>
        <v>http://dx.doi.org/10.1111/1462-2920.13034</v>
      </c>
      <c r="BG991" t="s">
        <v>74</v>
      </c>
      <c r="BH991" t="s">
        <v>74</v>
      </c>
      <c r="BI991">
        <v>16</v>
      </c>
      <c r="BJ991" t="s">
        <v>130</v>
      </c>
      <c r="BK991" t="s">
        <v>156</v>
      </c>
      <c r="BL991" t="s">
        <v>130</v>
      </c>
      <c r="BM991" t="s">
        <v>18666</v>
      </c>
      <c r="BN991">
        <v>26310523</v>
      </c>
      <c r="BO991" t="s">
        <v>74</v>
      </c>
      <c r="BP991" t="s">
        <v>74</v>
      </c>
      <c r="BQ991" t="s">
        <v>74</v>
      </c>
      <c r="BR991" t="s">
        <v>105</v>
      </c>
      <c r="BS991" t="s">
        <v>18667</v>
      </c>
      <c r="BT991" t="str">
        <f>HYPERLINK("https%3A%2F%2Fwww.webofscience.com%2Fwos%2Fwoscc%2Ffull-record%2FWOS:000380376700014","View Full Record in Web of Science")</f>
        <v>View Full Record in Web of Science</v>
      </c>
    </row>
    <row r="992" spans="1:72" x14ac:dyDescent="0.15">
      <c r="A992" t="s">
        <v>72</v>
      </c>
      <c r="B992" t="s">
        <v>18668</v>
      </c>
      <c r="C992" t="s">
        <v>74</v>
      </c>
      <c r="D992" t="s">
        <v>74</v>
      </c>
      <c r="E992" t="s">
        <v>74</v>
      </c>
      <c r="F992" t="s">
        <v>18669</v>
      </c>
      <c r="G992" t="s">
        <v>74</v>
      </c>
      <c r="H992" t="s">
        <v>74</v>
      </c>
      <c r="I992" t="s">
        <v>18670</v>
      </c>
      <c r="J992" t="s">
        <v>5874</v>
      </c>
      <c r="K992" t="s">
        <v>74</v>
      </c>
      <c r="L992" t="s">
        <v>74</v>
      </c>
      <c r="M992" t="s">
        <v>78</v>
      </c>
      <c r="N992" t="s">
        <v>79</v>
      </c>
      <c r="O992" t="s">
        <v>74</v>
      </c>
      <c r="P992" t="s">
        <v>74</v>
      </c>
      <c r="Q992" t="s">
        <v>74</v>
      </c>
      <c r="R992" t="s">
        <v>74</v>
      </c>
      <c r="S992" t="s">
        <v>74</v>
      </c>
      <c r="T992" t="s">
        <v>74</v>
      </c>
      <c r="U992" t="s">
        <v>18671</v>
      </c>
      <c r="V992" t="s">
        <v>18672</v>
      </c>
      <c r="W992" t="s">
        <v>18673</v>
      </c>
      <c r="X992" t="s">
        <v>18674</v>
      </c>
      <c r="Y992" t="s">
        <v>18675</v>
      </c>
      <c r="Z992" t="s">
        <v>18676</v>
      </c>
      <c r="AA992" t="s">
        <v>18677</v>
      </c>
      <c r="AB992" t="s">
        <v>18678</v>
      </c>
      <c r="AC992" t="s">
        <v>18679</v>
      </c>
      <c r="AD992" t="s">
        <v>18679</v>
      </c>
      <c r="AE992" t="s">
        <v>18680</v>
      </c>
      <c r="AF992" t="s">
        <v>74</v>
      </c>
      <c r="AG992">
        <v>73</v>
      </c>
      <c r="AH992">
        <v>72</v>
      </c>
      <c r="AI992">
        <v>78</v>
      </c>
      <c r="AJ992">
        <v>7</v>
      </c>
      <c r="AK992">
        <v>103</v>
      </c>
      <c r="AL992" t="s">
        <v>2541</v>
      </c>
      <c r="AM992" t="s">
        <v>502</v>
      </c>
      <c r="AN992" t="s">
        <v>503</v>
      </c>
      <c r="AO992" t="s">
        <v>5886</v>
      </c>
      <c r="AP992" t="s">
        <v>5887</v>
      </c>
      <c r="AQ992" t="s">
        <v>74</v>
      </c>
      <c r="AR992" t="s">
        <v>5888</v>
      </c>
      <c r="AS992" t="s">
        <v>5889</v>
      </c>
      <c r="AT992" t="s">
        <v>16960</v>
      </c>
      <c r="AU992">
        <v>2016</v>
      </c>
      <c r="AV992">
        <v>18</v>
      </c>
      <c r="AW992">
        <v>6</v>
      </c>
      <c r="AX992" t="s">
        <v>74</v>
      </c>
      <c r="AY992" t="s">
        <v>74</v>
      </c>
      <c r="AZ992" t="s">
        <v>650</v>
      </c>
      <c r="BA992" t="s">
        <v>74</v>
      </c>
      <c r="BB992">
        <v>1875</v>
      </c>
      <c r="BC992">
        <v>1888</v>
      </c>
      <c r="BD992" t="s">
        <v>74</v>
      </c>
      <c r="BE992" t="s">
        <v>18681</v>
      </c>
      <c r="BF992" t="str">
        <f>HYPERLINK("http://dx.doi.org/10.1111/1462-2920.13088","http://dx.doi.org/10.1111/1462-2920.13088")</f>
        <v>http://dx.doi.org/10.1111/1462-2920.13088</v>
      </c>
      <c r="BG992" t="s">
        <v>74</v>
      </c>
      <c r="BH992" t="s">
        <v>74</v>
      </c>
      <c r="BI992">
        <v>14</v>
      </c>
      <c r="BJ992" t="s">
        <v>130</v>
      </c>
      <c r="BK992" t="s">
        <v>156</v>
      </c>
      <c r="BL992" t="s">
        <v>130</v>
      </c>
      <c r="BM992" t="s">
        <v>18666</v>
      </c>
      <c r="BN992">
        <v>26470632</v>
      </c>
      <c r="BO992" t="s">
        <v>805</v>
      </c>
      <c r="BP992" t="s">
        <v>74</v>
      </c>
      <c r="BQ992" t="s">
        <v>74</v>
      </c>
      <c r="BR992" t="s">
        <v>105</v>
      </c>
      <c r="BS992" t="s">
        <v>18682</v>
      </c>
      <c r="BT992" t="str">
        <f>HYPERLINK("https%3A%2F%2Fwww.webofscience.com%2Fwos%2Fwoscc%2Ffull-record%2FWOS:000380376700017","View Full Record in Web of Science")</f>
        <v>View Full Record in Web of Science</v>
      </c>
    </row>
    <row r="993" spans="1:72" x14ac:dyDescent="0.15">
      <c r="A993" t="s">
        <v>72</v>
      </c>
      <c r="B993" t="s">
        <v>18683</v>
      </c>
      <c r="C993" t="s">
        <v>74</v>
      </c>
      <c r="D993" t="s">
        <v>74</v>
      </c>
      <c r="E993" t="s">
        <v>74</v>
      </c>
      <c r="F993" t="s">
        <v>18684</v>
      </c>
      <c r="G993" t="s">
        <v>74</v>
      </c>
      <c r="H993" t="s">
        <v>74</v>
      </c>
      <c r="I993" t="s">
        <v>18685</v>
      </c>
      <c r="J993" t="s">
        <v>3536</v>
      </c>
      <c r="K993" t="s">
        <v>74</v>
      </c>
      <c r="L993" t="s">
        <v>74</v>
      </c>
      <c r="M993" t="s">
        <v>78</v>
      </c>
      <c r="N993" t="s">
        <v>79</v>
      </c>
      <c r="O993" t="s">
        <v>74</v>
      </c>
      <c r="P993" t="s">
        <v>74</v>
      </c>
      <c r="Q993" t="s">
        <v>74</v>
      </c>
      <c r="R993" t="s">
        <v>74</v>
      </c>
      <c r="S993" t="s">
        <v>74</v>
      </c>
      <c r="T993" t="s">
        <v>18686</v>
      </c>
      <c r="U993" t="s">
        <v>18687</v>
      </c>
      <c r="V993" t="s">
        <v>18688</v>
      </c>
      <c r="W993" t="s">
        <v>18689</v>
      </c>
      <c r="X993" t="s">
        <v>18690</v>
      </c>
      <c r="Y993" t="s">
        <v>18691</v>
      </c>
      <c r="Z993" t="s">
        <v>18692</v>
      </c>
      <c r="AA993" t="s">
        <v>18693</v>
      </c>
      <c r="AB993" t="s">
        <v>18694</v>
      </c>
      <c r="AC993" t="s">
        <v>18695</v>
      </c>
      <c r="AD993" t="s">
        <v>18696</v>
      </c>
      <c r="AE993" t="s">
        <v>18697</v>
      </c>
      <c r="AF993" t="s">
        <v>74</v>
      </c>
      <c r="AG993">
        <v>56</v>
      </c>
      <c r="AH993">
        <v>22</v>
      </c>
      <c r="AI993">
        <v>24</v>
      </c>
      <c r="AJ993">
        <v>11</v>
      </c>
      <c r="AK993">
        <v>119</v>
      </c>
      <c r="AL993" t="s">
        <v>474</v>
      </c>
      <c r="AM993" t="s">
        <v>304</v>
      </c>
      <c r="AN993" t="s">
        <v>475</v>
      </c>
      <c r="AO993" t="s">
        <v>3549</v>
      </c>
      <c r="AP993" t="s">
        <v>3550</v>
      </c>
      <c r="AQ993" t="s">
        <v>74</v>
      </c>
      <c r="AR993" t="s">
        <v>3551</v>
      </c>
      <c r="AS993" t="s">
        <v>3552</v>
      </c>
      <c r="AT993" t="s">
        <v>16960</v>
      </c>
      <c r="AU993">
        <v>2016</v>
      </c>
      <c r="AV993">
        <v>213</v>
      </c>
      <c r="AW993" t="s">
        <v>74</v>
      </c>
      <c r="AX993" t="s">
        <v>74</v>
      </c>
      <c r="AY993" t="s">
        <v>74</v>
      </c>
      <c r="AZ993" t="s">
        <v>74</v>
      </c>
      <c r="BA993" t="s">
        <v>74</v>
      </c>
      <c r="BB993">
        <v>412</v>
      </c>
      <c r="BC993">
        <v>419</v>
      </c>
      <c r="BD993" t="s">
        <v>74</v>
      </c>
      <c r="BE993" t="s">
        <v>18698</v>
      </c>
      <c r="BF993" t="str">
        <f>HYPERLINK("http://dx.doi.org/10.1016/j.envpol.2016.02.035","http://dx.doi.org/10.1016/j.envpol.2016.02.035")</f>
        <v>http://dx.doi.org/10.1016/j.envpol.2016.02.035</v>
      </c>
      <c r="BG993" t="s">
        <v>74</v>
      </c>
      <c r="BH993" t="s">
        <v>74</v>
      </c>
      <c r="BI993">
        <v>8</v>
      </c>
      <c r="BJ993" t="s">
        <v>846</v>
      </c>
      <c r="BK993" t="s">
        <v>156</v>
      </c>
      <c r="BL993" t="s">
        <v>532</v>
      </c>
      <c r="BM993" t="s">
        <v>17674</v>
      </c>
      <c r="BN993">
        <v>26946176</v>
      </c>
      <c r="BO993" t="s">
        <v>74</v>
      </c>
      <c r="BP993" t="s">
        <v>74</v>
      </c>
      <c r="BQ993" t="s">
        <v>74</v>
      </c>
      <c r="BR993" t="s">
        <v>105</v>
      </c>
      <c r="BS993" t="s">
        <v>18699</v>
      </c>
      <c r="BT993" t="str">
        <f>HYPERLINK("https%3A%2F%2Fwww.webofscience.com%2Fwos%2Fwoscc%2Ffull-record%2FWOS:000377921800044","View Full Record in Web of Science")</f>
        <v>View Full Record in Web of Science</v>
      </c>
    </row>
    <row r="994" spans="1:72" x14ac:dyDescent="0.15">
      <c r="A994" t="s">
        <v>72</v>
      </c>
      <c r="B994" t="s">
        <v>18700</v>
      </c>
      <c r="C994" t="s">
        <v>74</v>
      </c>
      <c r="D994" t="s">
        <v>74</v>
      </c>
      <c r="E994" t="s">
        <v>74</v>
      </c>
      <c r="F994" t="s">
        <v>18701</v>
      </c>
      <c r="G994" t="s">
        <v>74</v>
      </c>
      <c r="H994" t="s">
        <v>74</v>
      </c>
      <c r="I994" t="s">
        <v>18702</v>
      </c>
      <c r="J994" t="s">
        <v>5663</v>
      </c>
      <c r="K994" t="s">
        <v>74</v>
      </c>
      <c r="L994" t="s">
        <v>74</v>
      </c>
      <c r="M994" t="s">
        <v>78</v>
      </c>
      <c r="N994" t="s">
        <v>79</v>
      </c>
      <c r="O994" t="s">
        <v>74</v>
      </c>
      <c r="P994" t="s">
        <v>74</v>
      </c>
      <c r="Q994" t="s">
        <v>74</v>
      </c>
      <c r="R994" t="s">
        <v>74</v>
      </c>
      <c r="S994" t="s">
        <v>74</v>
      </c>
      <c r="T994" t="s">
        <v>18703</v>
      </c>
      <c r="U994" t="s">
        <v>18704</v>
      </c>
      <c r="V994" t="s">
        <v>18705</v>
      </c>
      <c r="W994" t="s">
        <v>18706</v>
      </c>
      <c r="X994" t="s">
        <v>18707</v>
      </c>
      <c r="Y994" t="s">
        <v>18708</v>
      </c>
      <c r="Z994" t="s">
        <v>18709</v>
      </c>
      <c r="AA994" t="s">
        <v>18710</v>
      </c>
      <c r="AB994" t="s">
        <v>18711</v>
      </c>
      <c r="AC994" t="s">
        <v>18712</v>
      </c>
      <c r="AD994" t="s">
        <v>18713</v>
      </c>
      <c r="AE994" t="s">
        <v>18714</v>
      </c>
      <c r="AF994" t="s">
        <v>74</v>
      </c>
      <c r="AG994">
        <v>94</v>
      </c>
      <c r="AH994">
        <v>17</v>
      </c>
      <c r="AI994">
        <v>17</v>
      </c>
      <c r="AJ994">
        <v>0</v>
      </c>
      <c r="AK994">
        <v>24</v>
      </c>
      <c r="AL994" t="s">
        <v>5674</v>
      </c>
      <c r="AM994" t="s">
        <v>1485</v>
      </c>
      <c r="AN994" t="s">
        <v>1486</v>
      </c>
      <c r="AO994" t="s">
        <v>5675</v>
      </c>
      <c r="AP994" t="s">
        <v>74</v>
      </c>
      <c r="AQ994" t="s">
        <v>74</v>
      </c>
      <c r="AR994" t="s">
        <v>5676</v>
      </c>
      <c r="AS994" t="s">
        <v>5677</v>
      </c>
      <c r="AT994" t="s">
        <v>16960</v>
      </c>
      <c r="AU994">
        <v>2016</v>
      </c>
      <c r="AV994">
        <v>11</v>
      </c>
      <c r="AW994">
        <v>6</v>
      </c>
      <c r="AX994" t="s">
        <v>74</v>
      </c>
      <c r="AY994" t="s">
        <v>74</v>
      </c>
      <c r="AZ994" t="s">
        <v>74</v>
      </c>
      <c r="BA994" t="s">
        <v>74</v>
      </c>
      <c r="BB994" t="s">
        <v>74</v>
      </c>
      <c r="BC994" t="s">
        <v>74</v>
      </c>
      <c r="BD994">
        <v>64009</v>
      </c>
      <c r="BE994" t="s">
        <v>18715</v>
      </c>
      <c r="BF994" t="str">
        <f>HYPERLINK("http://dx.doi.org/10.1088/1748-9326/11/6/064009","http://dx.doi.org/10.1088/1748-9326/11/6/064009")</f>
        <v>http://dx.doi.org/10.1088/1748-9326/11/6/064009</v>
      </c>
      <c r="BG994" t="s">
        <v>74</v>
      </c>
      <c r="BH994" t="s">
        <v>74</v>
      </c>
      <c r="BI994">
        <v>14</v>
      </c>
      <c r="BJ994" t="s">
        <v>1286</v>
      </c>
      <c r="BK994" t="s">
        <v>156</v>
      </c>
      <c r="BL994" t="s">
        <v>825</v>
      </c>
      <c r="BM994" t="s">
        <v>18716</v>
      </c>
      <c r="BN994" t="s">
        <v>74</v>
      </c>
      <c r="BO994" t="s">
        <v>18717</v>
      </c>
      <c r="BP994" t="s">
        <v>74</v>
      </c>
      <c r="BQ994" t="s">
        <v>74</v>
      </c>
      <c r="BR994" t="s">
        <v>105</v>
      </c>
      <c r="BS994" t="s">
        <v>18718</v>
      </c>
      <c r="BT994" t="str">
        <f>HYPERLINK("https%3A%2F%2Fwww.webofscience.com%2Fwos%2Fwoscc%2Ffull-record%2FWOS:000378812200010","View Full Record in Web of Science")</f>
        <v>View Full Record in Web of Science</v>
      </c>
    </row>
    <row r="995" spans="1:72" x14ac:dyDescent="0.15">
      <c r="A995" t="s">
        <v>72</v>
      </c>
      <c r="B995" t="s">
        <v>18719</v>
      </c>
      <c r="C995" t="s">
        <v>74</v>
      </c>
      <c r="D995" t="s">
        <v>74</v>
      </c>
      <c r="E995" t="s">
        <v>74</v>
      </c>
      <c r="F995" t="s">
        <v>18720</v>
      </c>
      <c r="G995" t="s">
        <v>74</v>
      </c>
      <c r="H995" t="s">
        <v>74</v>
      </c>
      <c r="I995" t="s">
        <v>18721</v>
      </c>
      <c r="J995" t="s">
        <v>3559</v>
      </c>
      <c r="K995" t="s">
        <v>74</v>
      </c>
      <c r="L995" t="s">
        <v>74</v>
      </c>
      <c r="M995" t="s">
        <v>78</v>
      </c>
      <c r="N995" t="s">
        <v>79</v>
      </c>
      <c r="O995" t="s">
        <v>74</v>
      </c>
      <c r="P995" t="s">
        <v>74</v>
      </c>
      <c r="Q995" t="s">
        <v>74</v>
      </c>
      <c r="R995" t="s">
        <v>74</v>
      </c>
      <c r="S995" t="s">
        <v>74</v>
      </c>
      <c r="T995" t="s">
        <v>18722</v>
      </c>
      <c r="U995" t="s">
        <v>18723</v>
      </c>
      <c r="V995" t="s">
        <v>18724</v>
      </c>
      <c r="W995" t="s">
        <v>18725</v>
      </c>
      <c r="X995" t="s">
        <v>18726</v>
      </c>
      <c r="Y995" t="s">
        <v>18727</v>
      </c>
      <c r="Z995" t="s">
        <v>18728</v>
      </c>
      <c r="AA995" t="s">
        <v>18729</v>
      </c>
      <c r="AB995" t="s">
        <v>18730</v>
      </c>
      <c r="AC995" t="s">
        <v>18731</v>
      </c>
      <c r="AD995" t="s">
        <v>18732</v>
      </c>
      <c r="AE995" t="s">
        <v>18733</v>
      </c>
      <c r="AF995" t="s">
        <v>74</v>
      </c>
      <c r="AG995">
        <v>61</v>
      </c>
      <c r="AH995">
        <v>20</v>
      </c>
      <c r="AI995">
        <v>22</v>
      </c>
      <c r="AJ995">
        <v>0</v>
      </c>
      <c r="AK995">
        <v>40</v>
      </c>
      <c r="AL995" t="s">
        <v>2501</v>
      </c>
      <c r="AM995" t="s">
        <v>304</v>
      </c>
      <c r="AN995" t="s">
        <v>2502</v>
      </c>
      <c r="AO995" t="s">
        <v>3572</v>
      </c>
      <c r="AP995" t="s">
        <v>3573</v>
      </c>
      <c r="AQ995" t="s">
        <v>74</v>
      </c>
      <c r="AR995" t="s">
        <v>3574</v>
      </c>
      <c r="AS995" t="s">
        <v>3575</v>
      </c>
      <c r="AT995" t="s">
        <v>16960</v>
      </c>
      <c r="AU995">
        <v>2016</v>
      </c>
      <c r="AV995">
        <v>92</v>
      </c>
      <c r="AW995">
        <v>6</v>
      </c>
      <c r="AX995" t="s">
        <v>74</v>
      </c>
      <c r="AY995" t="s">
        <v>74</v>
      </c>
      <c r="AZ995" t="s">
        <v>74</v>
      </c>
      <c r="BA995" t="s">
        <v>74</v>
      </c>
      <c r="BB995" t="s">
        <v>74</v>
      </c>
      <c r="BC995" t="s">
        <v>74</v>
      </c>
      <c r="BD995" t="s">
        <v>18734</v>
      </c>
      <c r="BE995" t="s">
        <v>18735</v>
      </c>
      <c r="BF995" t="str">
        <f>HYPERLINK("http://dx.doi.org/10.1093/femsec/fiw074","http://dx.doi.org/10.1093/femsec/fiw074")</f>
        <v>http://dx.doi.org/10.1093/femsec/fiw074</v>
      </c>
      <c r="BG995" t="s">
        <v>74</v>
      </c>
      <c r="BH995" t="s">
        <v>74</v>
      </c>
      <c r="BI995">
        <v>10</v>
      </c>
      <c r="BJ995" t="s">
        <v>130</v>
      </c>
      <c r="BK995" t="s">
        <v>156</v>
      </c>
      <c r="BL995" t="s">
        <v>130</v>
      </c>
      <c r="BM995" t="s">
        <v>17860</v>
      </c>
      <c r="BN995">
        <v>27059864</v>
      </c>
      <c r="BO995" t="s">
        <v>258</v>
      </c>
      <c r="BP995" t="s">
        <v>74</v>
      </c>
      <c r="BQ995" t="s">
        <v>74</v>
      </c>
      <c r="BR995" t="s">
        <v>105</v>
      </c>
      <c r="BS995" t="s">
        <v>18736</v>
      </c>
      <c r="BT995" t="str">
        <f>HYPERLINK("https%3A%2F%2Fwww.webofscience.com%2Fwos%2Fwoscc%2Ffull-record%2FWOS:000377473600008","View Full Record in Web of Science")</f>
        <v>View Full Record in Web of Science</v>
      </c>
    </row>
    <row r="996" spans="1:72" x14ac:dyDescent="0.15">
      <c r="A996" t="s">
        <v>72</v>
      </c>
      <c r="B996" t="s">
        <v>18737</v>
      </c>
      <c r="C996" t="s">
        <v>74</v>
      </c>
      <c r="D996" t="s">
        <v>74</v>
      </c>
      <c r="E996" t="s">
        <v>74</v>
      </c>
      <c r="F996" t="s">
        <v>18738</v>
      </c>
      <c r="G996" t="s">
        <v>74</v>
      </c>
      <c r="H996" t="s">
        <v>74</v>
      </c>
      <c r="I996" t="s">
        <v>18739</v>
      </c>
      <c r="J996" t="s">
        <v>3559</v>
      </c>
      <c r="K996" t="s">
        <v>74</v>
      </c>
      <c r="L996" t="s">
        <v>74</v>
      </c>
      <c r="M996" t="s">
        <v>78</v>
      </c>
      <c r="N996" t="s">
        <v>79</v>
      </c>
      <c r="O996" t="s">
        <v>74</v>
      </c>
      <c r="P996" t="s">
        <v>74</v>
      </c>
      <c r="Q996" t="s">
        <v>74</v>
      </c>
      <c r="R996" t="s">
        <v>74</v>
      </c>
      <c r="S996" t="s">
        <v>74</v>
      </c>
      <c r="T996" t="s">
        <v>18740</v>
      </c>
      <c r="U996" t="s">
        <v>18741</v>
      </c>
      <c r="V996" t="s">
        <v>18742</v>
      </c>
      <c r="W996" t="s">
        <v>18743</v>
      </c>
      <c r="X996" t="s">
        <v>18744</v>
      </c>
      <c r="Y996" t="s">
        <v>18745</v>
      </c>
      <c r="Z996" t="s">
        <v>18746</v>
      </c>
      <c r="AA996" t="s">
        <v>18747</v>
      </c>
      <c r="AB996" t="s">
        <v>18748</v>
      </c>
      <c r="AC996" t="s">
        <v>18749</v>
      </c>
      <c r="AD996" t="s">
        <v>18750</v>
      </c>
      <c r="AE996" t="s">
        <v>18751</v>
      </c>
      <c r="AF996" t="s">
        <v>74</v>
      </c>
      <c r="AG996">
        <v>53</v>
      </c>
      <c r="AH996">
        <v>24</v>
      </c>
      <c r="AI996">
        <v>27</v>
      </c>
      <c r="AJ996">
        <v>2</v>
      </c>
      <c r="AK996">
        <v>27</v>
      </c>
      <c r="AL996" t="s">
        <v>2501</v>
      </c>
      <c r="AM996" t="s">
        <v>304</v>
      </c>
      <c r="AN996" t="s">
        <v>2502</v>
      </c>
      <c r="AO996" t="s">
        <v>3572</v>
      </c>
      <c r="AP996" t="s">
        <v>3573</v>
      </c>
      <c r="AQ996" t="s">
        <v>74</v>
      </c>
      <c r="AR996" t="s">
        <v>3574</v>
      </c>
      <c r="AS996" t="s">
        <v>3575</v>
      </c>
      <c r="AT996" t="s">
        <v>16960</v>
      </c>
      <c r="AU996">
        <v>2016</v>
      </c>
      <c r="AV996">
        <v>92</v>
      </c>
      <c r="AW996">
        <v>6</v>
      </c>
      <c r="AX996" t="s">
        <v>74</v>
      </c>
      <c r="AY996" t="s">
        <v>74</v>
      </c>
      <c r="AZ996" t="s">
        <v>74</v>
      </c>
      <c r="BA996" t="s">
        <v>74</v>
      </c>
      <c r="BB996" t="s">
        <v>74</v>
      </c>
      <c r="BC996" t="s">
        <v>74</v>
      </c>
      <c r="BD996" t="s">
        <v>18752</v>
      </c>
      <c r="BE996" t="s">
        <v>18753</v>
      </c>
      <c r="BF996" t="str">
        <f>HYPERLINK("http://dx.doi.org/10.1093/femsec/fiw076","http://dx.doi.org/10.1093/femsec/fiw076")</f>
        <v>http://dx.doi.org/10.1093/femsec/fiw076</v>
      </c>
      <c r="BG996" t="s">
        <v>74</v>
      </c>
      <c r="BH996" t="s">
        <v>74</v>
      </c>
      <c r="BI996">
        <v>11</v>
      </c>
      <c r="BJ996" t="s">
        <v>130</v>
      </c>
      <c r="BK996" t="s">
        <v>156</v>
      </c>
      <c r="BL996" t="s">
        <v>130</v>
      </c>
      <c r="BM996" t="s">
        <v>17860</v>
      </c>
      <c r="BN996">
        <v>27095815</v>
      </c>
      <c r="BO996" t="s">
        <v>18754</v>
      </c>
      <c r="BP996" t="s">
        <v>74</v>
      </c>
      <c r="BQ996" t="s">
        <v>74</v>
      </c>
      <c r="BR996" t="s">
        <v>105</v>
      </c>
      <c r="BS996" t="s">
        <v>18755</v>
      </c>
      <c r="BT996" t="str">
        <f>HYPERLINK("https%3A%2F%2Fwww.webofscience.com%2Fwos%2Fwoscc%2Ffull-record%2FWOS:000377473600010","View Full Record in Web of Science")</f>
        <v>View Full Record in Web of Science</v>
      </c>
    </row>
    <row r="997" spans="1:72" x14ac:dyDescent="0.15">
      <c r="A997" t="s">
        <v>72</v>
      </c>
      <c r="B997" t="s">
        <v>18756</v>
      </c>
      <c r="C997" t="s">
        <v>74</v>
      </c>
      <c r="D997" t="s">
        <v>74</v>
      </c>
      <c r="E997" t="s">
        <v>74</v>
      </c>
      <c r="F997" t="s">
        <v>18757</v>
      </c>
      <c r="G997" t="s">
        <v>74</v>
      </c>
      <c r="H997" t="s">
        <v>74</v>
      </c>
      <c r="I997" t="s">
        <v>18758</v>
      </c>
      <c r="J997" t="s">
        <v>18759</v>
      </c>
      <c r="K997" t="s">
        <v>74</v>
      </c>
      <c r="L997" t="s">
        <v>74</v>
      </c>
      <c r="M997" t="s">
        <v>78</v>
      </c>
      <c r="N997" t="s">
        <v>317</v>
      </c>
      <c r="O997" t="s">
        <v>74</v>
      </c>
      <c r="P997" t="s">
        <v>74</v>
      </c>
      <c r="Q997" t="s">
        <v>74</v>
      </c>
      <c r="R997" t="s">
        <v>74</v>
      </c>
      <c r="S997" t="s">
        <v>74</v>
      </c>
      <c r="T997" t="s">
        <v>18760</v>
      </c>
      <c r="U997" t="s">
        <v>18761</v>
      </c>
      <c r="V997" t="s">
        <v>18762</v>
      </c>
      <c r="W997" t="s">
        <v>18763</v>
      </c>
      <c r="X997" t="s">
        <v>18764</v>
      </c>
      <c r="Y997" t="s">
        <v>18765</v>
      </c>
      <c r="Z997" t="s">
        <v>4156</v>
      </c>
      <c r="AA997" t="s">
        <v>18766</v>
      </c>
      <c r="AB997" t="s">
        <v>18767</v>
      </c>
      <c r="AC997" t="s">
        <v>18768</v>
      </c>
      <c r="AD997" t="s">
        <v>18769</v>
      </c>
      <c r="AE997" t="s">
        <v>18770</v>
      </c>
      <c r="AF997" t="s">
        <v>74</v>
      </c>
      <c r="AG997">
        <v>107</v>
      </c>
      <c r="AH997">
        <v>30</v>
      </c>
      <c r="AI997">
        <v>36</v>
      </c>
      <c r="AJ997">
        <v>3</v>
      </c>
      <c r="AK997">
        <v>75</v>
      </c>
      <c r="AL997" t="s">
        <v>2501</v>
      </c>
      <c r="AM997" t="s">
        <v>304</v>
      </c>
      <c r="AN997" t="s">
        <v>2502</v>
      </c>
      <c r="AO997" t="s">
        <v>18771</v>
      </c>
      <c r="AP997" t="s">
        <v>18772</v>
      </c>
      <c r="AQ997" t="s">
        <v>74</v>
      </c>
      <c r="AR997" t="s">
        <v>18773</v>
      </c>
      <c r="AS997" t="s">
        <v>18774</v>
      </c>
      <c r="AT997" t="s">
        <v>16960</v>
      </c>
      <c r="AU997">
        <v>2016</v>
      </c>
      <c r="AV997">
        <v>363</v>
      </c>
      <c r="AW997">
        <v>11</v>
      </c>
      <c r="AX997" t="s">
        <v>74</v>
      </c>
      <c r="AY997" t="s">
        <v>74</v>
      </c>
      <c r="AZ997" t="s">
        <v>74</v>
      </c>
      <c r="BA997" t="s">
        <v>74</v>
      </c>
      <c r="BB997" t="s">
        <v>74</v>
      </c>
      <c r="BC997" t="s">
        <v>74</v>
      </c>
      <c r="BD997" t="s">
        <v>18775</v>
      </c>
      <c r="BE997" t="s">
        <v>18776</v>
      </c>
      <c r="BF997" t="str">
        <f>HYPERLINK("http://dx.doi.org/10.1093/femsle/fnw099","http://dx.doi.org/10.1093/femsle/fnw099")</f>
        <v>http://dx.doi.org/10.1093/femsle/fnw099</v>
      </c>
      <c r="BG997" t="s">
        <v>74</v>
      </c>
      <c r="BH997" t="s">
        <v>74</v>
      </c>
      <c r="BI997">
        <v>12</v>
      </c>
      <c r="BJ997" t="s">
        <v>130</v>
      </c>
      <c r="BK997" t="s">
        <v>156</v>
      </c>
      <c r="BL997" t="s">
        <v>130</v>
      </c>
      <c r="BM997" t="s">
        <v>18777</v>
      </c>
      <c r="BN997">
        <v>27190285</v>
      </c>
      <c r="BO997" t="s">
        <v>258</v>
      </c>
      <c r="BP997" t="s">
        <v>74</v>
      </c>
      <c r="BQ997" t="s">
        <v>74</v>
      </c>
      <c r="BR997" t="s">
        <v>105</v>
      </c>
      <c r="BS997" t="s">
        <v>18778</v>
      </c>
      <c r="BT997" t="str">
        <f>HYPERLINK("https%3A%2F%2Fwww.webofscience.com%2Fwos%2Fwoscc%2Ffull-record%2FWOS:000379032600005","View Full Record in Web of Science")</f>
        <v>View Full Record in Web of Science</v>
      </c>
    </row>
    <row r="998" spans="1:72" x14ac:dyDescent="0.15">
      <c r="A998" t="s">
        <v>72</v>
      </c>
      <c r="B998" t="s">
        <v>18779</v>
      </c>
      <c r="C998" t="s">
        <v>74</v>
      </c>
      <c r="D998" t="s">
        <v>74</v>
      </c>
      <c r="E998" t="s">
        <v>74</v>
      </c>
      <c r="F998" t="s">
        <v>18780</v>
      </c>
      <c r="G998" t="s">
        <v>74</v>
      </c>
      <c r="H998" t="s">
        <v>74</v>
      </c>
      <c r="I998" t="s">
        <v>18781</v>
      </c>
      <c r="J998" t="s">
        <v>77</v>
      </c>
      <c r="K998" t="s">
        <v>74</v>
      </c>
      <c r="L998" t="s">
        <v>74</v>
      </c>
      <c r="M998" t="s">
        <v>78</v>
      </c>
      <c r="N998" t="s">
        <v>79</v>
      </c>
      <c r="O998" t="s">
        <v>74</v>
      </c>
      <c r="P998" t="s">
        <v>74</v>
      </c>
      <c r="Q998" t="s">
        <v>74</v>
      </c>
      <c r="R998" t="s">
        <v>74</v>
      </c>
      <c r="S998" t="s">
        <v>74</v>
      </c>
      <c r="T998" t="s">
        <v>18782</v>
      </c>
      <c r="U998" t="s">
        <v>18783</v>
      </c>
      <c r="V998" t="s">
        <v>18784</v>
      </c>
      <c r="W998" t="s">
        <v>18785</v>
      </c>
      <c r="X998" t="s">
        <v>18786</v>
      </c>
      <c r="Y998" t="s">
        <v>18787</v>
      </c>
      <c r="Z998" t="s">
        <v>18788</v>
      </c>
      <c r="AA998" t="s">
        <v>18789</v>
      </c>
      <c r="AB998" t="s">
        <v>18790</v>
      </c>
      <c r="AC998" t="s">
        <v>8158</v>
      </c>
      <c r="AD998" t="s">
        <v>8159</v>
      </c>
      <c r="AE998" t="s">
        <v>18791</v>
      </c>
      <c r="AF998" t="s">
        <v>74</v>
      </c>
      <c r="AG998">
        <v>33</v>
      </c>
      <c r="AH998">
        <v>21</v>
      </c>
      <c r="AI998">
        <v>30</v>
      </c>
      <c r="AJ998">
        <v>6</v>
      </c>
      <c r="AK998">
        <v>44</v>
      </c>
      <c r="AL998" t="s">
        <v>92</v>
      </c>
      <c r="AM998" t="s">
        <v>93</v>
      </c>
      <c r="AN998" t="s">
        <v>94</v>
      </c>
      <c r="AO998" t="s">
        <v>95</v>
      </c>
      <c r="AP998" t="s">
        <v>96</v>
      </c>
      <c r="AQ998" t="s">
        <v>74</v>
      </c>
      <c r="AR998" t="s">
        <v>97</v>
      </c>
      <c r="AS998" t="s">
        <v>98</v>
      </c>
      <c r="AT998" t="s">
        <v>16960</v>
      </c>
      <c r="AU998">
        <v>2016</v>
      </c>
      <c r="AV998">
        <v>178</v>
      </c>
      <c r="AW998" t="s">
        <v>74</v>
      </c>
      <c r="AX998" t="s">
        <v>74</v>
      </c>
      <c r="AY998" t="s">
        <v>74</v>
      </c>
      <c r="AZ998" t="s">
        <v>650</v>
      </c>
      <c r="BA998" t="s">
        <v>74</v>
      </c>
      <c r="BB998">
        <v>93</v>
      </c>
      <c r="BC998">
        <v>100</v>
      </c>
      <c r="BD998" t="s">
        <v>74</v>
      </c>
      <c r="BE998" t="s">
        <v>18792</v>
      </c>
      <c r="BF998" t="str">
        <f>HYPERLINK("http://dx.doi.org/10.1016/j.fishres.2015.07.013","http://dx.doi.org/10.1016/j.fishres.2015.07.013")</f>
        <v>http://dx.doi.org/10.1016/j.fishres.2015.07.013</v>
      </c>
      <c r="BG998" t="s">
        <v>74</v>
      </c>
      <c r="BH998" t="s">
        <v>74</v>
      </c>
      <c r="BI998">
        <v>8</v>
      </c>
      <c r="BJ998" t="s">
        <v>101</v>
      </c>
      <c r="BK998" t="s">
        <v>156</v>
      </c>
      <c r="BL998" t="s">
        <v>101</v>
      </c>
      <c r="BM998" t="s">
        <v>18793</v>
      </c>
      <c r="BN998" t="s">
        <v>74</v>
      </c>
      <c r="BO998" t="s">
        <v>74</v>
      </c>
      <c r="BP998" t="s">
        <v>74</v>
      </c>
      <c r="BQ998" t="s">
        <v>74</v>
      </c>
      <c r="BR998" t="s">
        <v>105</v>
      </c>
      <c r="BS998" t="s">
        <v>18794</v>
      </c>
      <c r="BT998" t="str">
        <f>HYPERLINK("https%3A%2F%2Fwww.webofscience.com%2Fwos%2Fwoscc%2Ffull-record%2FWOS:000375739100010","View Full Record in Web of Science")</f>
        <v>View Full Record in Web of Science</v>
      </c>
    </row>
    <row r="999" spans="1:72" x14ac:dyDescent="0.15">
      <c r="A999" t="s">
        <v>72</v>
      </c>
      <c r="B999" t="s">
        <v>18795</v>
      </c>
      <c r="C999" t="s">
        <v>74</v>
      </c>
      <c r="D999" t="s">
        <v>74</v>
      </c>
      <c r="E999" t="s">
        <v>74</v>
      </c>
      <c r="F999" t="s">
        <v>18796</v>
      </c>
      <c r="G999" t="s">
        <v>74</v>
      </c>
      <c r="H999" t="s">
        <v>74</v>
      </c>
      <c r="I999" t="s">
        <v>18797</v>
      </c>
      <c r="J999" t="s">
        <v>77</v>
      </c>
      <c r="K999" t="s">
        <v>74</v>
      </c>
      <c r="L999" t="s">
        <v>74</v>
      </c>
      <c r="M999" t="s">
        <v>78</v>
      </c>
      <c r="N999" t="s">
        <v>79</v>
      </c>
      <c r="O999" t="s">
        <v>74</v>
      </c>
      <c r="P999" t="s">
        <v>74</v>
      </c>
      <c r="Q999" t="s">
        <v>74</v>
      </c>
      <c r="R999" t="s">
        <v>74</v>
      </c>
      <c r="S999" t="s">
        <v>74</v>
      </c>
      <c r="T999" t="s">
        <v>18798</v>
      </c>
      <c r="U999" t="s">
        <v>18799</v>
      </c>
      <c r="V999" t="s">
        <v>18800</v>
      </c>
      <c r="W999" t="s">
        <v>18801</v>
      </c>
      <c r="X999" t="s">
        <v>18802</v>
      </c>
      <c r="Y999" t="s">
        <v>18803</v>
      </c>
      <c r="Z999" t="s">
        <v>18804</v>
      </c>
      <c r="AA999" t="s">
        <v>18805</v>
      </c>
      <c r="AB999" t="s">
        <v>18806</v>
      </c>
      <c r="AC999" t="s">
        <v>74</v>
      </c>
      <c r="AD999" t="s">
        <v>74</v>
      </c>
      <c r="AE999" t="s">
        <v>74</v>
      </c>
      <c r="AF999" t="s">
        <v>74</v>
      </c>
      <c r="AG999">
        <v>46</v>
      </c>
      <c r="AH999">
        <v>7</v>
      </c>
      <c r="AI999">
        <v>11</v>
      </c>
      <c r="AJ999">
        <v>0</v>
      </c>
      <c r="AK999">
        <v>44</v>
      </c>
      <c r="AL999" t="s">
        <v>196</v>
      </c>
      <c r="AM999" t="s">
        <v>93</v>
      </c>
      <c r="AN999" t="s">
        <v>197</v>
      </c>
      <c r="AO999" t="s">
        <v>95</v>
      </c>
      <c r="AP999" t="s">
        <v>96</v>
      </c>
      <c r="AQ999" t="s">
        <v>74</v>
      </c>
      <c r="AR999" t="s">
        <v>97</v>
      </c>
      <c r="AS999" t="s">
        <v>98</v>
      </c>
      <c r="AT999" t="s">
        <v>16960</v>
      </c>
      <c r="AU999">
        <v>2016</v>
      </c>
      <c r="AV999">
        <v>178</v>
      </c>
      <c r="AW999" t="s">
        <v>74</v>
      </c>
      <c r="AX999" t="s">
        <v>74</v>
      </c>
      <c r="AY999" t="s">
        <v>74</v>
      </c>
      <c r="AZ999" t="s">
        <v>650</v>
      </c>
      <c r="BA999" t="s">
        <v>74</v>
      </c>
      <c r="BB999">
        <v>114</v>
      </c>
      <c r="BC999">
        <v>121</v>
      </c>
      <c r="BD999" t="s">
        <v>74</v>
      </c>
      <c r="BE999" t="s">
        <v>18807</v>
      </c>
      <c r="BF999" t="str">
        <f>HYPERLINK("http://dx.doi.org/10.1016/j.fishres.2015.09.017","http://dx.doi.org/10.1016/j.fishres.2015.09.017")</f>
        <v>http://dx.doi.org/10.1016/j.fishres.2015.09.017</v>
      </c>
      <c r="BG999" t="s">
        <v>74</v>
      </c>
      <c r="BH999" t="s">
        <v>74</v>
      </c>
      <c r="BI999">
        <v>8</v>
      </c>
      <c r="BJ999" t="s">
        <v>101</v>
      </c>
      <c r="BK999" t="s">
        <v>156</v>
      </c>
      <c r="BL999" t="s">
        <v>101</v>
      </c>
      <c r="BM999" t="s">
        <v>18793</v>
      </c>
      <c r="BN999" t="s">
        <v>74</v>
      </c>
      <c r="BO999" t="s">
        <v>74</v>
      </c>
      <c r="BP999" t="s">
        <v>74</v>
      </c>
      <c r="BQ999" t="s">
        <v>74</v>
      </c>
      <c r="BR999" t="s">
        <v>105</v>
      </c>
      <c r="BS999" t="s">
        <v>18808</v>
      </c>
      <c r="BT999" t="str">
        <f>HYPERLINK("https%3A%2F%2Fwww.webofscience.com%2Fwos%2Fwoscc%2Ffull-record%2FWOS:000375739100012","View Full Record in Web of Science")</f>
        <v>View Full Record in Web of Science</v>
      </c>
    </row>
    <row r="1000" spans="1:72" x14ac:dyDescent="0.15">
      <c r="A1000" t="s">
        <v>72</v>
      </c>
      <c r="B1000" t="s">
        <v>18809</v>
      </c>
      <c r="C1000" t="s">
        <v>74</v>
      </c>
      <c r="D1000" t="s">
        <v>74</v>
      </c>
      <c r="E1000" t="s">
        <v>74</v>
      </c>
      <c r="F1000" t="s">
        <v>18810</v>
      </c>
      <c r="G1000" t="s">
        <v>74</v>
      </c>
      <c r="H1000" t="s">
        <v>74</v>
      </c>
      <c r="I1000" t="s">
        <v>18811</v>
      </c>
      <c r="J1000" t="s">
        <v>7940</v>
      </c>
      <c r="K1000" t="s">
        <v>74</v>
      </c>
      <c r="L1000" t="s">
        <v>74</v>
      </c>
      <c r="M1000" t="s">
        <v>78</v>
      </c>
      <c r="N1000" t="s">
        <v>79</v>
      </c>
      <c r="O1000" t="s">
        <v>74</v>
      </c>
      <c r="P1000" t="s">
        <v>74</v>
      </c>
      <c r="Q1000" t="s">
        <v>74</v>
      </c>
      <c r="R1000" t="s">
        <v>74</v>
      </c>
      <c r="S1000" t="s">
        <v>74</v>
      </c>
      <c r="T1000" t="s">
        <v>18812</v>
      </c>
      <c r="U1000" t="s">
        <v>18813</v>
      </c>
      <c r="V1000" t="s">
        <v>18814</v>
      </c>
      <c r="W1000" t="s">
        <v>18815</v>
      </c>
      <c r="X1000" t="s">
        <v>18816</v>
      </c>
      <c r="Y1000" t="s">
        <v>18817</v>
      </c>
      <c r="Z1000" t="s">
        <v>18818</v>
      </c>
      <c r="AA1000" t="s">
        <v>18819</v>
      </c>
      <c r="AB1000" t="s">
        <v>18820</v>
      </c>
      <c r="AC1000" t="s">
        <v>74</v>
      </c>
      <c r="AD1000" t="s">
        <v>74</v>
      </c>
      <c r="AE1000" t="s">
        <v>74</v>
      </c>
      <c r="AF1000" t="s">
        <v>74</v>
      </c>
      <c r="AG1000">
        <v>50</v>
      </c>
      <c r="AH1000">
        <v>4</v>
      </c>
      <c r="AI1000">
        <v>4</v>
      </c>
      <c r="AJ1000">
        <v>0</v>
      </c>
      <c r="AK1000">
        <v>4</v>
      </c>
      <c r="AL1000" t="s">
        <v>2566</v>
      </c>
      <c r="AM1000" t="s">
        <v>2567</v>
      </c>
      <c r="AN1000" t="s">
        <v>2568</v>
      </c>
      <c r="AO1000" t="s">
        <v>7953</v>
      </c>
      <c r="AP1000" t="s">
        <v>74</v>
      </c>
      <c r="AQ1000" t="s">
        <v>74</v>
      </c>
      <c r="AR1000" t="s">
        <v>7940</v>
      </c>
      <c r="AS1000" t="s">
        <v>7954</v>
      </c>
      <c r="AT1000" t="s">
        <v>16960</v>
      </c>
      <c r="AU1000">
        <v>2016</v>
      </c>
      <c r="AV1000">
        <v>1</v>
      </c>
      <c r="AW1000">
        <v>2</v>
      </c>
      <c r="AX1000" t="s">
        <v>74</v>
      </c>
      <c r="AY1000" t="s">
        <v>74</v>
      </c>
      <c r="AZ1000" t="s">
        <v>74</v>
      </c>
      <c r="BA1000" t="s">
        <v>74</v>
      </c>
      <c r="BB1000" t="s">
        <v>74</v>
      </c>
      <c r="BC1000" t="s">
        <v>74</v>
      </c>
      <c r="BD1000" t="s">
        <v>74</v>
      </c>
      <c r="BE1000" t="s">
        <v>18821</v>
      </c>
      <c r="BF1000" t="str">
        <f>HYPERLINK("http://dx.doi.org/10.3390/fluids1020017","http://dx.doi.org/10.3390/fluids1020017")</f>
        <v>http://dx.doi.org/10.3390/fluids1020017</v>
      </c>
      <c r="BG1000" t="s">
        <v>74</v>
      </c>
      <c r="BH1000" t="s">
        <v>74</v>
      </c>
      <c r="BI1000">
        <v>18</v>
      </c>
      <c r="BJ1000" t="s">
        <v>7956</v>
      </c>
      <c r="BK1000" t="s">
        <v>131</v>
      </c>
      <c r="BL1000" t="s">
        <v>7957</v>
      </c>
      <c r="BM1000" t="s">
        <v>18822</v>
      </c>
      <c r="BN1000" t="s">
        <v>74</v>
      </c>
      <c r="BO1000" t="s">
        <v>1339</v>
      </c>
      <c r="BP1000" t="s">
        <v>74</v>
      </c>
      <c r="BQ1000" t="s">
        <v>74</v>
      </c>
      <c r="BR1000" t="s">
        <v>105</v>
      </c>
      <c r="BS1000" t="s">
        <v>18823</v>
      </c>
      <c r="BT1000" t="str">
        <f>HYPERLINK("https%3A%2F%2Fwww.webofscience.com%2Fwos%2Fwoscc%2Ffull-record%2FWOS:000418747300011","View Full Record in Web of Science")</f>
        <v>View Full Record in Web of Science</v>
      </c>
    </row>
    <row r="1001" spans="1:72" x14ac:dyDescent="0.15">
      <c r="A1001" t="s">
        <v>72</v>
      </c>
      <c r="B1001" t="s">
        <v>18824</v>
      </c>
      <c r="C1001" t="s">
        <v>74</v>
      </c>
      <c r="D1001" t="s">
        <v>74</v>
      </c>
      <c r="E1001" t="s">
        <v>74</v>
      </c>
      <c r="F1001" t="s">
        <v>18825</v>
      </c>
      <c r="G1001" t="s">
        <v>74</v>
      </c>
      <c r="H1001" t="s">
        <v>74</v>
      </c>
      <c r="I1001" t="s">
        <v>18826</v>
      </c>
      <c r="J1001" t="s">
        <v>876</v>
      </c>
      <c r="K1001" t="s">
        <v>74</v>
      </c>
      <c r="L1001" t="s">
        <v>74</v>
      </c>
      <c r="M1001" t="s">
        <v>78</v>
      </c>
      <c r="N1001" t="s">
        <v>79</v>
      </c>
      <c r="O1001" t="s">
        <v>74</v>
      </c>
      <c r="P1001" t="s">
        <v>74</v>
      </c>
      <c r="Q1001" t="s">
        <v>74</v>
      </c>
      <c r="R1001" t="s">
        <v>74</v>
      </c>
      <c r="S1001" t="s">
        <v>74</v>
      </c>
      <c r="T1001" t="s">
        <v>74</v>
      </c>
      <c r="U1001" t="s">
        <v>18827</v>
      </c>
      <c r="V1001" t="s">
        <v>18828</v>
      </c>
      <c r="W1001" t="s">
        <v>18829</v>
      </c>
      <c r="X1001" t="s">
        <v>18830</v>
      </c>
      <c r="Y1001" t="s">
        <v>18831</v>
      </c>
      <c r="Z1001" t="s">
        <v>74</v>
      </c>
      <c r="AA1001" t="s">
        <v>18832</v>
      </c>
      <c r="AB1001" t="s">
        <v>18833</v>
      </c>
      <c r="AC1001" t="s">
        <v>18834</v>
      </c>
      <c r="AD1001" t="s">
        <v>18835</v>
      </c>
      <c r="AE1001" t="s">
        <v>18836</v>
      </c>
      <c r="AF1001" t="s">
        <v>74</v>
      </c>
      <c r="AG1001">
        <v>65</v>
      </c>
      <c r="AH1001">
        <v>37</v>
      </c>
      <c r="AI1001">
        <v>42</v>
      </c>
      <c r="AJ1001">
        <v>2</v>
      </c>
      <c r="AK1001">
        <v>34</v>
      </c>
      <c r="AL1001" t="s">
        <v>303</v>
      </c>
      <c r="AM1001" t="s">
        <v>304</v>
      </c>
      <c r="AN1001" t="s">
        <v>305</v>
      </c>
      <c r="AO1001" t="s">
        <v>889</v>
      </c>
      <c r="AP1001" t="s">
        <v>890</v>
      </c>
      <c r="AQ1001" t="s">
        <v>74</v>
      </c>
      <c r="AR1001" t="s">
        <v>891</v>
      </c>
      <c r="AS1001" t="s">
        <v>892</v>
      </c>
      <c r="AT1001" t="s">
        <v>17000</v>
      </c>
      <c r="AU1001">
        <v>2016</v>
      </c>
      <c r="AV1001">
        <v>182</v>
      </c>
      <c r="AW1001" t="s">
        <v>74</v>
      </c>
      <c r="AX1001" t="s">
        <v>74</v>
      </c>
      <c r="AY1001" t="s">
        <v>74</v>
      </c>
      <c r="AZ1001" t="s">
        <v>74</v>
      </c>
      <c r="BA1001" t="s">
        <v>74</v>
      </c>
      <c r="BB1001">
        <v>197</v>
      </c>
      <c r="BC1001">
        <v>215</v>
      </c>
      <c r="BD1001" t="s">
        <v>74</v>
      </c>
      <c r="BE1001" t="s">
        <v>18837</v>
      </c>
      <c r="BF1001" t="str">
        <f>HYPERLINK("http://dx.doi.org/10.1016/j.gca.2016.03.012","http://dx.doi.org/10.1016/j.gca.2016.03.012")</f>
        <v>http://dx.doi.org/10.1016/j.gca.2016.03.012</v>
      </c>
      <c r="BG1001" t="s">
        <v>74</v>
      </c>
      <c r="BH1001" t="s">
        <v>74</v>
      </c>
      <c r="BI1001">
        <v>19</v>
      </c>
      <c r="BJ1001" t="s">
        <v>155</v>
      </c>
      <c r="BK1001" t="s">
        <v>156</v>
      </c>
      <c r="BL1001" t="s">
        <v>155</v>
      </c>
      <c r="BM1001" t="s">
        <v>18838</v>
      </c>
      <c r="BN1001" t="s">
        <v>74</v>
      </c>
      <c r="BO1001" t="s">
        <v>104</v>
      </c>
      <c r="BP1001" t="s">
        <v>74</v>
      </c>
      <c r="BQ1001" t="s">
        <v>74</v>
      </c>
      <c r="BR1001" t="s">
        <v>105</v>
      </c>
      <c r="BS1001" t="s">
        <v>18839</v>
      </c>
      <c r="BT1001" t="str">
        <f>HYPERLINK("https%3A%2F%2Fwww.webofscience.com%2Fwos%2Fwoscc%2Ffull-record%2FWOS:000374503900012","View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2024-07-28T15:23:57Z</dcterms:created>
  <dcterms:modified xsi:type="dcterms:W3CDTF">2024-07-28T15:23:57Z</dcterms:modified>
</cp:coreProperties>
</file>